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1.xml" ContentType="application/vnd.openxmlformats-officedocument.spreadsheetml.table+xml"/>
  <Override PartName="/xl/queryTables/queryTable9.xml" ContentType="application/vnd.openxmlformats-officedocument.spreadsheetml.queryTable+xml"/>
  <Override PartName="/xl/tables/table2.xml" ContentType="application/vnd.openxmlformats-officedocument.spreadsheetml.table+xml"/>
  <Override PartName="/xl/queryTables/queryTable10.xml" ContentType="application/vnd.openxmlformats-officedocument.spreadsheetml.queryTable+xml"/>
  <Override PartName="/xl/tables/table3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1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1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1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xr:revisionPtr revIDLastSave="0" documentId="13_ncr:1_{7340C74F-AB0F-4A5C-A31B-E2BBD63390D3}" xr6:coauthVersionLast="47" xr6:coauthVersionMax="47" xr10:uidLastSave="{00000000-0000-0000-0000-000000000000}"/>
  <bookViews>
    <workbookView xWindow="-120" yWindow="-120" windowWidth="38640" windowHeight="21240" tabRatio="721" firstSheet="3" activeTab="3" xr2:uid="{D0C18B61-A3BC-4455-A7A5-2392E379F300}"/>
  </bookViews>
  <sheets>
    <sheet name="RAW DATA" sheetId="2" state="hidden" r:id="rId1"/>
    <sheet name="Table Prediction Calculations" sheetId="15" state="hidden" r:id="rId2"/>
    <sheet name="Table_Raw" sheetId="3" state="hidden" r:id="rId3"/>
    <sheet name="Table" sheetId="19" r:id="rId4"/>
    <sheet name="Attacking Stats" sheetId="7" r:id="rId5"/>
    <sheet name="Goalkeeping Stats" sheetId="6" r:id="rId6"/>
    <sheet name="Passing Stats" sheetId="10" r:id="rId7"/>
    <sheet name="Defending Stats" sheetId="11" r:id="rId8"/>
    <sheet name="Game Prediction" sheetId="13" r:id="rId9"/>
    <sheet name="Table Prediction" sheetId="14" r:id="rId10"/>
  </sheets>
  <definedNames>
    <definedName name="_xlnm._FilterDatabase" localSheetId="1" hidden="1">'Table Prediction Calculations'!$V$75:$AD$94</definedName>
    <definedName name="away_score">'Table Prediction Calculations'!$N$2:$N$381</definedName>
    <definedName name="away_team">'Table Prediction Calculations'!$O$2:$O$381</definedName>
    <definedName name="away_xg_score">Scores_and_Fixtures_xg[xG_1]</definedName>
    <definedName name="ExternalData_1" localSheetId="4" hidden="1">'Attacking Stats'!$A$1:$P$25</definedName>
    <definedName name="ExternalData_1" localSheetId="7" hidden="1">'Defending Stats'!$A$1:$L$25</definedName>
    <definedName name="ExternalData_1" localSheetId="5" hidden="1">'Goalkeeping Stats'!$A$1:$H$25</definedName>
    <definedName name="ExternalData_1" localSheetId="6" hidden="1">'Passing Stats'!$A$1:$F$25</definedName>
    <definedName name="ExternalData_1" localSheetId="1" hidden="1">'Table Prediction Calculations'!$A$1:$E$553</definedName>
    <definedName name="ExternalData_1" localSheetId="2" hidden="1">Table_Raw!$A$2:$P$26</definedName>
    <definedName name="ExternalData_2" localSheetId="1" hidden="1">'Table Prediction Calculations'!$A$555:$E$1107</definedName>
    <definedName name="home_score">'Table Prediction Calculations'!$M$2:$M$381</definedName>
    <definedName name="home_team">'Table Prediction Calculations'!$L$2:$L$381</definedName>
    <definedName name="Premier_League_Scores_and_Fixtures" localSheetId="0">'RAW DATA'!$A$269:$N$868</definedName>
    <definedName name="Premier_League_Stats" localSheetId="0">'RAW DATA'!$A$1:$T$122</definedName>
    <definedName name="Premier_League_Stats_2" localSheetId="0">'RAW DATA'!$AD$1:$AX$27</definedName>
    <definedName name="Premier_League_Stats_3" localSheetId="0">'RAW DATA'!$AD$36:$AW$62</definedName>
    <definedName name="Premier_League_Stats_4" localSheetId="0">'RAW DATA'!$A$153:$Z$179</definedName>
    <definedName name="Premier_League_Stats_5" localSheetId="0">'RAW DATA'!$AD$70:$BC$96</definedName>
    <definedName name="Premier_League_Stats_6" localSheetId="0">'RAW DATA'!$A$189:$Z$215</definedName>
    <definedName name="Premier_League_Stats_7" localSheetId="0">'RAW DATA'!$A$218:$S$244</definedName>
    <definedName name="xg_away_team">Scores_and_Fixtures_xg[Away]</definedName>
    <definedName name="xg_home_team">Scores_and_Fixtures_xg[Home]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4" l="1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AB3" i="14"/>
  <c r="AF27" i="14" s="1"/>
  <c r="AA3" i="14"/>
  <c r="AF26" i="14" s="1"/>
  <c r="Z3" i="14"/>
  <c r="AF25" i="14" s="1"/>
  <c r="Y3" i="14"/>
  <c r="X3" i="14"/>
  <c r="AF23" i="14" s="1"/>
  <c r="W3" i="14"/>
  <c r="AF22" i="14" s="1"/>
  <c r="V3" i="14"/>
  <c r="U3" i="14"/>
  <c r="T3" i="14"/>
  <c r="S3" i="14"/>
  <c r="AF18" i="14" s="1"/>
  <c r="R3" i="14"/>
  <c r="Q3" i="14"/>
  <c r="P3" i="14"/>
  <c r="AF15" i="14" s="1"/>
  <c r="O3" i="14"/>
  <c r="N3" i="14"/>
  <c r="M3" i="14"/>
  <c r="AF12" i="14" s="1"/>
  <c r="L3" i="14"/>
  <c r="AF11" i="14" s="1"/>
  <c r="K3" i="14"/>
  <c r="J3" i="14"/>
  <c r="AF9" i="14" s="1"/>
  <c r="I3" i="14"/>
  <c r="AF8" i="14" s="1"/>
  <c r="H3" i="14"/>
  <c r="G3" i="14"/>
  <c r="F3" i="14"/>
  <c r="E3" i="14"/>
  <c r="AF4" i="14" s="1"/>
  <c r="C23" i="14"/>
  <c r="D23" i="14"/>
  <c r="C24" i="14"/>
  <c r="D24" i="14"/>
  <c r="C25" i="14"/>
  <c r="D25" i="14"/>
  <c r="C26" i="14"/>
  <c r="D26" i="14"/>
  <c r="A26" i="14"/>
  <c r="B26" i="14"/>
  <c r="B22" i="14"/>
  <c r="B23" i="14"/>
  <c r="B24" i="14"/>
  <c r="B25" i="14"/>
  <c r="A20" i="14"/>
  <c r="A21" i="14"/>
  <c r="A22" i="14"/>
  <c r="A23" i="14"/>
  <c r="A24" i="14"/>
  <c r="A25" i="14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8" i="15"/>
  <c r="N489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509" i="15"/>
  <c r="N510" i="15"/>
  <c r="N511" i="15"/>
  <c r="N512" i="15"/>
  <c r="N513" i="15"/>
  <c r="N514" i="15"/>
  <c r="N515" i="15"/>
  <c r="N516" i="15"/>
  <c r="N517" i="15"/>
  <c r="N518" i="15"/>
  <c r="N519" i="15"/>
  <c r="N520" i="15"/>
  <c r="N521" i="15"/>
  <c r="N522" i="15"/>
  <c r="N523" i="15"/>
  <c r="N524" i="15"/>
  <c r="N525" i="15"/>
  <c r="N526" i="15"/>
  <c r="N527" i="15"/>
  <c r="N528" i="15"/>
  <c r="N529" i="15"/>
  <c r="N530" i="15"/>
  <c r="N531" i="15"/>
  <c r="N532" i="15"/>
  <c r="N533" i="15"/>
  <c r="N534" i="15"/>
  <c r="N535" i="15"/>
  <c r="N536" i="15"/>
  <c r="N537" i="15"/>
  <c r="N538" i="15"/>
  <c r="N539" i="15"/>
  <c r="N540" i="15"/>
  <c r="N541" i="15"/>
  <c r="N542" i="15"/>
  <c r="N543" i="15"/>
  <c r="N544" i="15"/>
  <c r="N545" i="15"/>
  <c r="N546" i="15"/>
  <c r="N547" i="15"/>
  <c r="N548" i="15"/>
  <c r="N549" i="15"/>
  <c r="N550" i="15"/>
  <c r="N551" i="15"/>
  <c r="N552" i="15"/>
  <c r="N553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6" i="15"/>
  <c r="M437" i="15"/>
  <c r="M438" i="15"/>
  <c r="M439" i="15"/>
  <c r="M440" i="15"/>
  <c r="M441" i="15"/>
  <c r="M442" i="15"/>
  <c r="M443" i="15"/>
  <c r="M444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97" i="15"/>
  <c r="M498" i="15"/>
  <c r="M499" i="15"/>
  <c r="M500" i="15"/>
  <c r="M501" i="15"/>
  <c r="M502" i="15"/>
  <c r="M503" i="15"/>
  <c r="M504" i="15"/>
  <c r="M505" i="15"/>
  <c r="M506" i="15"/>
  <c r="M507" i="15"/>
  <c r="M508" i="15"/>
  <c r="M509" i="15"/>
  <c r="M510" i="15"/>
  <c r="M511" i="15"/>
  <c r="M512" i="15"/>
  <c r="M513" i="15"/>
  <c r="M514" i="15"/>
  <c r="M515" i="15"/>
  <c r="M516" i="15"/>
  <c r="M517" i="15"/>
  <c r="M518" i="15"/>
  <c r="M519" i="15"/>
  <c r="M520" i="15"/>
  <c r="M521" i="15"/>
  <c r="M522" i="15"/>
  <c r="M523" i="15"/>
  <c r="M524" i="15"/>
  <c r="M525" i="15"/>
  <c r="M526" i="15"/>
  <c r="M527" i="15"/>
  <c r="M528" i="15"/>
  <c r="M529" i="15"/>
  <c r="M530" i="15"/>
  <c r="M531" i="15"/>
  <c r="M532" i="15"/>
  <c r="M533" i="15"/>
  <c r="M534" i="15"/>
  <c r="M535" i="15"/>
  <c r="M536" i="15"/>
  <c r="M537" i="15"/>
  <c r="M538" i="15"/>
  <c r="M539" i="15"/>
  <c r="M540" i="15"/>
  <c r="M541" i="15"/>
  <c r="M542" i="15"/>
  <c r="M543" i="15"/>
  <c r="M544" i="15"/>
  <c r="M545" i="15"/>
  <c r="M546" i="15"/>
  <c r="M547" i="15"/>
  <c r="M548" i="15"/>
  <c r="M549" i="15"/>
  <c r="M550" i="15"/>
  <c r="M551" i="15"/>
  <c r="M552" i="15"/>
  <c r="M553" i="15"/>
  <c r="M2" i="15"/>
  <c r="BV94" i="15"/>
  <c r="CB94" i="15" s="1"/>
  <c r="CE94" i="15" s="1"/>
  <c r="BW94" i="15"/>
  <c r="BY94" i="15"/>
  <c r="BZ94" i="15"/>
  <c r="CC94" i="15" s="1"/>
  <c r="CF94" i="15" s="1"/>
  <c r="BV95" i="15"/>
  <c r="BW95" i="15"/>
  <c r="BY95" i="15"/>
  <c r="BZ95" i="15"/>
  <c r="CB95" i="15"/>
  <c r="CE95" i="15" s="1"/>
  <c r="CC95" i="15"/>
  <c r="CF95" i="15" s="1"/>
  <c r="BV96" i="15"/>
  <c r="BW96" i="15"/>
  <c r="CB96" i="15" s="1"/>
  <c r="CE96" i="15" s="1"/>
  <c r="BY96" i="15"/>
  <c r="BZ96" i="15"/>
  <c r="BV97" i="15"/>
  <c r="BW97" i="15"/>
  <c r="BY97" i="15"/>
  <c r="BZ97" i="15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K553" i="15"/>
  <c r="L553" i="15"/>
  <c r="O553" i="15"/>
  <c r="K541" i="15"/>
  <c r="L541" i="15"/>
  <c r="O541" i="15"/>
  <c r="K542" i="15"/>
  <c r="L542" i="15"/>
  <c r="O542" i="15"/>
  <c r="K543" i="15"/>
  <c r="L543" i="15"/>
  <c r="O543" i="15"/>
  <c r="K544" i="15"/>
  <c r="L544" i="15"/>
  <c r="O544" i="15"/>
  <c r="K545" i="15"/>
  <c r="L545" i="15"/>
  <c r="O545" i="15"/>
  <c r="K546" i="15"/>
  <c r="L546" i="15"/>
  <c r="O546" i="15"/>
  <c r="K547" i="15"/>
  <c r="L547" i="15"/>
  <c r="O547" i="15"/>
  <c r="K548" i="15"/>
  <c r="L548" i="15"/>
  <c r="O548" i="15"/>
  <c r="K549" i="15"/>
  <c r="L549" i="15"/>
  <c r="O549" i="15"/>
  <c r="K550" i="15"/>
  <c r="L550" i="15"/>
  <c r="O550" i="15"/>
  <c r="K551" i="15"/>
  <c r="L551" i="15"/>
  <c r="O551" i="15"/>
  <c r="K552" i="15"/>
  <c r="L552" i="15"/>
  <c r="O552" i="15"/>
  <c r="K522" i="15"/>
  <c r="L522" i="15"/>
  <c r="O522" i="15"/>
  <c r="K523" i="15"/>
  <c r="L523" i="15"/>
  <c r="O523" i="15"/>
  <c r="K524" i="15"/>
  <c r="L524" i="15"/>
  <c r="O524" i="15"/>
  <c r="K525" i="15"/>
  <c r="L525" i="15"/>
  <c r="O525" i="15"/>
  <c r="K526" i="15"/>
  <c r="L526" i="15"/>
  <c r="O526" i="15"/>
  <c r="K527" i="15"/>
  <c r="L527" i="15"/>
  <c r="O527" i="15"/>
  <c r="K528" i="15"/>
  <c r="L528" i="15"/>
  <c r="O528" i="15"/>
  <c r="K529" i="15"/>
  <c r="L529" i="15"/>
  <c r="O529" i="15"/>
  <c r="K530" i="15"/>
  <c r="L530" i="15"/>
  <c r="O530" i="15"/>
  <c r="K531" i="15"/>
  <c r="L531" i="15"/>
  <c r="O531" i="15"/>
  <c r="K532" i="15"/>
  <c r="L532" i="15"/>
  <c r="O532" i="15"/>
  <c r="K533" i="15"/>
  <c r="L533" i="15"/>
  <c r="O533" i="15"/>
  <c r="K534" i="15"/>
  <c r="L534" i="15"/>
  <c r="O534" i="15"/>
  <c r="K535" i="15"/>
  <c r="L535" i="15"/>
  <c r="O535" i="15"/>
  <c r="K536" i="15"/>
  <c r="L536" i="15"/>
  <c r="O536" i="15"/>
  <c r="K537" i="15"/>
  <c r="L537" i="15"/>
  <c r="O537" i="15"/>
  <c r="K538" i="15"/>
  <c r="L538" i="15"/>
  <c r="O538" i="15"/>
  <c r="K539" i="15"/>
  <c r="L539" i="15"/>
  <c r="O539" i="15"/>
  <c r="K540" i="15"/>
  <c r="L540" i="15"/>
  <c r="O540" i="15"/>
  <c r="K382" i="15"/>
  <c r="L382" i="15"/>
  <c r="O382" i="15"/>
  <c r="K383" i="15"/>
  <c r="L383" i="15"/>
  <c r="O383" i="15"/>
  <c r="K384" i="15"/>
  <c r="L384" i="15"/>
  <c r="O384" i="15"/>
  <c r="K385" i="15"/>
  <c r="L385" i="15"/>
  <c r="O385" i="15"/>
  <c r="K386" i="15"/>
  <c r="L386" i="15"/>
  <c r="O386" i="15"/>
  <c r="K387" i="15"/>
  <c r="L387" i="15"/>
  <c r="O387" i="15"/>
  <c r="K388" i="15"/>
  <c r="L388" i="15"/>
  <c r="O388" i="15"/>
  <c r="K389" i="15"/>
  <c r="L389" i="15"/>
  <c r="O389" i="15"/>
  <c r="K390" i="15"/>
  <c r="L390" i="15"/>
  <c r="O390" i="15"/>
  <c r="K391" i="15"/>
  <c r="L391" i="15"/>
  <c r="O391" i="15"/>
  <c r="K392" i="15"/>
  <c r="L392" i="15"/>
  <c r="O392" i="15"/>
  <c r="K393" i="15"/>
  <c r="L393" i="15"/>
  <c r="O393" i="15"/>
  <c r="K394" i="15"/>
  <c r="L394" i="15"/>
  <c r="O394" i="15"/>
  <c r="K395" i="15"/>
  <c r="L395" i="15"/>
  <c r="O395" i="15"/>
  <c r="K396" i="15"/>
  <c r="L396" i="15"/>
  <c r="O396" i="15"/>
  <c r="K397" i="15"/>
  <c r="L397" i="15"/>
  <c r="O397" i="15"/>
  <c r="K398" i="15"/>
  <c r="L398" i="15"/>
  <c r="O398" i="15"/>
  <c r="K399" i="15"/>
  <c r="L399" i="15"/>
  <c r="O399" i="15"/>
  <c r="K400" i="15"/>
  <c r="L400" i="15"/>
  <c r="O400" i="15"/>
  <c r="K401" i="15"/>
  <c r="L401" i="15"/>
  <c r="O401" i="15"/>
  <c r="K402" i="15"/>
  <c r="L402" i="15"/>
  <c r="O402" i="15"/>
  <c r="K403" i="15"/>
  <c r="L403" i="15"/>
  <c r="O403" i="15"/>
  <c r="K404" i="15"/>
  <c r="L404" i="15"/>
  <c r="O404" i="15"/>
  <c r="K405" i="15"/>
  <c r="L405" i="15"/>
  <c r="O405" i="15"/>
  <c r="K406" i="15"/>
  <c r="L406" i="15"/>
  <c r="O406" i="15"/>
  <c r="K407" i="15"/>
  <c r="L407" i="15"/>
  <c r="O407" i="15"/>
  <c r="K408" i="15"/>
  <c r="L408" i="15"/>
  <c r="O408" i="15"/>
  <c r="K409" i="15"/>
  <c r="L409" i="15"/>
  <c r="O409" i="15"/>
  <c r="K410" i="15"/>
  <c r="L410" i="15"/>
  <c r="O410" i="15"/>
  <c r="K411" i="15"/>
  <c r="L411" i="15"/>
  <c r="O411" i="15"/>
  <c r="K412" i="15"/>
  <c r="L412" i="15"/>
  <c r="O412" i="15"/>
  <c r="K413" i="15"/>
  <c r="L413" i="15"/>
  <c r="O413" i="15"/>
  <c r="K414" i="15"/>
  <c r="L414" i="15"/>
  <c r="O414" i="15"/>
  <c r="K415" i="15"/>
  <c r="L415" i="15"/>
  <c r="O415" i="15"/>
  <c r="K416" i="15"/>
  <c r="L416" i="15"/>
  <c r="O416" i="15"/>
  <c r="K417" i="15"/>
  <c r="L417" i="15"/>
  <c r="O417" i="15"/>
  <c r="K418" i="15"/>
  <c r="L418" i="15"/>
  <c r="O418" i="15"/>
  <c r="K419" i="15"/>
  <c r="L419" i="15"/>
  <c r="O419" i="15"/>
  <c r="K420" i="15"/>
  <c r="L420" i="15"/>
  <c r="O420" i="15"/>
  <c r="K421" i="15"/>
  <c r="L421" i="15"/>
  <c r="O421" i="15"/>
  <c r="K422" i="15"/>
  <c r="L422" i="15"/>
  <c r="O422" i="15"/>
  <c r="K423" i="15"/>
  <c r="L423" i="15"/>
  <c r="O423" i="15"/>
  <c r="K424" i="15"/>
  <c r="L424" i="15"/>
  <c r="O424" i="15"/>
  <c r="K425" i="15"/>
  <c r="L425" i="15"/>
  <c r="O425" i="15"/>
  <c r="K426" i="15"/>
  <c r="L426" i="15"/>
  <c r="O426" i="15"/>
  <c r="K427" i="15"/>
  <c r="L427" i="15"/>
  <c r="O427" i="15"/>
  <c r="K428" i="15"/>
  <c r="L428" i="15"/>
  <c r="O428" i="15"/>
  <c r="K429" i="15"/>
  <c r="L429" i="15"/>
  <c r="O429" i="15"/>
  <c r="K430" i="15"/>
  <c r="L430" i="15"/>
  <c r="O430" i="15"/>
  <c r="K431" i="15"/>
  <c r="L431" i="15"/>
  <c r="O431" i="15"/>
  <c r="K432" i="15"/>
  <c r="L432" i="15"/>
  <c r="O432" i="15"/>
  <c r="K433" i="15"/>
  <c r="L433" i="15"/>
  <c r="O433" i="15"/>
  <c r="K434" i="15"/>
  <c r="L434" i="15"/>
  <c r="O434" i="15"/>
  <c r="K435" i="15"/>
  <c r="L435" i="15"/>
  <c r="O435" i="15"/>
  <c r="K436" i="15"/>
  <c r="L436" i="15"/>
  <c r="O436" i="15"/>
  <c r="K437" i="15"/>
  <c r="L437" i="15"/>
  <c r="O437" i="15"/>
  <c r="K438" i="15"/>
  <c r="L438" i="15"/>
  <c r="O438" i="15"/>
  <c r="K439" i="15"/>
  <c r="L439" i="15"/>
  <c r="O439" i="15"/>
  <c r="K440" i="15"/>
  <c r="L440" i="15"/>
  <c r="O440" i="15"/>
  <c r="K441" i="15"/>
  <c r="L441" i="15"/>
  <c r="O441" i="15"/>
  <c r="K442" i="15"/>
  <c r="L442" i="15"/>
  <c r="O442" i="15"/>
  <c r="K443" i="15"/>
  <c r="L443" i="15"/>
  <c r="O443" i="15"/>
  <c r="K444" i="15"/>
  <c r="L444" i="15"/>
  <c r="O444" i="15"/>
  <c r="K445" i="15"/>
  <c r="L445" i="15"/>
  <c r="O445" i="15"/>
  <c r="K446" i="15"/>
  <c r="L446" i="15"/>
  <c r="O446" i="15"/>
  <c r="K447" i="15"/>
  <c r="L447" i="15"/>
  <c r="O447" i="15"/>
  <c r="K448" i="15"/>
  <c r="L448" i="15"/>
  <c r="O448" i="15"/>
  <c r="K449" i="15"/>
  <c r="L449" i="15"/>
  <c r="O449" i="15"/>
  <c r="K450" i="15"/>
  <c r="L450" i="15"/>
  <c r="O450" i="15"/>
  <c r="K451" i="15"/>
  <c r="L451" i="15"/>
  <c r="O451" i="15"/>
  <c r="K452" i="15"/>
  <c r="L452" i="15"/>
  <c r="O452" i="15"/>
  <c r="K453" i="15"/>
  <c r="L453" i="15"/>
  <c r="O453" i="15"/>
  <c r="K454" i="15"/>
  <c r="L454" i="15"/>
  <c r="O454" i="15"/>
  <c r="K455" i="15"/>
  <c r="L455" i="15"/>
  <c r="O455" i="15"/>
  <c r="K456" i="15"/>
  <c r="L456" i="15"/>
  <c r="O456" i="15"/>
  <c r="K457" i="15"/>
  <c r="L457" i="15"/>
  <c r="O457" i="15"/>
  <c r="K458" i="15"/>
  <c r="L458" i="15"/>
  <c r="O458" i="15"/>
  <c r="K459" i="15"/>
  <c r="L459" i="15"/>
  <c r="O459" i="15"/>
  <c r="K460" i="15"/>
  <c r="L460" i="15"/>
  <c r="O460" i="15"/>
  <c r="K461" i="15"/>
  <c r="L461" i="15"/>
  <c r="O461" i="15"/>
  <c r="K462" i="15"/>
  <c r="L462" i="15"/>
  <c r="O462" i="15"/>
  <c r="K463" i="15"/>
  <c r="L463" i="15"/>
  <c r="O463" i="15"/>
  <c r="K464" i="15"/>
  <c r="L464" i="15"/>
  <c r="O464" i="15"/>
  <c r="K465" i="15"/>
  <c r="L465" i="15"/>
  <c r="O465" i="15"/>
  <c r="K466" i="15"/>
  <c r="L466" i="15"/>
  <c r="O466" i="15"/>
  <c r="K467" i="15"/>
  <c r="L467" i="15"/>
  <c r="O467" i="15"/>
  <c r="K468" i="15"/>
  <c r="L468" i="15"/>
  <c r="O468" i="15"/>
  <c r="K469" i="15"/>
  <c r="L469" i="15"/>
  <c r="O469" i="15"/>
  <c r="K470" i="15"/>
  <c r="L470" i="15"/>
  <c r="O470" i="15"/>
  <c r="K471" i="15"/>
  <c r="L471" i="15"/>
  <c r="O471" i="15"/>
  <c r="K472" i="15"/>
  <c r="L472" i="15"/>
  <c r="O472" i="15"/>
  <c r="K473" i="15"/>
  <c r="L473" i="15"/>
  <c r="O473" i="15"/>
  <c r="K474" i="15"/>
  <c r="L474" i="15"/>
  <c r="O474" i="15"/>
  <c r="K475" i="15"/>
  <c r="L475" i="15"/>
  <c r="O475" i="15"/>
  <c r="K476" i="15"/>
  <c r="L476" i="15"/>
  <c r="O476" i="15"/>
  <c r="K477" i="15"/>
  <c r="L477" i="15"/>
  <c r="O477" i="15"/>
  <c r="K478" i="15"/>
  <c r="L478" i="15"/>
  <c r="O478" i="15"/>
  <c r="K479" i="15"/>
  <c r="L479" i="15"/>
  <c r="O479" i="15"/>
  <c r="K480" i="15"/>
  <c r="L480" i="15"/>
  <c r="O480" i="15"/>
  <c r="K481" i="15"/>
  <c r="L481" i="15"/>
  <c r="O481" i="15"/>
  <c r="K482" i="15"/>
  <c r="L482" i="15"/>
  <c r="O482" i="15"/>
  <c r="K483" i="15"/>
  <c r="L483" i="15"/>
  <c r="O483" i="15"/>
  <c r="K484" i="15"/>
  <c r="L484" i="15"/>
  <c r="O484" i="15"/>
  <c r="K485" i="15"/>
  <c r="L485" i="15"/>
  <c r="O485" i="15"/>
  <c r="K486" i="15"/>
  <c r="L486" i="15"/>
  <c r="O486" i="15"/>
  <c r="K487" i="15"/>
  <c r="L487" i="15"/>
  <c r="O487" i="15"/>
  <c r="K488" i="15"/>
  <c r="L488" i="15"/>
  <c r="O488" i="15"/>
  <c r="K489" i="15"/>
  <c r="L489" i="15"/>
  <c r="O489" i="15"/>
  <c r="K490" i="15"/>
  <c r="L490" i="15"/>
  <c r="O490" i="15"/>
  <c r="K491" i="15"/>
  <c r="L491" i="15"/>
  <c r="O491" i="15"/>
  <c r="K492" i="15"/>
  <c r="L492" i="15"/>
  <c r="O492" i="15"/>
  <c r="K493" i="15"/>
  <c r="L493" i="15"/>
  <c r="O493" i="15"/>
  <c r="K494" i="15"/>
  <c r="L494" i="15"/>
  <c r="O494" i="15"/>
  <c r="K495" i="15"/>
  <c r="L495" i="15"/>
  <c r="O495" i="15"/>
  <c r="K496" i="15"/>
  <c r="L496" i="15"/>
  <c r="O496" i="15"/>
  <c r="K497" i="15"/>
  <c r="L497" i="15"/>
  <c r="O497" i="15"/>
  <c r="K498" i="15"/>
  <c r="L498" i="15"/>
  <c r="O498" i="15"/>
  <c r="K499" i="15"/>
  <c r="L499" i="15"/>
  <c r="O499" i="15"/>
  <c r="K500" i="15"/>
  <c r="L500" i="15"/>
  <c r="O500" i="15"/>
  <c r="K501" i="15"/>
  <c r="L501" i="15"/>
  <c r="O501" i="15"/>
  <c r="K502" i="15"/>
  <c r="L502" i="15"/>
  <c r="O502" i="15"/>
  <c r="K503" i="15"/>
  <c r="L503" i="15"/>
  <c r="O503" i="15"/>
  <c r="K504" i="15"/>
  <c r="L504" i="15"/>
  <c r="O504" i="15"/>
  <c r="K505" i="15"/>
  <c r="L505" i="15"/>
  <c r="O505" i="15"/>
  <c r="K506" i="15"/>
  <c r="L506" i="15"/>
  <c r="O506" i="15"/>
  <c r="K507" i="15"/>
  <c r="L507" i="15"/>
  <c r="O507" i="15"/>
  <c r="K508" i="15"/>
  <c r="L508" i="15"/>
  <c r="O508" i="15"/>
  <c r="K509" i="15"/>
  <c r="L509" i="15"/>
  <c r="O509" i="15"/>
  <c r="K510" i="15"/>
  <c r="L510" i="15"/>
  <c r="O510" i="15"/>
  <c r="K511" i="15"/>
  <c r="L511" i="15"/>
  <c r="O511" i="15"/>
  <c r="K512" i="15"/>
  <c r="L512" i="15"/>
  <c r="O512" i="15"/>
  <c r="K513" i="15"/>
  <c r="L513" i="15"/>
  <c r="O513" i="15"/>
  <c r="K514" i="15"/>
  <c r="L514" i="15"/>
  <c r="O514" i="15"/>
  <c r="K515" i="15"/>
  <c r="L515" i="15"/>
  <c r="O515" i="15"/>
  <c r="K516" i="15"/>
  <c r="L516" i="15"/>
  <c r="O516" i="15"/>
  <c r="K517" i="15"/>
  <c r="L517" i="15"/>
  <c r="O517" i="15"/>
  <c r="K518" i="15"/>
  <c r="L518" i="15"/>
  <c r="O518" i="15"/>
  <c r="K519" i="15"/>
  <c r="L519" i="15"/>
  <c r="O519" i="15"/>
  <c r="K520" i="15"/>
  <c r="L520" i="15"/>
  <c r="O520" i="15"/>
  <c r="K521" i="15"/>
  <c r="L521" i="15"/>
  <c r="O521" i="15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A19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18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17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16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A15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14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13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A12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A11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A10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9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8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A7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A6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A5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A3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A2" i="19"/>
  <c r="AF7" i="14" l="1"/>
  <c r="AF21" i="14"/>
  <c r="AF10" i="14"/>
  <c r="AF24" i="14"/>
  <c r="AF13" i="14"/>
  <c r="AF14" i="14"/>
  <c r="AF16" i="14"/>
  <c r="AF17" i="14"/>
  <c r="AF5" i="14"/>
  <c r="AF19" i="14"/>
  <c r="AF6" i="14"/>
  <c r="AF20" i="14"/>
  <c r="CC97" i="15"/>
  <c r="CF97" i="15" s="1"/>
  <c r="CB97" i="15"/>
  <c r="CE97" i="15" s="1"/>
  <c r="CC96" i="15"/>
  <c r="CF96" i="15" s="1"/>
  <c r="CE102" i="15"/>
  <c r="BZ75" i="15"/>
  <c r="BZ76" i="15"/>
  <c r="BZ77" i="15"/>
  <c r="BZ78" i="15"/>
  <c r="BZ79" i="15"/>
  <c r="BZ80" i="15"/>
  <c r="BZ81" i="15"/>
  <c r="BZ82" i="15"/>
  <c r="BZ83" i="15"/>
  <c r="BZ84" i="15"/>
  <c r="BZ85" i="15"/>
  <c r="BZ86" i="15"/>
  <c r="BZ87" i="15"/>
  <c r="BZ88" i="15"/>
  <c r="BZ89" i="15"/>
  <c r="BZ90" i="15"/>
  <c r="BZ91" i="15"/>
  <c r="BZ92" i="15"/>
  <c r="BZ93" i="15"/>
  <c r="BZ74" i="15"/>
  <c r="BY75" i="15"/>
  <c r="BY76" i="15"/>
  <c r="BY77" i="15"/>
  <c r="BY78" i="15"/>
  <c r="BY79" i="15"/>
  <c r="BY80" i="15"/>
  <c r="BY81" i="15"/>
  <c r="BY82" i="15"/>
  <c r="BY83" i="15"/>
  <c r="BY84" i="15"/>
  <c r="BY85" i="15"/>
  <c r="BY86" i="15"/>
  <c r="BY87" i="15"/>
  <c r="BY88" i="15"/>
  <c r="BY89" i="15"/>
  <c r="BY90" i="15"/>
  <c r="BY91" i="15"/>
  <c r="BY92" i="15"/>
  <c r="BY93" i="15"/>
  <c r="BY74" i="15"/>
  <c r="BW75" i="15"/>
  <c r="BW76" i="15"/>
  <c r="BW77" i="15"/>
  <c r="BW78" i="15"/>
  <c r="BW79" i="15"/>
  <c r="BW80" i="15"/>
  <c r="BW81" i="15"/>
  <c r="BW82" i="15"/>
  <c r="BW83" i="15"/>
  <c r="BW84" i="15"/>
  <c r="BW85" i="15"/>
  <c r="BW86" i="15"/>
  <c r="BW87" i="15"/>
  <c r="BW88" i="15"/>
  <c r="BW89" i="15"/>
  <c r="BW90" i="15"/>
  <c r="BW91" i="15"/>
  <c r="BW92" i="15"/>
  <c r="BW93" i="15"/>
  <c r="BW74" i="15"/>
  <c r="BV75" i="15"/>
  <c r="BV76" i="15"/>
  <c r="BV77" i="15"/>
  <c r="BV78" i="15"/>
  <c r="BV79" i="15"/>
  <c r="BV80" i="15"/>
  <c r="BV81" i="15"/>
  <c r="BV82" i="15"/>
  <c r="BV83" i="15"/>
  <c r="BV84" i="15"/>
  <c r="BV85" i="15"/>
  <c r="BV86" i="15"/>
  <c r="BV87" i="15"/>
  <c r="BV88" i="15"/>
  <c r="BV89" i="15"/>
  <c r="BV90" i="15"/>
  <c r="BV91" i="15"/>
  <c r="BV92" i="15"/>
  <c r="BV93" i="15"/>
  <c r="BV74" i="15"/>
  <c r="AZ59" i="15"/>
  <c r="AZ60" i="15"/>
  <c r="AZ61" i="15"/>
  <c r="AZ62" i="15"/>
  <c r="AZ63" i="15"/>
  <c r="AZ64" i="15"/>
  <c r="AZ65" i="15"/>
  <c r="AZ66" i="15"/>
  <c r="AZ67" i="15"/>
  <c r="AZ68" i="15"/>
  <c r="AZ69" i="15"/>
  <c r="AZ70" i="15"/>
  <c r="AZ71" i="15"/>
  <c r="AZ72" i="15"/>
  <c r="AZ73" i="15"/>
  <c r="AZ74" i="15"/>
  <c r="AZ75" i="15"/>
  <c r="AZ76" i="15"/>
  <c r="AZ77" i="15"/>
  <c r="AZ58" i="15"/>
  <c r="AY77" i="15"/>
  <c r="AY59" i="15"/>
  <c r="AY60" i="15"/>
  <c r="AY61" i="15"/>
  <c r="AY62" i="15"/>
  <c r="AY63" i="15"/>
  <c r="AY64" i="15"/>
  <c r="AY65" i="15"/>
  <c r="AY66" i="15"/>
  <c r="AY67" i="15"/>
  <c r="AY68" i="15"/>
  <c r="AY69" i="15"/>
  <c r="AY70" i="15"/>
  <c r="AY71" i="15"/>
  <c r="AY72" i="15"/>
  <c r="AY73" i="15"/>
  <c r="AY74" i="15"/>
  <c r="AY75" i="15"/>
  <c r="AY76" i="15"/>
  <c r="AY58" i="15"/>
  <c r="AX28" i="15"/>
  <c r="AX29" i="15"/>
  <c r="AX30" i="15"/>
  <c r="AX31" i="15"/>
  <c r="AX32" i="15"/>
  <c r="AX33" i="15"/>
  <c r="AX34" i="15"/>
  <c r="AX35" i="15"/>
  <c r="AX36" i="15"/>
  <c r="AX37" i="15"/>
  <c r="AX38" i="15"/>
  <c r="AX39" i="15"/>
  <c r="AX40" i="15"/>
  <c r="AX41" i="15"/>
  <c r="AX42" i="15"/>
  <c r="AX43" i="15"/>
  <c r="AX44" i="15"/>
  <c r="AX45" i="15"/>
  <c r="AX46" i="15"/>
  <c r="AX27" i="15"/>
  <c r="AW28" i="15"/>
  <c r="AU59" i="15" s="1"/>
  <c r="AW29" i="15"/>
  <c r="AU60" i="15" s="1"/>
  <c r="AW30" i="15"/>
  <c r="AU61" i="15" s="1"/>
  <c r="AW31" i="15"/>
  <c r="AU62" i="15" s="1"/>
  <c r="AW32" i="15"/>
  <c r="AU63" i="15" s="1"/>
  <c r="AW33" i="15"/>
  <c r="AU64" i="15" s="1"/>
  <c r="AW34" i="15"/>
  <c r="AU65" i="15" s="1"/>
  <c r="AW35" i="15"/>
  <c r="AU66" i="15" s="1"/>
  <c r="AW36" i="15"/>
  <c r="AU67" i="15" s="1"/>
  <c r="AW37" i="15"/>
  <c r="AU68" i="15" s="1"/>
  <c r="AW38" i="15"/>
  <c r="AU69" i="15" s="1"/>
  <c r="AW39" i="15"/>
  <c r="AU70" i="15" s="1"/>
  <c r="AW40" i="15"/>
  <c r="AU71" i="15" s="1"/>
  <c r="AW41" i="15"/>
  <c r="AU72" i="15" s="1"/>
  <c r="AW42" i="15"/>
  <c r="AU73" i="15" s="1"/>
  <c r="AW43" i="15"/>
  <c r="AU74" i="15" s="1"/>
  <c r="AW44" i="15"/>
  <c r="AU75" i="15" s="1"/>
  <c r="AW45" i="15"/>
  <c r="AU76" i="15" s="1"/>
  <c r="AW46" i="15"/>
  <c r="AU77" i="15" s="1"/>
  <c r="AW27" i="15"/>
  <c r="AU58" i="15" s="1"/>
  <c r="AV28" i="15"/>
  <c r="AV29" i="15"/>
  <c r="AV30" i="15"/>
  <c r="AV31" i="15"/>
  <c r="AV32" i="15"/>
  <c r="AV33" i="15"/>
  <c r="AV34" i="15"/>
  <c r="AV35" i="15"/>
  <c r="AV36" i="15"/>
  <c r="AV37" i="15"/>
  <c r="AV38" i="15"/>
  <c r="AV39" i="15"/>
  <c r="AV40" i="15"/>
  <c r="AV41" i="15"/>
  <c r="AV42" i="15"/>
  <c r="AV43" i="15"/>
  <c r="AV44" i="15"/>
  <c r="AV45" i="15"/>
  <c r="AV46" i="15"/>
  <c r="AU28" i="15"/>
  <c r="AT59" i="15" s="1"/>
  <c r="AU29" i="15"/>
  <c r="AU30" i="15"/>
  <c r="AT61" i="15" s="1"/>
  <c r="AU31" i="15"/>
  <c r="AT62" i="15" s="1"/>
  <c r="AU32" i="15"/>
  <c r="AT63" i="15" s="1"/>
  <c r="AU33" i="15"/>
  <c r="AT64" i="15" s="1"/>
  <c r="AU34" i="15"/>
  <c r="AT65" i="15" s="1"/>
  <c r="AU35" i="15"/>
  <c r="AT66" i="15" s="1"/>
  <c r="AU36" i="15"/>
  <c r="AT67" i="15" s="1"/>
  <c r="AU37" i="15"/>
  <c r="AT68" i="15" s="1"/>
  <c r="AU38" i="15"/>
  <c r="AT69" i="15" s="1"/>
  <c r="AU39" i="15"/>
  <c r="AT70" i="15" s="1"/>
  <c r="AU40" i="15"/>
  <c r="AT71" i="15" s="1"/>
  <c r="AU41" i="15"/>
  <c r="AT72" i="15" s="1"/>
  <c r="AU42" i="15"/>
  <c r="AT73" i="15" s="1"/>
  <c r="AU43" i="15"/>
  <c r="AT74" i="15" s="1"/>
  <c r="AU44" i="15"/>
  <c r="AT75" i="15" s="1"/>
  <c r="AU45" i="15"/>
  <c r="AT76" i="15" s="1"/>
  <c r="AU46" i="15"/>
  <c r="AT77" i="15" s="1"/>
  <c r="AU27" i="15"/>
  <c r="AT58" i="15" s="1"/>
  <c r="AV27" i="15"/>
  <c r="BG28" i="15"/>
  <c r="BG29" i="15"/>
  <c r="BG30" i="15"/>
  <c r="BG31" i="15"/>
  <c r="BG32" i="15"/>
  <c r="BG33" i="15"/>
  <c r="BG34" i="15"/>
  <c r="BG35" i="15"/>
  <c r="BG36" i="15"/>
  <c r="BG37" i="15"/>
  <c r="BG38" i="15"/>
  <c r="BG39" i="15"/>
  <c r="BG40" i="15"/>
  <c r="BG41" i="15"/>
  <c r="BG42" i="15"/>
  <c r="BG43" i="15"/>
  <c r="BG44" i="15"/>
  <c r="BG45" i="15"/>
  <c r="BG46" i="15"/>
  <c r="BG27" i="15"/>
  <c r="BF28" i="15"/>
  <c r="BF29" i="15"/>
  <c r="BF30" i="15"/>
  <c r="BF31" i="15"/>
  <c r="BF32" i="15"/>
  <c r="BF33" i="15"/>
  <c r="BF34" i="15"/>
  <c r="BF35" i="15"/>
  <c r="BF36" i="15"/>
  <c r="BF37" i="15"/>
  <c r="BF38" i="15"/>
  <c r="BF39" i="15"/>
  <c r="BF40" i="15"/>
  <c r="BF41" i="15"/>
  <c r="BF42" i="15"/>
  <c r="BF43" i="15"/>
  <c r="BF44" i="15"/>
  <c r="BF45" i="15"/>
  <c r="BF46" i="15"/>
  <c r="BF27" i="15"/>
  <c r="BE46" i="15"/>
  <c r="BE28" i="15"/>
  <c r="BE29" i="15"/>
  <c r="BE30" i="15"/>
  <c r="BE31" i="15"/>
  <c r="BE32" i="15"/>
  <c r="BE33" i="15"/>
  <c r="BE34" i="15"/>
  <c r="BE35" i="15"/>
  <c r="BE36" i="15"/>
  <c r="BE37" i="15"/>
  <c r="BE38" i="15"/>
  <c r="BE39" i="15"/>
  <c r="BE40" i="15"/>
  <c r="BE41" i="15"/>
  <c r="BE42" i="15"/>
  <c r="BE43" i="15"/>
  <c r="BE44" i="15"/>
  <c r="BE45" i="15"/>
  <c r="BE27" i="15"/>
  <c r="BD28" i="15"/>
  <c r="BD29" i="15"/>
  <c r="BD30" i="15"/>
  <c r="BD31" i="15"/>
  <c r="BD32" i="15"/>
  <c r="BD33" i="15"/>
  <c r="BD34" i="15"/>
  <c r="BD35" i="15"/>
  <c r="BD36" i="15"/>
  <c r="BD37" i="15"/>
  <c r="BD38" i="15"/>
  <c r="BD39" i="15"/>
  <c r="BD40" i="15"/>
  <c r="BD41" i="15"/>
  <c r="BD42" i="15"/>
  <c r="BD43" i="15"/>
  <c r="BD44" i="15"/>
  <c r="BD45" i="15"/>
  <c r="BD46" i="15"/>
  <c r="BD27" i="15"/>
  <c r="BC28" i="15"/>
  <c r="BC29" i="15"/>
  <c r="BC30" i="15"/>
  <c r="BC31" i="15"/>
  <c r="BC32" i="15"/>
  <c r="BC33" i="15"/>
  <c r="BC34" i="15"/>
  <c r="BC35" i="15"/>
  <c r="BC36" i="15"/>
  <c r="BC37" i="15"/>
  <c r="BC38" i="15"/>
  <c r="BC39" i="15"/>
  <c r="BC40" i="15"/>
  <c r="BC41" i="15"/>
  <c r="BC42" i="15"/>
  <c r="BC43" i="15"/>
  <c r="BC44" i="15"/>
  <c r="BC45" i="15"/>
  <c r="BC46" i="15"/>
  <c r="BC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27" i="15"/>
  <c r="AU26" i="15"/>
  <c r="AT28" i="15"/>
  <c r="AT29" i="15"/>
  <c r="AT30" i="15"/>
  <c r="AT31" i="15"/>
  <c r="AT32" i="15"/>
  <c r="AT33" i="15"/>
  <c r="AT34" i="15"/>
  <c r="AT35" i="15"/>
  <c r="AT36" i="15"/>
  <c r="AT37" i="15"/>
  <c r="AT38" i="15"/>
  <c r="AT39" i="15"/>
  <c r="AT40" i="15"/>
  <c r="AT41" i="15"/>
  <c r="AT42" i="15"/>
  <c r="AT43" i="15"/>
  <c r="AT44" i="15"/>
  <c r="AT45" i="15"/>
  <c r="AT46" i="15"/>
  <c r="AT27" i="15"/>
  <c r="AT26" i="15"/>
  <c r="CA2" i="15"/>
  <c r="CB2" i="15"/>
  <c r="CG2" i="15"/>
  <c r="CH2" i="15"/>
  <c r="BT107" i="15"/>
  <c r="BT108" i="15"/>
  <c r="BT109" i="15"/>
  <c r="BT110" i="15"/>
  <c r="BT111" i="15"/>
  <c r="BT112" i="15"/>
  <c r="BT113" i="15"/>
  <c r="BT114" i="15"/>
  <c r="BT115" i="15"/>
  <c r="CA107" i="15" l="1"/>
  <c r="CA128" i="15"/>
  <c r="CA130" i="15"/>
  <c r="CA127" i="15"/>
  <c r="CA129" i="15"/>
  <c r="CC115" i="15"/>
  <c r="CC129" i="15"/>
  <c r="CC128" i="15"/>
  <c r="CC130" i="15"/>
  <c r="CC127" i="15"/>
  <c r="CB107" i="15"/>
  <c r="CB128" i="15"/>
  <c r="CB130" i="15"/>
  <c r="CB127" i="15"/>
  <c r="CB129" i="15"/>
  <c r="BZ107" i="15"/>
  <c r="BZ128" i="15"/>
  <c r="BZ130" i="15"/>
  <c r="BZ127" i="15"/>
  <c r="BZ129" i="15"/>
  <c r="BV108" i="15"/>
  <c r="BV130" i="15"/>
  <c r="BV127" i="15"/>
  <c r="BV129" i="15"/>
  <c r="BV128" i="15"/>
  <c r="CD114" i="15"/>
  <c r="CD128" i="15"/>
  <c r="CD130" i="15"/>
  <c r="CD127" i="15"/>
  <c r="CD129" i="15"/>
  <c r="BY107" i="15"/>
  <c r="BY128" i="15"/>
  <c r="BY130" i="15"/>
  <c r="BY127" i="15"/>
  <c r="BY129" i="15"/>
  <c r="BW107" i="15"/>
  <c r="BW130" i="15"/>
  <c r="BW127" i="15"/>
  <c r="BW129" i="15"/>
  <c r="BW128" i="15"/>
  <c r="CC93" i="15"/>
  <c r="CF93" i="15" s="1"/>
  <c r="BX107" i="15"/>
  <c r="BX130" i="15"/>
  <c r="BX127" i="15"/>
  <c r="BX129" i="15"/>
  <c r="BX128" i="15"/>
  <c r="CB80" i="15"/>
  <c r="CE80" i="15" s="1"/>
  <c r="CC92" i="15"/>
  <c r="CF92" i="15" s="1"/>
  <c r="CC78" i="15"/>
  <c r="CF78" i="15" s="1"/>
  <c r="CC79" i="15"/>
  <c r="CF79" i="15" s="1"/>
  <c r="CB74" i="15"/>
  <c r="CE74" i="15" s="1"/>
  <c r="CC82" i="15"/>
  <c r="CF82" i="15" s="1"/>
  <c r="CB81" i="15"/>
  <c r="CE81" i="15" s="1"/>
  <c r="CB93" i="15"/>
  <c r="CE93" i="15" s="1"/>
  <c r="CB79" i="15"/>
  <c r="CE79" i="15" s="1"/>
  <c r="CC91" i="15"/>
  <c r="CF91" i="15" s="1"/>
  <c r="CC77" i="15"/>
  <c r="CF77" i="15" s="1"/>
  <c r="CB92" i="15"/>
  <c r="CE92" i="15" s="1"/>
  <c r="CB78" i="15"/>
  <c r="CE78" i="15" s="1"/>
  <c r="CC81" i="15"/>
  <c r="CF81" i="15" s="1"/>
  <c r="BZ114" i="15"/>
  <c r="CC83" i="15"/>
  <c r="CF83" i="15" s="1"/>
  <c r="CB84" i="15"/>
  <c r="CE84" i="15" s="1"/>
  <c r="CB89" i="15"/>
  <c r="CE89" i="15" s="1"/>
  <c r="CB75" i="15"/>
  <c r="CE75" i="15" s="1"/>
  <c r="CC85" i="15"/>
  <c r="CF85" i="15" s="1"/>
  <c r="CB86" i="15"/>
  <c r="CE86" i="15" s="1"/>
  <c r="CC84" i="15"/>
  <c r="CF84" i="15" s="1"/>
  <c r="CB83" i="15"/>
  <c r="CE83" i="15" s="1"/>
  <c r="CB90" i="15"/>
  <c r="CE90" i="15" s="1"/>
  <c r="CB76" i="15"/>
  <c r="CE76" i="15" s="1"/>
  <c r="CC88" i="15"/>
  <c r="CF88" i="15" s="1"/>
  <c r="CC87" i="15"/>
  <c r="CF87" i="15" s="1"/>
  <c r="CB88" i="15"/>
  <c r="CE88" i="15" s="1"/>
  <c r="CC86" i="15"/>
  <c r="CF86" i="15" s="1"/>
  <c r="CB85" i="15"/>
  <c r="CE85" i="15" s="1"/>
  <c r="BZ125" i="15"/>
  <c r="BC53" i="15"/>
  <c r="AZ53" i="15"/>
  <c r="CB82" i="15"/>
  <c r="CE82" i="15" s="1"/>
  <c r="BY102" i="15"/>
  <c r="CC80" i="15"/>
  <c r="CF80" i="15" s="1"/>
  <c r="BG53" i="15"/>
  <c r="CC90" i="15"/>
  <c r="CF90" i="15" s="1"/>
  <c r="CC76" i="15"/>
  <c r="CF76" i="15" s="1"/>
  <c r="CB91" i="15"/>
  <c r="CE91" i="15" s="1"/>
  <c r="CB77" i="15"/>
  <c r="CE77" i="15" s="1"/>
  <c r="CC89" i="15"/>
  <c r="CF89" i="15" s="1"/>
  <c r="CC75" i="15"/>
  <c r="CF75" i="15" s="1"/>
  <c r="BZ102" i="15"/>
  <c r="AX53" i="15"/>
  <c r="BW102" i="15"/>
  <c r="AU53" i="15"/>
  <c r="CB87" i="15"/>
  <c r="CE87" i="15" s="1"/>
  <c r="AY53" i="15"/>
  <c r="BB53" i="15"/>
  <c r="AV53" i="15"/>
  <c r="CC74" i="15"/>
  <c r="CF74" i="15" s="1"/>
  <c r="BF53" i="15"/>
  <c r="BE53" i="15"/>
  <c r="BW99" i="15"/>
  <c r="BD53" i="15"/>
  <c r="AT60" i="15"/>
  <c r="BA79" i="15" s="1"/>
  <c r="BV102" i="15"/>
  <c r="BZ99" i="15"/>
  <c r="BA53" i="15"/>
  <c r="AW53" i="15"/>
  <c r="BY125" i="15"/>
  <c r="BY124" i="15"/>
  <c r="BY123" i="15"/>
  <c r="BY118" i="15"/>
  <c r="BY121" i="15"/>
  <c r="BY117" i="15"/>
  <c r="BX111" i="15"/>
  <c r="BY126" i="15"/>
  <c r="CC123" i="15"/>
  <c r="CF2" i="15"/>
  <c r="CC112" i="15"/>
  <c r="BY116" i="15"/>
  <c r="CC121" i="15"/>
  <c r="BY115" i="15"/>
  <c r="CA119" i="15"/>
  <c r="CA118" i="15"/>
  <c r="CA112" i="15"/>
  <c r="CA123" i="15"/>
  <c r="CA115" i="15"/>
  <c r="CA110" i="15"/>
  <c r="CA116" i="15"/>
  <c r="CA114" i="15"/>
  <c r="CA121" i="15"/>
  <c r="CA126" i="15"/>
  <c r="CA120" i="15"/>
  <c r="BY114" i="15"/>
  <c r="CA122" i="15"/>
  <c r="BY120" i="15"/>
  <c r="CA124" i="15"/>
  <c r="CA125" i="15"/>
  <c r="CB119" i="15"/>
  <c r="CA113" i="15"/>
  <c r="CD124" i="15"/>
  <c r="BZ121" i="15"/>
  <c r="CD117" i="15"/>
  <c r="CC110" i="15"/>
  <c r="CD113" i="15"/>
  <c r="CD120" i="15"/>
  <c r="BZ110" i="15"/>
  <c r="BZ117" i="15"/>
  <c r="CD123" i="15"/>
  <c r="BY113" i="15"/>
  <c r="BY110" i="15"/>
  <c r="BZ116" i="15"/>
  <c r="BZ120" i="15"/>
  <c r="CD126" i="15"/>
  <c r="CD112" i="15"/>
  <c r="CD109" i="15"/>
  <c r="BZ123" i="15"/>
  <c r="CD119" i="15"/>
  <c r="BZ115" i="15"/>
  <c r="CD122" i="15"/>
  <c r="BZ112" i="15"/>
  <c r="BY112" i="15"/>
  <c r="BZ126" i="15"/>
  <c r="CD125" i="15"/>
  <c r="BZ119" i="15"/>
  <c r="CC125" i="15"/>
  <c r="BY122" i="15"/>
  <c r="BY119" i="15"/>
  <c r="CC114" i="15"/>
  <c r="CD121" i="15"/>
  <c r="CD118" i="15"/>
  <c r="CC111" i="15"/>
  <c r="BZ2" i="15"/>
  <c r="CB114" i="15"/>
  <c r="BX108" i="15"/>
  <c r="BX117" i="15"/>
  <c r="CB125" i="15"/>
  <c r="CB116" i="15"/>
  <c r="CB112" i="15"/>
  <c r="CB110" i="15"/>
  <c r="BV107" i="15"/>
  <c r="BX114" i="15"/>
  <c r="BX121" i="15"/>
  <c r="CB121" i="15"/>
  <c r="BX125" i="15"/>
  <c r="BX116" i="15"/>
  <c r="BX112" i="15"/>
  <c r="BX110" i="15"/>
  <c r="BX123" i="15"/>
  <c r="CB118" i="15"/>
  <c r="CC126" i="15"/>
  <c r="CC124" i="15"/>
  <c r="CC122" i="15"/>
  <c r="CB120" i="15"/>
  <c r="BZ118" i="15"/>
  <c r="CB115" i="15"/>
  <c r="CC113" i="15"/>
  <c r="CB111" i="15"/>
  <c r="CB109" i="15"/>
  <c r="CB124" i="15"/>
  <c r="BX118" i="15"/>
  <c r="BZ124" i="15"/>
  <c r="BZ122" i="15"/>
  <c r="BZ113" i="15"/>
  <c r="CA111" i="15"/>
  <c r="CA109" i="15"/>
  <c r="CB122" i="15"/>
  <c r="CB113" i="15"/>
  <c r="BX120" i="15"/>
  <c r="BZ109" i="15"/>
  <c r="CB123" i="15"/>
  <c r="BX119" i="15"/>
  <c r="CB126" i="15"/>
  <c r="CB117" i="15"/>
  <c r="BX115" i="15"/>
  <c r="BZ111" i="15"/>
  <c r="BX126" i="15"/>
  <c r="BX124" i="15"/>
  <c r="BX122" i="15"/>
  <c r="CA117" i="15"/>
  <c r="BX113" i="15"/>
  <c r="BY111" i="15"/>
  <c r="BX109" i="15"/>
  <c r="CD111" i="15"/>
  <c r="CD110" i="15"/>
  <c r="BW122" i="15"/>
  <c r="BW120" i="15"/>
  <c r="BW119" i="15"/>
  <c r="BW118" i="15"/>
  <c r="BW117" i="15"/>
  <c r="BW116" i="15"/>
  <c r="BW115" i="15"/>
  <c r="CC109" i="15"/>
  <c r="CD108" i="15"/>
  <c r="BW125" i="15"/>
  <c r="BW121" i="15"/>
  <c r="BV125" i="15"/>
  <c r="BV123" i="15"/>
  <c r="BV121" i="15"/>
  <c r="BV119" i="15"/>
  <c r="BV118" i="15"/>
  <c r="BV117" i="15"/>
  <c r="BV116" i="15"/>
  <c r="BV115" i="15"/>
  <c r="BW114" i="15"/>
  <c r="CC108" i="15"/>
  <c r="CD107" i="15"/>
  <c r="BW123" i="15"/>
  <c r="BV126" i="15"/>
  <c r="BV124" i="15"/>
  <c r="BV122" i="15"/>
  <c r="BV120" i="15"/>
  <c r="BV114" i="15"/>
  <c r="BW113" i="15"/>
  <c r="CB108" i="15"/>
  <c r="CC107" i="15"/>
  <c r="BW124" i="15"/>
  <c r="BV113" i="15"/>
  <c r="BW112" i="15"/>
  <c r="CA108" i="15"/>
  <c r="BW126" i="15"/>
  <c r="BV112" i="15"/>
  <c r="BW111" i="15"/>
  <c r="BY109" i="15"/>
  <c r="BZ108" i="15"/>
  <c r="BV111" i="15"/>
  <c r="BW110" i="15"/>
  <c r="BY108" i="15"/>
  <c r="BV110" i="15"/>
  <c r="BW109" i="15"/>
  <c r="CD116" i="15"/>
  <c r="CD115" i="15"/>
  <c r="BV109" i="15"/>
  <c r="BW108" i="15"/>
  <c r="CC120" i="15"/>
  <c r="CC119" i="15"/>
  <c r="CC118" i="15"/>
  <c r="CC117" i="15"/>
  <c r="CC116" i="15"/>
  <c r="CF8" i="15" l="1"/>
  <c r="CE27" i="15"/>
  <c r="CF27" i="15"/>
  <c r="CF26" i="15"/>
  <c r="CE24" i="15"/>
  <c r="CF24" i="15"/>
  <c r="CE25" i="15"/>
  <c r="CF25" i="15"/>
  <c r="CE26" i="15"/>
  <c r="BY21" i="15"/>
  <c r="BY24" i="15"/>
  <c r="BQ24" i="15" s="1"/>
  <c r="BV53" i="15" s="1"/>
  <c r="BZ24" i="15"/>
  <c r="BR24" i="15" s="1"/>
  <c r="BW53" i="15" s="1"/>
  <c r="BY25" i="15"/>
  <c r="BQ25" i="15" s="1"/>
  <c r="BV54" i="15" s="1"/>
  <c r="BZ25" i="15"/>
  <c r="BR25" i="15" s="1"/>
  <c r="BW54" i="15" s="1"/>
  <c r="BY26" i="15"/>
  <c r="BQ26" i="15" s="1"/>
  <c r="BV55" i="15" s="1"/>
  <c r="BZ26" i="15"/>
  <c r="BR26" i="15" s="1"/>
  <c r="BW55" i="15" s="1"/>
  <c r="BY27" i="15"/>
  <c r="BQ27" i="15" s="1"/>
  <c r="BV56" i="15" s="1"/>
  <c r="BZ27" i="15"/>
  <c r="BR27" i="15" s="1"/>
  <c r="BW56" i="15" s="1"/>
  <c r="BF79" i="15"/>
  <c r="CF5" i="15"/>
  <c r="CE5" i="15"/>
  <c r="CE19" i="15"/>
  <c r="CE20" i="15"/>
  <c r="BY5" i="15"/>
  <c r="BZ4" i="15"/>
  <c r="CE8" i="15"/>
  <c r="CE17" i="15"/>
  <c r="BY9" i="15"/>
  <c r="BD55" i="15"/>
  <c r="CF6" i="15"/>
  <c r="CM2" i="15"/>
  <c r="CF19" i="15"/>
  <c r="CF18" i="15"/>
  <c r="CE14" i="15"/>
  <c r="BY14" i="15"/>
  <c r="CF22" i="15"/>
  <c r="CE15" i="15"/>
  <c r="CF17" i="15"/>
  <c r="CE13" i="15"/>
  <c r="BZ12" i="15"/>
  <c r="CE18" i="15"/>
  <c r="BZ20" i="15"/>
  <c r="CF12" i="15"/>
  <c r="CE12" i="15"/>
  <c r="CE16" i="15"/>
  <c r="BZ18" i="15"/>
  <c r="CF15" i="15"/>
  <c r="CF14" i="15"/>
  <c r="CE11" i="15"/>
  <c r="CF13" i="15"/>
  <c r="CF7" i="15"/>
  <c r="AW54" i="15"/>
  <c r="CF16" i="15"/>
  <c r="CF23" i="15"/>
  <c r="CE9" i="15"/>
  <c r="CE6" i="15"/>
  <c r="CF21" i="15"/>
  <c r="BC55" i="15"/>
  <c r="BW100" i="15"/>
  <c r="BV100" i="15"/>
  <c r="AV55" i="15"/>
  <c r="BE55" i="15"/>
  <c r="AU79" i="15"/>
  <c r="AW79" i="15"/>
  <c r="BB79" i="15"/>
  <c r="BF55" i="15"/>
  <c r="AX79" i="15"/>
  <c r="CF11" i="15"/>
  <c r="CF4" i="15"/>
  <c r="CF102" i="15"/>
  <c r="BG55" i="15"/>
  <c r="AY79" i="15"/>
  <c r="AZ79" i="15"/>
  <c r="AV79" i="15"/>
  <c r="BB55" i="15"/>
  <c r="BC79" i="15"/>
  <c r="CE23" i="15"/>
  <c r="CF10" i="15"/>
  <c r="BZ21" i="15"/>
  <c r="BZ100" i="15"/>
  <c r="BY100" i="15"/>
  <c r="AU54" i="15"/>
  <c r="CE22" i="15"/>
  <c r="CE10" i="15"/>
  <c r="BY22" i="15"/>
  <c r="AX55" i="15"/>
  <c r="BD79" i="15"/>
  <c r="CE7" i="15"/>
  <c r="CE21" i="15"/>
  <c r="CF9" i="15"/>
  <c r="BY12" i="15"/>
  <c r="BE79" i="15"/>
  <c r="BY13" i="15"/>
  <c r="BZ17" i="15"/>
  <c r="BZ11" i="15"/>
  <c r="BZ8" i="15"/>
  <c r="BZ16" i="15"/>
  <c r="BZ23" i="15"/>
  <c r="BY8" i="15"/>
  <c r="BZ15" i="15"/>
  <c r="BZ22" i="15"/>
  <c r="BZ7" i="15"/>
  <c r="BZ14" i="15"/>
  <c r="BY23" i="15"/>
  <c r="BY7" i="15"/>
  <c r="BZ13" i="15"/>
  <c r="BY19" i="15"/>
  <c r="BZ6" i="15"/>
  <c r="BZ19" i="15"/>
  <c r="BY6" i="15"/>
  <c r="BY20" i="15"/>
  <c r="CE4" i="15"/>
  <c r="CF20" i="15"/>
  <c r="BZ5" i="15"/>
  <c r="BY17" i="15"/>
  <c r="BY11" i="15"/>
  <c r="BY4" i="15"/>
  <c r="BY16" i="15"/>
  <c r="BZ10" i="15"/>
  <c r="BZ9" i="15"/>
  <c r="BY15" i="15"/>
  <c r="BY10" i="15"/>
  <c r="BY18" i="15"/>
  <c r="CM25" i="15" l="1"/>
  <c r="CM24" i="15"/>
  <c r="CM27" i="15"/>
  <c r="CM26" i="15"/>
  <c r="CL26" i="15"/>
  <c r="CL25" i="15"/>
  <c r="CL24" i="15"/>
  <c r="CL27" i="15"/>
  <c r="CM4" i="15"/>
  <c r="CM5" i="15"/>
  <c r="CM22" i="15"/>
  <c r="CM21" i="15"/>
  <c r="CM18" i="15"/>
  <c r="CM9" i="15"/>
  <c r="CM10" i="15"/>
  <c r="CM7" i="15"/>
  <c r="CM15" i="15"/>
  <c r="CM11" i="15"/>
  <c r="CM13" i="15"/>
  <c r="CM17" i="15"/>
  <c r="CM14" i="15"/>
  <c r="CM23" i="15"/>
  <c r="CM20" i="15"/>
  <c r="CM8" i="15"/>
  <c r="CM6" i="15"/>
  <c r="CM16" i="15"/>
  <c r="CM19" i="15"/>
  <c r="CM12" i="15"/>
  <c r="CL16" i="15"/>
  <c r="CL9" i="15"/>
  <c r="CL21" i="15"/>
  <c r="CL13" i="15"/>
  <c r="CL12" i="15"/>
  <c r="CL20" i="15"/>
  <c r="CL15" i="15"/>
  <c r="CL17" i="15"/>
  <c r="CL19" i="15"/>
  <c r="CL6" i="15"/>
  <c r="CL23" i="15"/>
  <c r="CL22" i="15"/>
  <c r="CL7" i="15"/>
  <c r="CL11" i="15"/>
  <c r="CL14" i="15"/>
  <c r="CL18" i="15"/>
  <c r="CL4" i="15"/>
  <c r="CL10" i="15"/>
  <c r="CL5" i="15"/>
  <c r="CL8" i="15"/>
  <c r="H1" i="13" l="1"/>
  <c r="B10" i="13" s="1"/>
  <c r="H3" i="13"/>
  <c r="BR3" i="15" l="1"/>
  <c r="BQ3" i="15"/>
  <c r="L3" i="15"/>
  <c r="O3" i="15"/>
  <c r="L4" i="15"/>
  <c r="O4" i="15"/>
  <c r="L5" i="15"/>
  <c r="O5" i="15"/>
  <c r="L6" i="15"/>
  <c r="O6" i="15"/>
  <c r="L7" i="15"/>
  <c r="O7" i="15"/>
  <c r="L8" i="15"/>
  <c r="O8" i="15"/>
  <c r="L9" i="15"/>
  <c r="O9" i="15"/>
  <c r="L10" i="15"/>
  <c r="O10" i="15"/>
  <c r="L11" i="15"/>
  <c r="O11" i="15"/>
  <c r="L12" i="15"/>
  <c r="O12" i="15"/>
  <c r="L13" i="15"/>
  <c r="O13" i="15"/>
  <c r="L14" i="15"/>
  <c r="O14" i="15"/>
  <c r="L15" i="15"/>
  <c r="O15" i="15"/>
  <c r="L16" i="15"/>
  <c r="O16" i="15"/>
  <c r="L17" i="15"/>
  <c r="O17" i="15"/>
  <c r="L18" i="15"/>
  <c r="O18" i="15"/>
  <c r="L19" i="15"/>
  <c r="O19" i="15"/>
  <c r="L20" i="15"/>
  <c r="O20" i="15"/>
  <c r="L21" i="15"/>
  <c r="O21" i="15"/>
  <c r="L22" i="15"/>
  <c r="O22" i="15"/>
  <c r="L23" i="15"/>
  <c r="O23" i="15"/>
  <c r="L24" i="15"/>
  <c r="O24" i="15"/>
  <c r="L25" i="15"/>
  <c r="O25" i="15"/>
  <c r="L26" i="15"/>
  <c r="O26" i="15"/>
  <c r="L27" i="15"/>
  <c r="O27" i="15"/>
  <c r="L28" i="15"/>
  <c r="O28" i="15"/>
  <c r="L29" i="15"/>
  <c r="O29" i="15"/>
  <c r="L30" i="15"/>
  <c r="O30" i="15"/>
  <c r="L31" i="15"/>
  <c r="O31" i="15"/>
  <c r="L32" i="15"/>
  <c r="O32" i="15"/>
  <c r="L33" i="15"/>
  <c r="O33" i="15"/>
  <c r="L34" i="15"/>
  <c r="O34" i="15"/>
  <c r="L35" i="15"/>
  <c r="O35" i="15"/>
  <c r="L36" i="15"/>
  <c r="O36" i="15"/>
  <c r="L37" i="15"/>
  <c r="O37" i="15"/>
  <c r="L38" i="15"/>
  <c r="O38" i="15"/>
  <c r="L39" i="15"/>
  <c r="O39" i="15"/>
  <c r="L40" i="15"/>
  <c r="O40" i="15"/>
  <c r="L41" i="15"/>
  <c r="O41" i="15"/>
  <c r="L42" i="15"/>
  <c r="O42" i="15"/>
  <c r="L43" i="15"/>
  <c r="O43" i="15"/>
  <c r="L44" i="15"/>
  <c r="O44" i="15"/>
  <c r="L45" i="15"/>
  <c r="O45" i="15"/>
  <c r="L46" i="15"/>
  <c r="O46" i="15"/>
  <c r="L47" i="15"/>
  <c r="O47" i="15"/>
  <c r="L48" i="15"/>
  <c r="O48" i="15"/>
  <c r="L49" i="15"/>
  <c r="O49" i="15"/>
  <c r="L50" i="15"/>
  <c r="O50" i="15"/>
  <c r="L51" i="15"/>
  <c r="O51" i="15"/>
  <c r="L52" i="15"/>
  <c r="O52" i="15"/>
  <c r="L53" i="15"/>
  <c r="O53" i="15"/>
  <c r="L54" i="15"/>
  <c r="O54" i="15"/>
  <c r="L55" i="15"/>
  <c r="O55" i="15"/>
  <c r="L56" i="15"/>
  <c r="O56" i="15"/>
  <c r="L57" i="15"/>
  <c r="O57" i="15"/>
  <c r="L58" i="15"/>
  <c r="O58" i="15"/>
  <c r="L59" i="15"/>
  <c r="O59" i="15"/>
  <c r="L60" i="15"/>
  <c r="O60" i="15"/>
  <c r="L61" i="15"/>
  <c r="O61" i="15"/>
  <c r="L62" i="15"/>
  <c r="O62" i="15"/>
  <c r="L63" i="15"/>
  <c r="O63" i="15"/>
  <c r="L64" i="15"/>
  <c r="O64" i="15"/>
  <c r="L65" i="15"/>
  <c r="O65" i="15"/>
  <c r="L66" i="15"/>
  <c r="O66" i="15"/>
  <c r="L67" i="15"/>
  <c r="O67" i="15"/>
  <c r="L68" i="15"/>
  <c r="O68" i="15"/>
  <c r="L69" i="15"/>
  <c r="O69" i="15"/>
  <c r="L70" i="15"/>
  <c r="O70" i="15"/>
  <c r="L71" i="15"/>
  <c r="O71" i="15"/>
  <c r="L72" i="15"/>
  <c r="O72" i="15"/>
  <c r="L73" i="15"/>
  <c r="O73" i="15"/>
  <c r="L74" i="15"/>
  <c r="O74" i="15"/>
  <c r="L75" i="15"/>
  <c r="O75" i="15"/>
  <c r="L76" i="15"/>
  <c r="O76" i="15"/>
  <c r="L77" i="15"/>
  <c r="O77" i="15"/>
  <c r="L78" i="15"/>
  <c r="O78" i="15"/>
  <c r="L79" i="15"/>
  <c r="O79" i="15"/>
  <c r="L80" i="15"/>
  <c r="O80" i="15"/>
  <c r="L81" i="15"/>
  <c r="O81" i="15"/>
  <c r="L82" i="15"/>
  <c r="O82" i="15"/>
  <c r="L83" i="15"/>
  <c r="O83" i="15"/>
  <c r="L84" i="15"/>
  <c r="O84" i="15"/>
  <c r="L85" i="15"/>
  <c r="O85" i="15"/>
  <c r="L86" i="15"/>
  <c r="O86" i="15"/>
  <c r="L87" i="15"/>
  <c r="O87" i="15"/>
  <c r="L88" i="15"/>
  <c r="O88" i="15"/>
  <c r="L89" i="15"/>
  <c r="O89" i="15"/>
  <c r="L90" i="15"/>
  <c r="O90" i="15"/>
  <c r="L91" i="15"/>
  <c r="O91" i="15"/>
  <c r="L92" i="15"/>
  <c r="O92" i="15"/>
  <c r="L93" i="15"/>
  <c r="O93" i="15"/>
  <c r="L94" i="15"/>
  <c r="O94" i="15"/>
  <c r="L95" i="15"/>
  <c r="O95" i="15"/>
  <c r="L96" i="15"/>
  <c r="O96" i="15"/>
  <c r="L97" i="15"/>
  <c r="O97" i="15"/>
  <c r="L98" i="15"/>
  <c r="O98" i="15"/>
  <c r="L99" i="15"/>
  <c r="O99" i="15"/>
  <c r="L100" i="15"/>
  <c r="O100" i="15"/>
  <c r="L101" i="15"/>
  <c r="O101" i="15"/>
  <c r="L102" i="15"/>
  <c r="O102" i="15"/>
  <c r="L103" i="15"/>
  <c r="O103" i="15"/>
  <c r="L104" i="15"/>
  <c r="O104" i="15"/>
  <c r="L105" i="15"/>
  <c r="O105" i="15"/>
  <c r="L106" i="15"/>
  <c r="O106" i="15"/>
  <c r="L107" i="15"/>
  <c r="O107" i="15"/>
  <c r="L108" i="15"/>
  <c r="O108" i="15"/>
  <c r="L109" i="15"/>
  <c r="O109" i="15"/>
  <c r="L110" i="15"/>
  <c r="O110" i="15"/>
  <c r="L111" i="15"/>
  <c r="O111" i="15"/>
  <c r="L112" i="15"/>
  <c r="O112" i="15"/>
  <c r="L113" i="15"/>
  <c r="O113" i="15"/>
  <c r="L114" i="15"/>
  <c r="O114" i="15"/>
  <c r="L115" i="15"/>
  <c r="O115" i="15"/>
  <c r="L116" i="15"/>
  <c r="O116" i="15"/>
  <c r="L117" i="15"/>
  <c r="O117" i="15"/>
  <c r="L118" i="15"/>
  <c r="O118" i="15"/>
  <c r="L119" i="15"/>
  <c r="O119" i="15"/>
  <c r="L120" i="15"/>
  <c r="O120" i="15"/>
  <c r="L121" i="15"/>
  <c r="O121" i="15"/>
  <c r="L122" i="15"/>
  <c r="O122" i="15"/>
  <c r="L123" i="15"/>
  <c r="O123" i="15"/>
  <c r="L124" i="15"/>
  <c r="O124" i="15"/>
  <c r="L125" i="15"/>
  <c r="O125" i="15"/>
  <c r="L126" i="15"/>
  <c r="O126" i="15"/>
  <c r="L127" i="15"/>
  <c r="O127" i="15"/>
  <c r="L128" i="15"/>
  <c r="O128" i="15"/>
  <c r="L129" i="15"/>
  <c r="O129" i="15"/>
  <c r="L130" i="15"/>
  <c r="O130" i="15"/>
  <c r="L131" i="15"/>
  <c r="O131" i="15"/>
  <c r="L132" i="15"/>
  <c r="O132" i="15"/>
  <c r="L133" i="15"/>
  <c r="O133" i="15"/>
  <c r="L134" i="15"/>
  <c r="O134" i="15"/>
  <c r="L135" i="15"/>
  <c r="O135" i="15"/>
  <c r="L136" i="15"/>
  <c r="O136" i="15"/>
  <c r="L137" i="15"/>
  <c r="O137" i="15"/>
  <c r="L138" i="15"/>
  <c r="O138" i="15"/>
  <c r="L139" i="15"/>
  <c r="O139" i="15"/>
  <c r="L140" i="15"/>
  <c r="O140" i="15"/>
  <c r="L141" i="15"/>
  <c r="O141" i="15"/>
  <c r="L142" i="15"/>
  <c r="O142" i="15"/>
  <c r="L143" i="15"/>
  <c r="O143" i="15"/>
  <c r="L144" i="15"/>
  <c r="O144" i="15"/>
  <c r="L145" i="15"/>
  <c r="O145" i="15"/>
  <c r="L146" i="15"/>
  <c r="O146" i="15"/>
  <c r="L147" i="15"/>
  <c r="O147" i="15"/>
  <c r="L148" i="15"/>
  <c r="O148" i="15"/>
  <c r="L149" i="15"/>
  <c r="O149" i="15"/>
  <c r="L150" i="15"/>
  <c r="O150" i="15"/>
  <c r="L151" i="15"/>
  <c r="O151" i="15"/>
  <c r="L152" i="15"/>
  <c r="O152" i="15"/>
  <c r="L153" i="15"/>
  <c r="O153" i="15"/>
  <c r="L154" i="15"/>
  <c r="O154" i="15"/>
  <c r="L155" i="15"/>
  <c r="O155" i="15"/>
  <c r="L156" i="15"/>
  <c r="O156" i="15"/>
  <c r="L157" i="15"/>
  <c r="O157" i="15"/>
  <c r="L158" i="15"/>
  <c r="O158" i="15"/>
  <c r="L159" i="15"/>
  <c r="O159" i="15"/>
  <c r="L160" i="15"/>
  <c r="O160" i="15"/>
  <c r="L161" i="15"/>
  <c r="O161" i="15"/>
  <c r="L162" i="15"/>
  <c r="O162" i="15"/>
  <c r="L163" i="15"/>
  <c r="O163" i="15"/>
  <c r="L164" i="15"/>
  <c r="O164" i="15"/>
  <c r="L165" i="15"/>
  <c r="O165" i="15"/>
  <c r="L166" i="15"/>
  <c r="O166" i="15"/>
  <c r="L167" i="15"/>
  <c r="O167" i="15"/>
  <c r="L168" i="15"/>
  <c r="O168" i="15"/>
  <c r="L169" i="15"/>
  <c r="O169" i="15"/>
  <c r="L170" i="15"/>
  <c r="O170" i="15"/>
  <c r="L171" i="15"/>
  <c r="O171" i="15"/>
  <c r="L172" i="15"/>
  <c r="O172" i="15"/>
  <c r="L173" i="15"/>
  <c r="O173" i="15"/>
  <c r="L174" i="15"/>
  <c r="O174" i="15"/>
  <c r="L175" i="15"/>
  <c r="O175" i="15"/>
  <c r="L176" i="15"/>
  <c r="O176" i="15"/>
  <c r="L177" i="15"/>
  <c r="O177" i="15"/>
  <c r="L178" i="15"/>
  <c r="O178" i="15"/>
  <c r="L179" i="15"/>
  <c r="O179" i="15"/>
  <c r="L180" i="15"/>
  <c r="O180" i="15"/>
  <c r="L181" i="15"/>
  <c r="O181" i="15"/>
  <c r="L182" i="15"/>
  <c r="O182" i="15"/>
  <c r="L183" i="15"/>
  <c r="O183" i="15"/>
  <c r="L184" i="15"/>
  <c r="O184" i="15"/>
  <c r="L185" i="15"/>
  <c r="O185" i="15"/>
  <c r="L186" i="15"/>
  <c r="O186" i="15"/>
  <c r="L187" i="15"/>
  <c r="O187" i="15"/>
  <c r="L188" i="15"/>
  <c r="O188" i="15"/>
  <c r="L189" i="15"/>
  <c r="O189" i="15"/>
  <c r="L190" i="15"/>
  <c r="O190" i="15"/>
  <c r="L191" i="15"/>
  <c r="O191" i="15"/>
  <c r="L192" i="15"/>
  <c r="O192" i="15"/>
  <c r="L193" i="15"/>
  <c r="O193" i="15"/>
  <c r="L194" i="15"/>
  <c r="O194" i="15"/>
  <c r="L195" i="15"/>
  <c r="O195" i="15"/>
  <c r="L196" i="15"/>
  <c r="O196" i="15"/>
  <c r="L197" i="15"/>
  <c r="O197" i="15"/>
  <c r="L198" i="15"/>
  <c r="O198" i="15"/>
  <c r="L199" i="15"/>
  <c r="O199" i="15"/>
  <c r="L200" i="15"/>
  <c r="O200" i="15"/>
  <c r="L201" i="15"/>
  <c r="O201" i="15"/>
  <c r="L202" i="15"/>
  <c r="O202" i="15"/>
  <c r="L203" i="15"/>
  <c r="O203" i="15"/>
  <c r="L204" i="15"/>
  <c r="O204" i="15"/>
  <c r="L205" i="15"/>
  <c r="O205" i="15"/>
  <c r="L206" i="15"/>
  <c r="O206" i="15"/>
  <c r="L207" i="15"/>
  <c r="O207" i="15"/>
  <c r="L208" i="15"/>
  <c r="O208" i="15"/>
  <c r="L209" i="15"/>
  <c r="O209" i="15"/>
  <c r="L210" i="15"/>
  <c r="O210" i="15"/>
  <c r="L211" i="15"/>
  <c r="O211" i="15"/>
  <c r="L212" i="15"/>
  <c r="O212" i="15"/>
  <c r="L213" i="15"/>
  <c r="O213" i="15"/>
  <c r="L214" i="15"/>
  <c r="O214" i="15"/>
  <c r="L215" i="15"/>
  <c r="O215" i="15"/>
  <c r="L216" i="15"/>
  <c r="O216" i="15"/>
  <c r="L217" i="15"/>
  <c r="O217" i="15"/>
  <c r="L218" i="15"/>
  <c r="O218" i="15"/>
  <c r="L219" i="15"/>
  <c r="O219" i="15"/>
  <c r="L220" i="15"/>
  <c r="O220" i="15"/>
  <c r="L221" i="15"/>
  <c r="O221" i="15"/>
  <c r="L222" i="15"/>
  <c r="O222" i="15"/>
  <c r="L223" i="15"/>
  <c r="O223" i="15"/>
  <c r="L224" i="15"/>
  <c r="O224" i="15"/>
  <c r="L225" i="15"/>
  <c r="O225" i="15"/>
  <c r="L226" i="15"/>
  <c r="O226" i="15"/>
  <c r="L227" i="15"/>
  <c r="O227" i="15"/>
  <c r="L228" i="15"/>
  <c r="O228" i="15"/>
  <c r="L229" i="15"/>
  <c r="O229" i="15"/>
  <c r="L230" i="15"/>
  <c r="O230" i="15"/>
  <c r="L231" i="15"/>
  <c r="O231" i="15"/>
  <c r="L232" i="15"/>
  <c r="O232" i="15"/>
  <c r="L233" i="15"/>
  <c r="O233" i="15"/>
  <c r="L234" i="15"/>
  <c r="O234" i="15"/>
  <c r="L235" i="15"/>
  <c r="O235" i="15"/>
  <c r="L236" i="15"/>
  <c r="O236" i="15"/>
  <c r="L237" i="15"/>
  <c r="O237" i="15"/>
  <c r="L238" i="15"/>
  <c r="O238" i="15"/>
  <c r="L239" i="15"/>
  <c r="O239" i="15"/>
  <c r="L240" i="15"/>
  <c r="O240" i="15"/>
  <c r="L241" i="15"/>
  <c r="O241" i="15"/>
  <c r="L242" i="15"/>
  <c r="O242" i="15"/>
  <c r="L243" i="15"/>
  <c r="O243" i="15"/>
  <c r="L244" i="15"/>
  <c r="O244" i="15"/>
  <c r="L245" i="15"/>
  <c r="O245" i="15"/>
  <c r="L246" i="15"/>
  <c r="O246" i="15"/>
  <c r="L247" i="15"/>
  <c r="O247" i="15"/>
  <c r="L248" i="15"/>
  <c r="O248" i="15"/>
  <c r="L249" i="15"/>
  <c r="O249" i="15"/>
  <c r="L250" i="15"/>
  <c r="O250" i="15"/>
  <c r="L251" i="15"/>
  <c r="O251" i="15"/>
  <c r="L252" i="15"/>
  <c r="O252" i="15"/>
  <c r="L253" i="15"/>
  <c r="O253" i="15"/>
  <c r="L254" i="15"/>
  <c r="O254" i="15"/>
  <c r="L255" i="15"/>
  <c r="O255" i="15"/>
  <c r="L256" i="15"/>
  <c r="O256" i="15"/>
  <c r="L257" i="15"/>
  <c r="O257" i="15"/>
  <c r="L258" i="15"/>
  <c r="O258" i="15"/>
  <c r="L259" i="15"/>
  <c r="O259" i="15"/>
  <c r="L260" i="15"/>
  <c r="O260" i="15"/>
  <c r="L261" i="15"/>
  <c r="O261" i="15"/>
  <c r="L262" i="15"/>
  <c r="O262" i="15"/>
  <c r="L263" i="15"/>
  <c r="O263" i="15"/>
  <c r="L264" i="15"/>
  <c r="O264" i="15"/>
  <c r="L265" i="15"/>
  <c r="O265" i="15"/>
  <c r="L266" i="15"/>
  <c r="O266" i="15"/>
  <c r="L267" i="15"/>
  <c r="O267" i="15"/>
  <c r="L268" i="15"/>
  <c r="O268" i="15"/>
  <c r="L269" i="15"/>
  <c r="O269" i="15"/>
  <c r="L270" i="15"/>
  <c r="O270" i="15"/>
  <c r="L271" i="15"/>
  <c r="O271" i="15"/>
  <c r="L272" i="15"/>
  <c r="O272" i="15"/>
  <c r="L273" i="15"/>
  <c r="O273" i="15"/>
  <c r="L274" i="15"/>
  <c r="O274" i="15"/>
  <c r="L275" i="15"/>
  <c r="O275" i="15"/>
  <c r="L276" i="15"/>
  <c r="O276" i="15"/>
  <c r="L277" i="15"/>
  <c r="O277" i="15"/>
  <c r="L278" i="15"/>
  <c r="O278" i="15"/>
  <c r="L279" i="15"/>
  <c r="O279" i="15"/>
  <c r="L280" i="15"/>
  <c r="O280" i="15"/>
  <c r="L281" i="15"/>
  <c r="O281" i="15"/>
  <c r="L282" i="15"/>
  <c r="O282" i="15"/>
  <c r="L283" i="15"/>
  <c r="O283" i="15"/>
  <c r="L284" i="15"/>
  <c r="O284" i="15"/>
  <c r="L285" i="15"/>
  <c r="O285" i="15"/>
  <c r="L286" i="15"/>
  <c r="O286" i="15"/>
  <c r="L287" i="15"/>
  <c r="O287" i="15"/>
  <c r="L288" i="15"/>
  <c r="O288" i="15"/>
  <c r="L289" i="15"/>
  <c r="O289" i="15"/>
  <c r="L290" i="15"/>
  <c r="O290" i="15"/>
  <c r="L291" i="15"/>
  <c r="O291" i="15"/>
  <c r="L292" i="15"/>
  <c r="O292" i="15"/>
  <c r="L293" i="15"/>
  <c r="O293" i="15"/>
  <c r="L294" i="15"/>
  <c r="O294" i="15"/>
  <c r="L295" i="15"/>
  <c r="O295" i="15"/>
  <c r="L296" i="15"/>
  <c r="O296" i="15"/>
  <c r="L297" i="15"/>
  <c r="O297" i="15"/>
  <c r="L298" i="15"/>
  <c r="O298" i="15"/>
  <c r="L299" i="15"/>
  <c r="O299" i="15"/>
  <c r="L300" i="15"/>
  <c r="O300" i="15"/>
  <c r="L301" i="15"/>
  <c r="O301" i="15"/>
  <c r="L302" i="15"/>
  <c r="O302" i="15"/>
  <c r="L303" i="15"/>
  <c r="O303" i="15"/>
  <c r="L304" i="15"/>
  <c r="O304" i="15"/>
  <c r="L305" i="15"/>
  <c r="O305" i="15"/>
  <c r="L306" i="15"/>
  <c r="O306" i="15"/>
  <c r="L307" i="15"/>
  <c r="O307" i="15"/>
  <c r="L308" i="15"/>
  <c r="O308" i="15"/>
  <c r="L309" i="15"/>
  <c r="O309" i="15"/>
  <c r="L310" i="15"/>
  <c r="O310" i="15"/>
  <c r="L311" i="15"/>
  <c r="O311" i="15"/>
  <c r="L312" i="15"/>
  <c r="O312" i="15"/>
  <c r="L313" i="15"/>
  <c r="O313" i="15"/>
  <c r="L314" i="15"/>
  <c r="O314" i="15"/>
  <c r="L315" i="15"/>
  <c r="O315" i="15"/>
  <c r="L316" i="15"/>
  <c r="O316" i="15"/>
  <c r="L317" i="15"/>
  <c r="O317" i="15"/>
  <c r="L318" i="15"/>
  <c r="O318" i="15"/>
  <c r="L319" i="15"/>
  <c r="O319" i="15"/>
  <c r="L320" i="15"/>
  <c r="O320" i="15"/>
  <c r="L321" i="15"/>
  <c r="O321" i="15"/>
  <c r="L322" i="15"/>
  <c r="O322" i="15"/>
  <c r="L323" i="15"/>
  <c r="O323" i="15"/>
  <c r="L324" i="15"/>
  <c r="O324" i="15"/>
  <c r="L325" i="15"/>
  <c r="O325" i="15"/>
  <c r="L326" i="15"/>
  <c r="O326" i="15"/>
  <c r="L327" i="15"/>
  <c r="O327" i="15"/>
  <c r="L328" i="15"/>
  <c r="O328" i="15"/>
  <c r="L329" i="15"/>
  <c r="O329" i="15"/>
  <c r="L330" i="15"/>
  <c r="O330" i="15"/>
  <c r="L331" i="15"/>
  <c r="O331" i="15"/>
  <c r="L332" i="15"/>
  <c r="O332" i="15"/>
  <c r="L333" i="15"/>
  <c r="O333" i="15"/>
  <c r="L334" i="15"/>
  <c r="O334" i="15"/>
  <c r="L335" i="15"/>
  <c r="O335" i="15"/>
  <c r="L336" i="15"/>
  <c r="O336" i="15"/>
  <c r="L337" i="15"/>
  <c r="O337" i="15"/>
  <c r="L338" i="15"/>
  <c r="O338" i="15"/>
  <c r="L339" i="15"/>
  <c r="O339" i="15"/>
  <c r="L340" i="15"/>
  <c r="O340" i="15"/>
  <c r="L341" i="15"/>
  <c r="O341" i="15"/>
  <c r="L342" i="15"/>
  <c r="O342" i="15"/>
  <c r="L343" i="15"/>
  <c r="O343" i="15"/>
  <c r="L344" i="15"/>
  <c r="O344" i="15"/>
  <c r="L345" i="15"/>
  <c r="O345" i="15"/>
  <c r="L346" i="15"/>
  <c r="O346" i="15"/>
  <c r="L347" i="15"/>
  <c r="O347" i="15"/>
  <c r="L348" i="15"/>
  <c r="O348" i="15"/>
  <c r="L349" i="15"/>
  <c r="O349" i="15"/>
  <c r="L350" i="15"/>
  <c r="O350" i="15"/>
  <c r="L351" i="15"/>
  <c r="O351" i="15"/>
  <c r="L352" i="15"/>
  <c r="O352" i="15"/>
  <c r="L353" i="15"/>
  <c r="O353" i="15"/>
  <c r="L354" i="15"/>
  <c r="O354" i="15"/>
  <c r="L355" i="15"/>
  <c r="O355" i="15"/>
  <c r="L356" i="15"/>
  <c r="O356" i="15"/>
  <c r="L357" i="15"/>
  <c r="O357" i="15"/>
  <c r="L358" i="15"/>
  <c r="O358" i="15"/>
  <c r="L359" i="15"/>
  <c r="O359" i="15"/>
  <c r="L360" i="15"/>
  <c r="O360" i="15"/>
  <c r="L361" i="15"/>
  <c r="O361" i="15"/>
  <c r="L362" i="15"/>
  <c r="O362" i="15"/>
  <c r="L363" i="15"/>
  <c r="O363" i="15"/>
  <c r="L364" i="15"/>
  <c r="O364" i="15"/>
  <c r="L365" i="15"/>
  <c r="O365" i="15"/>
  <c r="L366" i="15"/>
  <c r="O366" i="15"/>
  <c r="L367" i="15"/>
  <c r="O367" i="15"/>
  <c r="L368" i="15"/>
  <c r="O368" i="15"/>
  <c r="L369" i="15"/>
  <c r="O369" i="15"/>
  <c r="L370" i="15"/>
  <c r="O370" i="15"/>
  <c r="L371" i="15"/>
  <c r="O371" i="15"/>
  <c r="L372" i="15"/>
  <c r="O372" i="15"/>
  <c r="L373" i="15"/>
  <c r="O373" i="15"/>
  <c r="L374" i="15"/>
  <c r="O374" i="15"/>
  <c r="L375" i="15"/>
  <c r="O375" i="15"/>
  <c r="L376" i="15"/>
  <c r="O376" i="15"/>
  <c r="L377" i="15"/>
  <c r="O377" i="15"/>
  <c r="L378" i="15"/>
  <c r="O378" i="15"/>
  <c r="L379" i="15"/>
  <c r="O379" i="15"/>
  <c r="L380" i="15"/>
  <c r="O380" i="15"/>
  <c r="L381" i="15"/>
  <c r="O381" i="15"/>
  <c r="O2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2" i="15"/>
  <c r="L1" i="15"/>
  <c r="M1" i="15"/>
  <c r="N1" i="15"/>
  <c r="O1" i="15"/>
  <c r="K1" i="15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3" i="14"/>
  <c r="J39" i="13"/>
  <c r="A39" i="13"/>
  <c r="I22" i="13"/>
  <c r="B29" i="13"/>
  <c r="F9" i="13"/>
  <c r="E9" i="13"/>
  <c r="C9" i="13"/>
  <c r="B9" i="13"/>
  <c r="BQ2" i="15"/>
  <c r="C29" i="11"/>
  <c r="B29" i="11"/>
  <c r="C28" i="11"/>
  <c r="B28" i="11"/>
  <c r="C27" i="10"/>
  <c r="B27" i="10"/>
  <c r="C29" i="7"/>
  <c r="B29" i="7"/>
  <c r="C28" i="7"/>
  <c r="B28" i="7"/>
  <c r="C28" i="6"/>
  <c r="B28" i="6"/>
  <c r="W68" i="15" l="1"/>
  <c r="W69" i="15"/>
  <c r="W70" i="15"/>
  <c r="W71" i="15"/>
  <c r="W55" i="15"/>
  <c r="W56" i="15"/>
  <c r="W48" i="15"/>
  <c r="W54" i="15"/>
  <c r="W67" i="15"/>
  <c r="W53" i="15"/>
  <c r="W66" i="15"/>
  <c r="W52" i="15"/>
  <c r="W65" i="15"/>
  <c r="W51" i="15"/>
  <c r="W64" i="15"/>
  <c r="W50" i="15"/>
  <c r="W63" i="15"/>
  <c r="W49" i="15"/>
  <c r="W62" i="15"/>
  <c r="W61" i="15"/>
  <c r="W60" i="15"/>
  <c r="W59" i="15"/>
  <c r="W58" i="15"/>
  <c r="W57" i="15"/>
  <c r="BQ14" i="15"/>
  <c r="BV43" i="15" s="1"/>
  <c r="BR2" i="15"/>
  <c r="AB68" i="15" l="1"/>
  <c r="Y70" i="15"/>
  <c r="X69" i="15"/>
  <c r="Z70" i="15"/>
  <c r="AA70" i="15"/>
  <c r="X68" i="15"/>
  <c r="AA69" i="15"/>
  <c r="Y69" i="15"/>
  <c r="Y68" i="15"/>
  <c r="Z68" i="15"/>
  <c r="AA71" i="15"/>
  <c r="AA68" i="15"/>
  <c r="X70" i="15"/>
  <c r="Z69" i="15"/>
  <c r="X71" i="15"/>
  <c r="Y71" i="15"/>
  <c r="Z71" i="15"/>
  <c r="AB70" i="15"/>
  <c r="AB71" i="15"/>
  <c r="AB69" i="15"/>
  <c r="BQ5" i="15"/>
  <c r="BR10" i="15"/>
  <c r="BW39" i="15" s="1"/>
  <c r="BQ19" i="15"/>
  <c r="BR12" i="15"/>
  <c r="BW41" i="15" s="1"/>
  <c r="BQ6" i="15"/>
  <c r="BR23" i="15"/>
  <c r="BW52" i="15" s="1"/>
  <c r="BR11" i="15"/>
  <c r="BW40" i="15" s="1"/>
  <c r="BR15" i="15"/>
  <c r="BW44" i="15" s="1"/>
  <c r="BQ9" i="15"/>
  <c r="BQ23" i="15"/>
  <c r="BR17" i="15"/>
  <c r="BW46" i="15" s="1"/>
  <c r="BQ11" i="15"/>
  <c r="BR18" i="15"/>
  <c r="BW47" i="15" s="1"/>
  <c r="BR5" i="15"/>
  <c r="BW34" i="15" s="1"/>
  <c r="BR19" i="15"/>
  <c r="BW48" i="15" s="1"/>
  <c r="BR4" i="15"/>
  <c r="BW33" i="15" s="1"/>
  <c r="BQ13" i="15"/>
  <c r="BQ20" i="15"/>
  <c r="BQ17" i="15"/>
  <c r="BR13" i="15"/>
  <c r="BW42" i="15" s="1"/>
  <c r="BQ18" i="15"/>
  <c r="BQ7" i="15"/>
  <c r="BR6" i="15"/>
  <c r="BW35" i="15" s="1"/>
  <c r="BQ21" i="15"/>
  <c r="BR9" i="15"/>
  <c r="BR8" i="15"/>
  <c r="BQ4" i="15"/>
  <c r="BP2" i="15"/>
  <c r="BR14" i="15"/>
  <c r="BR16" i="15"/>
  <c r="BR20" i="15"/>
  <c r="BR21" i="15"/>
  <c r="BR22" i="15"/>
  <c r="BQ8" i="15"/>
  <c r="BQ10" i="15"/>
  <c r="BQ12" i="15"/>
  <c r="BQ15" i="15"/>
  <c r="BQ22" i="15"/>
  <c r="BR7" i="15"/>
  <c r="AD69" i="15" l="1"/>
  <c r="AD70" i="15"/>
  <c r="AD71" i="15"/>
  <c r="AD68" i="15"/>
  <c r="AC68" i="15"/>
  <c r="AC71" i="15"/>
  <c r="AC69" i="15"/>
  <c r="AC70" i="15"/>
  <c r="BV48" i="15"/>
  <c r="BV34" i="15"/>
  <c r="BV49" i="15"/>
  <c r="BV52" i="15"/>
  <c r="BV40" i="15"/>
  <c r="BV36" i="15"/>
  <c r="BV50" i="15"/>
  <c r="BV38" i="15"/>
  <c r="BV46" i="15"/>
  <c r="BV35" i="15"/>
  <c r="BQ16" i="15"/>
  <c r="B20" i="13"/>
  <c r="BW38" i="15"/>
  <c r="BV51" i="15"/>
  <c r="BV44" i="15"/>
  <c r="BV41" i="15"/>
  <c r="BV39" i="15"/>
  <c r="BV37" i="15"/>
  <c r="BW51" i="15"/>
  <c r="BW50" i="15"/>
  <c r="BW49" i="15"/>
  <c r="BW45" i="15"/>
  <c r="BW43" i="15"/>
  <c r="BV33" i="15"/>
  <c r="BW36" i="15"/>
  <c r="BW37" i="15"/>
  <c r="B18" i="13"/>
  <c r="B17" i="13"/>
  <c r="B16" i="13"/>
  <c r="B19" i="13"/>
  <c r="B12" i="13"/>
  <c r="BV42" i="15"/>
  <c r="C11" i="13"/>
  <c r="C16" i="13"/>
  <c r="C15" i="13"/>
  <c r="C14" i="13"/>
  <c r="C18" i="13"/>
  <c r="C10" i="13"/>
  <c r="C13" i="13"/>
  <c r="C19" i="13"/>
  <c r="C20" i="13"/>
  <c r="C12" i="13"/>
  <c r="C17" i="13"/>
  <c r="BV47" i="15"/>
  <c r="AC97" i="15" l="1"/>
  <c r="AC96" i="15"/>
  <c r="AC95" i="15"/>
  <c r="BV45" i="15"/>
  <c r="B13" i="13"/>
  <c r="E13" i="13" s="1"/>
  <c r="B11" i="13"/>
  <c r="E29" i="13" s="1"/>
  <c r="B14" i="13"/>
  <c r="H30" i="13" s="1"/>
  <c r="B15" i="13"/>
  <c r="I31" i="13" s="1"/>
  <c r="F11" i="13"/>
  <c r="F31" i="13"/>
  <c r="F34" i="13"/>
  <c r="F25" i="13"/>
  <c r="F27" i="13"/>
  <c r="F32" i="13"/>
  <c r="F29" i="13"/>
  <c r="F28" i="13"/>
  <c r="F24" i="13"/>
  <c r="F33" i="13"/>
  <c r="F30" i="13"/>
  <c r="E12" i="13"/>
  <c r="F26" i="13"/>
  <c r="M25" i="13"/>
  <c r="M30" i="13"/>
  <c r="M33" i="13"/>
  <c r="M26" i="13"/>
  <c r="M32" i="13"/>
  <c r="M31" i="13"/>
  <c r="M27" i="13"/>
  <c r="M28" i="13"/>
  <c r="M24" i="13"/>
  <c r="M29" i="13"/>
  <c r="M34" i="13"/>
  <c r="E19" i="13"/>
  <c r="N32" i="13"/>
  <c r="N33" i="13"/>
  <c r="E20" i="13"/>
  <c r="N34" i="13"/>
  <c r="N25" i="13"/>
  <c r="N31" i="13"/>
  <c r="N24" i="13"/>
  <c r="N30" i="13"/>
  <c r="N29" i="13"/>
  <c r="N26" i="13"/>
  <c r="N28" i="13"/>
  <c r="N27" i="13"/>
  <c r="J27" i="13"/>
  <c r="J30" i="13"/>
  <c r="J29" i="13"/>
  <c r="J26" i="13"/>
  <c r="J32" i="13"/>
  <c r="E16" i="13"/>
  <c r="J28" i="13"/>
  <c r="J33" i="13"/>
  <c r="J24" i="13"/>
  <c r="J31" i="13"/>
  <c r="J34" i="13"/>
  <c r="J25" i="13"/>
  <c r="D33" i="13"/>
  <c r="D29" i="13"/>
  <c r="D30" i="13"/>
  <c r="D27" i="13"/>
  <c r="D25" i="13"/>
  <c r="D32" i="13"/>
  <c r="D28" i="13"/>
  <c r="D24" i="13"/>
  <c r="D34" i="13"/>
  <c r="D26" i="13"/>
  <c r="D31" i="13"/>
  <c r="K32" i="13"/>
  <c r="K25" i="13"/>
  <c r="K26" i="13"/>
  <c r="K30" i="13"/>
  <c r="K33" i="13"/>
  <c r="E17" i="13"/>
  <c r="K24" i="13"/>
  <c r="K29" i="13"/>
  <c r="K27" i="13"/>
  <c r="K31" i="13"/>
  <c r="K28" i="13"/>
  <c r="K34" i="13"/>
  <c r="L24" i="13"/>
  <c r="E18" i="13"/>
  <c r="L27" i="13"/>
  <c r="L29" i="13"/>
  <c r="L34" i="13"/>
  <c r="L25" i="13"/>
  <c r="L31" i="13"/>
  <c r="L33" i="13"/>
  <c r="L32" i="13"/>
  <c r="L30" i="13"/>
  <c r="L26" i="13"/>
  <c r="L28" i="13"/>
  <c r="F12" i="13" l="1"/>
  <c r="F13" i="13"/>
  <c r="F18" i="13"/>
  <c r="F15" i="13"/>
  <c r="F14" i="13"/>
  <c r="G34" i="13"/>
  <c r="H26" i="13"/>
  <c r="G27" i="13"/>
  <c r="H32" i="13"/>
  <c r="G25" i="13"/>
  <c r="G29" i="13"/>
  <c r="G30" i="13"/>
  <c r="E14" i="13"/>
  <c r="G24" i="13"/>
  <c r="H29" i="13"/>
  <c r="E28" i="13"/>
  <c r="E33" i="13"/>
  <c r="H28" i="13"/>
  <c r="E30" i="13"/>
  <c r="E34" i="13"/>
  <c r="H34" i="13"/>
  <c r="H33" i="13"/>
  <c r="H25" i="13"/>
  <c r="H27" i="13"/>
  <c r="E25" i="13"/>
  <c r="H24" i="13"/>
  <c r="E26" i="13"/>
  <c r="G32" i="13"/>
  <c r="E32" i="13"/>
  <c r="E24" i="13"/>
  <c r="E31" i="13"/>
  <c r="E11" i="13"/>
  <c r="G33" i="13"/>
  <c r="I33" i="13"/>
  <c r="I32" i="13"/>
  <c r="I26" i="13"/>
  <c r="I25" i="13"/>
  <c r="I30" i="13"/>
  <c r="I28" i="13"/>
  <c r="I27" i="13"/>
  <c r="I29" i="13"/>
  <c r="G28" i="13"/>
  <c r="G31" i="13"/>
  <c r="G26" i="13"/>
  <c r="E27" i="13"/>
  <c r="H67" i="13"/>
  <c r="D67" i="13"/>
  <c r="B67" i="13"/>
  <c r="E15" i="13"/>
  <c r="I34" i="13"/>
  <c r="F20" i="13"/>
  <c r="F17" i="13"/>
  <c r="F19" i="13"/>
  <c r="H31" i="13"/>
  <c r="I24" i="13"/>
  <c r="F16" i="13"/>
  <c r="AB65" i="15"/>
  <c r="AA55" i="15"/>
  <c r="AB66" i="15"/>
  <c r="AA58" i="15"/>
  <c r="Y67" i="15"/>
  <c r="Z61" i="15"/>
  <c r="Y60" i="15"/>
  <c r="Y54" i="15"/>
  <c r="X67" i="15"/>
  <c r="AC48" i="15"/>
  <c r="AA67" i="15"/>
  <c r="AA51" i="15"/>
  <c r="Z59" i="15"/>
  <c r="X52" i="15"/>
  <c r="Y58" i="15"/>
  <c r="AA57" i="15"/>
  <c r="AB60" i="15"/>
  <c r="AA66" i="15"/>
  <c r="AA64" i="15"/>
  <c r="X59" i="15"/>
  <c r="Z65" i="15"/>
  <c r="X51" i="15"/>
  <c r="X61" i="15"/>
  <c r="AB59" i="15"/>
  <c r="AB48" i="15"/>
  <c r="Z60" i="15"/>
  <c r="Y48" i="15"/>
  <c r="X66" i="15"/>
  <c r="X60" i="15"/>
  <c r="AA59" i="15"/>
  <c r="AB61" i="15"/>
  <c r="X56" i="15"/>
  <c r="Y51" i="15"/>
  <c r="Y64" i="15"/>
  <c r="Z64" i="15"/>
  <c r="Z51" i="15"/>
  <c r="Z50" i="15"/>
  <c r="Y53" i="15"/>
  <c r="AA65" i="15"/>
  <c r="Z53" i="15"/>
  <c r="AB57" i="15"/>
  <c r="AA48" i="15"/>
  <c r="AA49" i="15"/>
  <c r="Z63" i="15"/>
  <c r="AB56" i="15"/>
  <c r="X55" i="15"/>
  <c r="AB53" i="15"/>
  <c r="AA53" i="15"/>
  <c r="AA63" i="15"/>
  <c r="X58" i="15"/>
  <c r="AD58" i="15" s="1"/>
  <c r="Z49" i="15"/>
  <c r="Y56" i="15"/>
  <c r="Y63" i="15"/>
  <c r="AA54" i="15"/>
  <c r="Z52" i="15"/>
  <c r="X53" i="15"/>
  <c r="AB50" i="15"/>
  <c r="AB63" i="15"/>
  <c r="AA52" i="15"/>
  <c r="Y66" i="15"/>
  <c r="AA56" i="15"/>
  <c r="AB51" i="15"/>
  <c r="Z54" i="15"/>
  <c r="Y57" i="15"/>
  <c r="X62" i="15"/>
  <c r="Z67" i="15"/>
  <c r="AB58" i="15"/>
  <c r="Z62" i="15"/>
  <c r="X64" i="15"/>
  <c r="X50" i="15"/>
  <c r="Y59" i="15"/>
  <c r="Z66" i="15"/>
  <c r="Y61" i="15"/>
  <c r="Y49" i="15"/>
  <c r="X63" i="15"/>
  <c r="AA60" i="15"/>
  <c r="AB64" i="15"/>
  <c r="X65" i="15"/>
  <c r="Z58" i="15"/>
  <c r="Z48" i="15"/>
  <c r="Z57" i="15"/>
  <c r="AA50" i="15"/>
  <c r="AB49" i="15"/>
  <c r="AA61" i="15"/>
  <c r="AB62" i="15"/>
  <c r="Y52" i="15"/>
  <c r="AB55" i="15"/>
  <c r="X54" i="15"/>
  <c r="AB67" i="15"/>
  <c r="X57" i="15"/>
  <c r="Y50" i="15"/>
  <c r="Y65" i="15"/>
  <c r="Z56" i="15"/>
  <c r="AB52" i="15"/>
  <c r="AB54" i="15"/>
  <c r="X49" i="15"/>
  <c r="X48" i="15"/>
  <c r="Y62" i="15"/>
  <c r="Y55" i="15"/>
  <c r="Z55" i="15"/>
  <c r="AA62" i="15"/>
  <c r="B78" i="13"/>
  <c r="L67" i="13"/>
  <c r="I67" i="13"/>
  <c r="K67" i="13"/>
  <c r="J67" i="13"/>
  <c r="B74" i="13" l="1"/>
  <c r="AD60" i="15"/>
  <c r="AD54" i="15"/>
  <c r="AD53" i="15"/>
  <c r="AD63" i="15"/>
  <c r="AD66" i="15"/>
  <c r="AD64" i="15"/>
  <c r="AH61" i="15"/>
  <c r="AH50" i="15"/>
  <c r="AH54" i="15"/>
  <c r="AH51" i="15"/>
  <c r="AH65" i="15"/>
  <c r="AH67" i="15"/>
  <c r="AH68" i="15"/>
  <c r="AH71" i="15"/>
  <c r="AH69" i="15"/>
  <c r="AH70" i="15"/>
  <c r="AH63" i="15"/>
  <c r="AH53" i="15"/>
  <c r="AH56" i="15"/>
  <c r="AH64" i="15"/>
  <c r="AH66" i="15"/>
  <c r="AH58" i="15"/>
  <c r="AH60" i="15"/>
  <c r="AH62" i="15"/>
  <c r="AH52" i="15"/>
  <c r="AH59" i="15"/>
  <c r="AH57" i="15"/>
  <c r="AH55" i="15"/>
  <c r="AD52" i="15"/>
  <c r="AD65" i="15"/>
  <c r="AD62" i="15"/>
  <c r="AD61" i="15"/>
  <c r="AD67" i="15"/>
  <c r="AD59" i="15"/>
  <c r="AD55" i="15"/>
  <c r="AD56" i="15"/>
  <c r="AD57" i="15"/>
  <c r="AH49" i="15"/>
  <c r="AH48" i="15"/>
  <c r="K1" i="13"/>
  <c r="B73" i="13"/>
  <c r="B76" i="13"/>
  <c r="E65" i="13"/>
  <c r="A65" i="13" s="1"/>
  <c r="B77" i="13"/>
  <c r="E59" i="13"/>
  <c r="A59" i="13" s="1"/>
  <c r="F67" i="13"/>
  <c r="C67" i="13"/>
  <c r="B72" i="13"/>
  <c r="B69" i="13"/>
  <c r="E53" i="13"/>
  <c r="A53" i="13" s="1"/>
  <c r="B71" i="13"/>
  <c r="B75" i="13"/>
  <c r="B70" i="13"/>
  <c r="I53" i="13"/>
  <c r="M53" i="13" s="1"/>
  <c r="E67" i="13"/>
  <c r="AC55" i="15"/>
  <c r="AC58" i="15"/>
  <c r="AC57" i="15"/>
  <c r="K3" i="13"/>
  <c r="H43" i="13"/>
  <c r="B68" i="13"/>
  <c r="G67" i="13"/>
  <c r="AC64" i="15"/>
  <c r="AC66" i="15"/>
  <c r="AC65" i="15"/>
  <c r="AC59" i="15"/>
  <c r="AC67" i="15"/>
  <c r="AC94" i="15" s="1"/>
  <c r="AD48" i="15"/>
  <c r="AC51" i="15"/>
  <c r="AC53" i="15"/>
  <c r="AC63" i="15"/>
  <c r="AC50" i="15"/>
  <c r="AC49" i="15"/>
  <c r="AC60" i="15"/>
  <c r="AC56" i="15"/>
  <c r="AC61" i="15"/>
  <c r="AD49" i="15"/>
  <c r="AC52" i="15"/>
  <c r="AD51" i="15"/>
  <c r="AD50" i="15"/>
  <c r="AC54" i="15"/>
  <c r="AC62" i="15"/>
  <c r="N2" i="13" l="1"/>
  <c r="AF58" i="15"/>
  <c r="AF63" i="15"/>
  <c r="AG54" i="15"/>
  <c r="AF50" i="15"/>
  <c r="AF51" i="15"/>
  <c r="AG70" i="15"/>
  <c r="AG67" i="15"/>
  <c r="AF53" i="15"/>
  <c r="AF64" i="15"/>
  <c r="AF56" i="15"/>
  <c r="AG65" i="15"/>
  <c r="AG59" i="15"/>
  <c r="AG69" i="15"/>
  <c r="AG68" i="15"/>
  <c r="AF66" i="15"/>
  <c r="AG66" i="15"/>
  <c r="AF54" i="15"/>
  <c r="AF67" i="15"/>
  <c r="AF62" i="15"/>
  <c r="AG63" i="15"/>
  <c r="AI63" i="15" s="1"/>
  <c r="AG71" i="15"/>
  <c r="AF57" i="15"/>
  <c r="AG52" i="15"/>
  <c r="AG64" i="15"/>
  <c r="AG61" i="15"/>
  <c r="AF59" i="15"/>
  <c r="AG60" i="15"/>
  <c r="AF61" i="15"/>
  <c r="AG57" i="15"/>
  <c r="AF65" i="15"/>
  <c r="AG58" i="15"/>
  <c r="AG53" i="15"/>
  <c r="AG55" i="15"/>
  <c r="AF60" i="15"/>
  <c r="AG51" i="15"/>
  <c r="AF55" i="15"/>
  <c r="AG56" i="15"/>
  <c r="AG50" i="15"/>
  <c r="AI50" i="15" s="1"/>
  <c r="AF52" i="15"/>
  <c r="AG62" i="15"/>
  <c r="AF70" i="15"/>
  <c r="AI70" i="15" s="1"/>
  <c r="AF71" i="15"/>
  <c r="AF68" i="15"/>
  <c r="AF69" i="15"/>
  <c r="AG48" i="15"/>
  <c r="AF49" i="15"/>
  <c r="AF48" i="15"/>
  <c r="AC81" i="15"/>
  <c r="AC77" i="15"/>
  <c r="AC88" i="15"/>
  <c r="AC87" i="15"/>
  <c r="AC86" i="15"/>
  <c r="AC92" i="15"/>
  <c r="AC80" i="15"/>
  <c r="AC79" i="15"/>
  <c r="AC93" i="15"/>
  <c r="AC91" i="15"/>
  <c r="AC83" i="15"/>
  <c r="AC90" i="15"/>
  <c r="AC78" i="15"/>
  <c r="AC84" i="15"/>
  <c r="AC85" i="15"/>
  <c r="AC76" i="15"/>
  <c r="AG49" i="15"/>
  <c r="AC82" i="15"/>
  <c r="I39" i="13"/>
  <c r="H39" i="13"/>
  <c r="AC89" i="15"/>
  <c r="AI55" i="15" l="1"/>
  <c r="AI58" i="15"/>
  <c r="AI51" i="15"/>
  <c r="AI54" i="15"/>
  <c r="AI52" i="15"/>
  <c r="AI71" i="15"/>
  <c r="AI61" i="15"/>
  <c r="AI64" i="15"/>
  <c r="AI67" i="15"/>
  <c r="AI53" i="15"/>
  <c r="AI65" i="15"/>
  <c r="AI69" i="15"/>
  <c r="AI68" i="15"/>
  <c r="AI66" i="15"/>
  <c r="AI57" i="15"/>
  <c r="AI56" i="15"/>
  <c r="AI59" i="15"/>
  <c r="AI60" i="15"/>
  <c r="AI62" i="15"/>
  <c r="AI48" i="15"/>
  <c r="AI49" i="15"/>
  <c r="U54" i="15" l="1"/>
  <c r="U62" i="15"/>
  <c r="U53" i="15"/>
  <c r="U59" i="15"/>
  <c r="U57" i="15"/>
  <c r="U51" i="15"/>
  <c r="U60" i="15"/>
  <c r="U50" i="15"/>
  <c r="U55" i="15"/>
  <c r="U52" i="15"/>
  <c r="U58" i="15"/>
  <c r="U67" i="15"/>
  <c r="U66" i="15"/>
  <c r="U65" i="15"/>
  <c r="U49" i="15"/>
  <c r="U64" i="15"/>
  <c r="U61" i="15"/>
  <c r="U63" i="15"/>
  <c r="U56" i="15"/>
  <c r="U48" i="15"/>
  <c r="U69" i="15"/>
  <c r="U68" i="15"/>
  <c r="U70" i="15"/>
  <c r="U71" i="15"/>
  <c r="V95" i="15" l="1"/>
  <c r="AA96" i="15"/>
  <c r="W98" i="15"/>
  <c r="W95" i="15"/>
  <c r="AB96" i="15"/>
  <c r="X98" i="15"/>
  <c r="AD98" i="15"/>
  <c r="X95" i="15"/>
  <c r="Y98" i="15"/>
  <c r="Y95" i="15"/>
  <c r="AD96" i="15"/>
  <c r="Z98" i="15"/>
  <c r="Z95" i="15"/>
  <c r="V97" i="15"/>
  <c r="AA98" i="15"/>
  <c r="AB98" i="15"/>
  <c r="AA95" i="15"/>
  <c r="W97" i="15"/>
  <c r="AB95" i="15"/>
  <c r="X97" i="15"/>
  <c r="Y97" i="15"/>
  <c r="AD95" i="15"/>
  <c r="Z97" i="15"/>
  <c r="AA97" i="15"/>
  <c r="V96" i="15"/>
  <c r="AB97" i="15"/>
  <c r="W96" i="15"/>
  <c r="X96" i="15"/>
  <c r="Y96" i="15"/>
  <c r="AD97" i="15"/>
  <c r="Z96" i="15"/>
  <c r="V98" i="15"/>
  <c r="AD94" i="15"/>
  <c r="X93" i="15"/>
  <c r="Z91" i="15"/>
  <c r="AB89" i="15"/>
  <c r="V88" i="15"/>
  <c r="X86" i="15"/>
  <c r="Z84" i="15"/>
  <c r="AB82" i="15"/>
  <c r="V81" i="15"/>
  <c r="X79" i="15"/>
  <c r="Z77" i="15"/>
  <c r="AC75" i="15"/>
  <c r="AC98" i="15" s="1"/>
  <c r="W82" i="15"/>
  <c r="V80" i="15"/>
  <c r="W93" i="15"/>
  <c r="Y91" i="15"/>
  <c r="AA89" i="15"/>
  <c r="AD87" i="15"/>
  <c r="W86" i="15"/>
  <c r="Y84" i="15"/>
  <c r="AA82" i="15"/>
  <c r="AD80" i="15"/>
  <c r="W79" i="15"/>
  <c r="Y77" i="15"/>
  <c r="AB75" i="15"/>
  <c r="AD90" i="15"/>
  <c r="W75" i="15"/>
  <c r="X92" i="15"/>
  <c r="AB94" i="15"/>
  <c r="V93" i="15"/>
  <c r="X91" i="15"/>
  <c r="Z89" i="15"/>
  <c r="AB87" i="15"/>
  <c r="V86" i="15"/>
  <c r="X84" i="15"/>
  <c r="Z82" i="15"/>
  <c r="AB80" i="15"/>
  <c r="V79" i="15"/>
  <c r="X77" i="15"/>
  <c r="AA75" i="15"/>
  <c r="AA85" i="15"/>
  <c r="X85" i="15"/>
  <c r="AA94" i="15"/>
  <c r="AD92" i="15"/>
  <c r="W91" i="15"/>
  <c r="Y89" i="15"/>
  <c r="AA87" i="15"/>
  <c r="AD85" i="15"/>
  <c r="W84" i="15"/>
  <c r="Y82" i="15"/>
  <c r="AA80" i="15"/>
  <c r="AD78" i="15"/>
  <c r="W77" i="15"/>
  <c r="Z75" i="15"/>
  <c r="W89" i="15"/>
  <c r="AD76" i="15"/>
  <c r="AB76" i="15"/>
  <c r="AB88" i="15"/>
  <c r="Z76" i="15"/>
  <c r="Z94" i="15"/>
  <c r="AB92" i="15"/>
  <c r="V91" i="15"/>
  <c r="X89" i="15"/>
  <c r="Z87" i="15"/>
  <c r="AB85" i="15"/>
  <c r="V84" i="15"/>
  <c r="X82" i="15"/>
  <c r="Z80" i="15"/>
  <c r="AB78" i="15"/>
  <c r="V77" i="15"/>
  <c r="Y75" i="15"/>
  <c r="AA92" i="15"/>
  <c r="AA78" i="15"/>
  <c r="Z78" i="15"/>
  <c r="Z90" i="15"/>
  <c r="Y94" i="15"/>
  <c r="Y87" i="15"/>
  <c r="AD83" i="15"/>
  <c r="Y80" i="15"/>
  <c r="X75" i="15"/>
  <c r="AB81" i="15"/>
  <c r="X94" i="15"/>
  <c r="Z92" i="15"/>
  <c r="AB90" i="15"/>
  <c r="V89" i="15"/>
  <c r="X87" i="15"/>
  <c r="Z85" i="15"/>
  <c r="AB83" i="15"/>
  <c r="V82" i="15"/>
  <c r="X80" i="15"/>
  <c r="Z83" i="15"/>
  <c r="W94" i="15"/>
  <c r="Y92" i="15"/>
  <c r="AA90" i="15"/>
  <c r="AD88" i="15"/>
  <c r="W87" i="15"/>
  <c r="Y85" i="15"/>
  <c r="AA83" i="15"/>
  <c r="AD81" i="15"/>
  <c r="W80" i="15"/>
  <c r="Y78" i="15"/>
  <c r="AA76" i="15"/>
  <c r="V75" i="15"/>
  <c r="V87" i="15"/>
  <c r="V94" i="15"/>
  <c r="X78" i="15"/>
  <c r="AD93" i="15"/>
  <c r="W92" i="15"/>
  <c r="Y90" i="15"/>
  <c r="AA88" i="15"/>
  <c r="AD86" i="15"/>
  <c r="W85" i="15"/>
  <c r="Y83" i="15"/>
  <c r="AA81" i="15"/>
  <c r="AD79" i="15"/>
  <c r="W78" i="15"/>
  <c r="Y76" i="15"/>
  <c r="V78" i="15"/>
  <c r="AB93" i="15"/>
  <c r="V92" i="15"/>
  <c r="X90" i="15"/>
  <c r="Z88" i="15"/>
  <c r="AB86" i="15"/>
  <c r="V85" i="15"/>
  <c r="X83" i="15"/>
  <c r="Z81" i="15"/>
  <c r="AB79" i="15"/>
  <c r="X76" i="15"/>
  <c r="AA93" i="15"/>
  <c r="AD91" i="15"/>
  <c r="W90" i="15"/>
  <c r="Y88" i="15"/>
  <c r="AA86" i="15"/>
  <c r="AD84" i="15"/>
  <c r="W83" i="15"/>
  <c r="Y81" i="15"/>
  <c r="AA79" i="15"/>
  <c r="AD77" i="15"/>
  <c r="W76" i="15"/>
  <c r="AD89" i="15"/>
  <c r="Z93" i="15"/>
  <c r="AB91" i="15"/>
  <c r="V90" i="15"/>
  <c r="X88" i="15"/>
  <c r="Z86" i="15"/>
  <c r="AB84" i="15"/>
  <c r="V83" i="15"/>
  <c r="X81" i="15"/>
  <c r="Z79" i="15"/>
  <c r="AB77" i="15"/>
  <c r="V76" i="15"/>
  <c r="AA91" i="15"/>
  <c r="Y86" i="15"/>
  <c r="AD82" i="15"/>
  <c r="Y79" i="15"/>
  <c r="AD75" i="15"/>
  <c r="Y93" i="15"/>
  <c r="W88" i="15"/>
  <c r="AA84" i="15"/>
  <c r="W81" i="15"/>
  <c r="AA77" i="15"/>
  <c r="W101" i="15" l="1"/>
  <c r="AK101" i="15"/>
  <c r="X101" i="15"/>
  <c r="AL101" i="15"/>
  <c r="Y101" i="15"/>
  <c r="AM101" i="15"/>
  <c r="Z101" i="15"/>
  <c r="AN101" i="15"/>
  <c r="AA101" i="15"/>
  <c r="AO101" i="15"/>
  <c r="AB101" i="15"/>
  <c r="AP101" i="15"/>
  <c r="AC101" i="15"/>
  <c r="AQ101" i="15"/>
  <c r="AD101" i="15"/>
  <c r="AR101" i="15"/>
  <c r="AE101" i="15"/>
  <c r="AS101" i="15"/>
  <c r="AF101" i="15"/>
  <c r="AG101" i="15"/>
  <c r="AH101" i="15"/>
  <c r="AI101" i="15"/>
  <c r="AJ101" i="15"/>
  <c r="V10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468ED1-FF71-41B6-8364-5B3C2FB3D106}" name="Connection" type="4" refreshedVersion="8" background="1" saveData="1">
    <webPr sourceData="1" parsePre="1" consecutive="1" url="https://fbref.com/en/comps/10/Championship-Stats" htmlTables="1" htmlFormat="all">
      <tables count="1">
        <s v="results2023-2024101_overall"/>
      </tables>
    </webPr>
  </connection>
  <connection id="2" xr16:uid="{38AA1A4E-AB19-4130-96F8-52A250E33B94}" name="Connection1" type="4" refreshedVersion="8" background="1" saveData="1">
    <webPr sourceData="1" parsePre="1" consecutive="1" url="https://fbref.com/en/comps/10/Championship-Stats" htmlTables="1">
      <tables count="1">
        <s v="stats_squads_keeper_for"/>
      </tables>
    </webPr>
  </connection>
  <connection id="3" xr16:uid="{5707FAA1-DD8C-4D16-BCAD-CEDDA8318348}" name="Connection2" type="4" refreshedVersion="8" background="1" refreshOnLoad="1" saveData="1">
    <webPr sourceData="1" parsePre="1" consecutive="1" url="https://fbref.com/en/comps/10/Championship-Stats" htmlTables="1">
      <tables count="1">
        <s v="stats_squads_shooting_for"/>
      </tables>
    </webPr>
  </connection>
  <connection id="4" xr16:uid="{72BF1C79-A650-43A7-8CBF-A6E69E26C0B0}" name="Connection3" type="4" refreshedVersion="8" background="1" refreshOnLoad="1" saveData="1">
    <webPr sourceData="1" parsePre="1" consecutive="1" url="https://fbref.com/en/comps/10/Championship-Stats" htmlTables="1">
      <tables count="1">
        <s v="stats_squads_possession_for"/>
      </tables>
    </webPr>
  </connection>
  <connection id="5" xr16:uid="{539FD32D-9E6E-4480-B6A0-BF50ABA36B9F}" name="Connection4" type="4" refreshedVersion="8" background="1" refreshOnLoad="1" saveData="1">
    <webPr sourceData="1" parsePre="1" consecutive="1" url="https://fbref.com/en/comps/10/Championship-Stats" htmlTables="1">
      <tables count="1">
        <s v="stats_squads_possession_against"/>
      </tables>
    </webPr>
  </connection>
  <connection id="6" xr16:uid="{7CBCC75C-A982-4B93-AA88-899C0B1E564C}" name="Connection5" type="4" refreshedVersion="8" background="1" refreshOnLoad="1" saveData="1">
    <webPr sourceData="1" parsePre="1" consecutive="1" url="https://fbref.com/en/comps/10/Championship-Stats" htmlTables="1">
      <tables count="1">
        <s v="stats_squads_passing_for"/>
      </tables>
    </webPr>
  </connection>
  <connection id="7" xr16:uid="{DBADA07E-28B9-4A77-BC1B-B53CFAAB8662}" name="Connection6" type="4" refreshedVersion="8" background="1" refreshOnLoad="1" saveData="1">
    <webPr sourceData="1" parsePre="1" consecutive="1" url="https://fbref.com/en/comps/10/Championship-Stats" htmlTables="1">
      <tables count="1">
        <s v="stats_squads_defense_for"/>
      </tables>
    </webPr>
  </connection>
  <connection id="8" xr16:uid="{68E8E85F-07AF-45FA-A8BB-7DA6842AAE2C}" name="Connection7" type="4" refreshedVersion="8" background="1" refreshOnLoad="1" saveData="1">
    <webPr sourceData="1" parsePre="1" consecutive="1" url="https://fbref.com/en/comps/10/schedule/Championship-Scores-and-Fixtures" htmlTables="1"/>
  </connection>
  <connection id="9" xr16:uid="{F810CC6D-112A-4927-8A99-BC14B02303A4}" keepAlive="1" name="Query - Scores-and-Fixtures" description="Connection to the 'Scores-and-Fixtures' query in the workbook." type="5" refreshedVersion="8" background="1" saveData="1">
    <dbPr connection="Provider=Microsoft.Mashup.OleDb.1;Data Source=$Workbook$;Location=Scores-and-Fixtures;Extended Properties=&quot;&quot;" command="SELECT * FROM [Scores-and-Fixtures]"/>
  </connection>
  <connection id="10" xr16:uid="{0D1FE549-AE3D-4858-B711-37B32C6E5CCF}" keepAlive="1" name="Query - Scores-and-Fixtures_xg" description="Connection to the 'Scores-and-Fixtures_xg' query in the workbook." type="5" refreshedVersion="8" background="1" saveData="1">
    <dbPr connection="Provider=Microsoft.Mashup.OleDb.1;Data Source=$Workbook$;Location=Scores-and-Fixtures_xg;Extended Properties=&quot;&quot;" command="SELECT * FROM [Scores-and-Fixtures_xg]"/>
  </connection>
  <connection id="11" xr16:uid="{CDF6F1A8-9A0E-446C-A3E3-114E3BFBC41D}" keepAlive="1" name="Query - Stats" description="Connection to the 'Stats' query in the workbook." type="5" refreshedVersion="8" background="1" saveData="1">
    <dbPr connection="Provider=Microsoft.Mashup.OleDb.1;Data Source=$Workbook$;Location=Stats;Extended Properties=&quot;&quot;" command="SELECT * FROM [Stats]"/>
  </connection>
  <connection id="12" xr16:uid="{F7E97CCA-D0FC-44B0-9295-9579247B02BF}" keepAlive="1" name="Query - Stats_2" description="Connection to the 'Stats_2' query in the workbook." type="5" refreshedVersion="8" background="1" refreshOnLoad="1" saveData="1">
    <dbPr connection="Provider=Microsoft.Mashup.OleDb.1;Data Source=$Workbook$;Location=Stats_2;Extended Properties=&quot;&quot;" command="SELECT * FROM [Stats_2]"/>
  </connection>
  <connection id="13" xr16:uid="{B2585EA1-A3A8-48AE-8194-65CBBDA1887A}" keepAlive="1" name="Query - Stats_3" description="Connection to the 'Stats_3' query in the workbook." type="5" refreshedVersion="8" background="1" saveData="1">
    <dbPr connection="Provider=Microsoft.Mashup.OleDb.1;Data Source=$Workbook$;Location=Stats_3;Extended Properties=&quot;&quot;" command="SELECT * FROM [Stats_3]"/>
  </connection>
  <connection id="14" xr16:uid="{F4D2E471-DBCF-4592-A0E4-918A219583A3}" keepAlive="1" name="Query - Stats_4" description="Connection to the 'Stats_4' query in the workbook." type="5" refreshedVersion="8" background="1" saveData="1">
    <dbPr connection="Provider=Microsoft.Mashup.OleDb.1;Data Source=$Workbook$;Location=Stats_4;Extended Properties=&quot;&quot;" command="SELECT * FROM [Stats_4]"/>
  </connection>
  <connection id="15" xr16:uid="{CA530B20-DA74-4FB3-9482-6DE3E1165E6B}" keepAlive="1" name="Query - Stats_6" description="Connection to the 'Stats_6' query in the workbook." type="5" refreshedVersion="8" background="1" saveData="1">
    <dbPr connection="Provider=Microsoft.Mashup.OleDb.1;Data Source=$Workbook$;Location=Stats_6;Extended Properties=&quot;&quot;" command="SELECT * FROM [Stats_6]"/>
  </connection>
  <connection id="16" xr16:uid="{B7AD2CEF-8BFD-4CE6-A730-B59F40A99BB3}" keepAlive="1" name="Query - Stats_7" description="Connection to the 'Stats_7' query in the workbook." type="5" refreshedVersion="8" background="1" saveData="1">
    <dbPr connection="Provider=Microsoft.Mashup.OleDb.1;Data Source=$Workbook$;Location=Stats_7;Extended Properties=&quot;&quot;" command="SELECT * FROM [Stats_7]"/>
  </connection>
</connections>
</file>

<file path=xl/sharedStrings.xml><?xml version="1.0" encoding="utf-8"?>
<sst xmlns="http://schemas.openxmlformats.org/spreadsheetml/2006/main" count="6613" uniqueCount="487">
  <si>
    <t>Regular season Table</t>
  </si>
  <si>
    <t>Rk</t>
  </si>
  <si>
    <t>Squad</t>
  </si>
  <si>
    <t>MP</t>
  </si>
  <si>
    <t>W</t>
  </si>
  <si>
    <t>D</t>
  </si>
  <si>
    <t>L</t>
  </si>
  <si>
    <t>GF</t>
  </si>
  <si>
    <t>GA</t>
  </si>
  <si>
    <t>GD</t>
  </si>
  <si>
    <t>Pts</t>
  </si>
  <si>
    <t>Pts/MP</t>
  </si>
  <si>
    <t>xG</t>
  </si>
  <si>
    <t>xGA</t>
  </si>
  <si>
    <t>xGD</t>
  </si>
  <si>
    <t>xGD/90</t>
  </si>
  <si>
    <t>Last 5</t>
  </si>
  <si>
    <t>Attendance</t>
  </si>
  <si>
    <t>Top Team Scorer</t>
  </si>
  <si>
    <t>Goalkeeper</t>
  </si>
  <si>
    <t>Notes</t>
  </si>
  <si>
    <t>Playing Time</t>
  </si>
  <si>
    <t>Performance</t>
  </si>
  <si>
    <t>Expected</t>
  </si>
  <si>
    <t># Pl</t>
  </si>
  <si>
    <t>Poss</t>
  </si>
  <si>
    <t>Starts</t>
  </si>
  <si>
    <t>Min</t>
  </si>
  <si>
    <t>90s</t>
  </si>
  <si>
    <t>Gls</t>
  </si>
  <si>
    <t>Ast</t>
  </si>
  <si>
    <t>PK</t>
  </si>
  <si>
    <t>PKatt</t>
  </si>
  <si>
    <t>npxG</t>
  </si>
  <si>
    <t>xAG</t>
  </si>
  <si>
    <t>PrgC</t>
  </si>
  <si>
    <t>PrgP</t>
  </si>
  <si>
    <t>Penalty Kicks</t>
  </si>
  <si>
    <t>GA90</t>
  </si>
  <si>
    <t>SoTA</t>
  </si>
  <si>
    <t>Saves</t>
  </si>
  <si>
    <t>Save%</t>
  </si>
  <si>
    <t>CS</t>
  </si>
  <si>
    <t>CS%</t>
  </si>
  <si>
    <t>PKA</t>
  </si>
  <si>
    <t>PKsv</t>
  </si>
  <si>
    <t>PKm</t>
  </si>
  <si>
    <t>Goals</t>
  </si>
  <si>
    <t>FK</t>
  </si>
  <si>
    <t>Cmp</t>
  </si>
  <si>
    <t>Att</t>
  </si>
  <si>
    <t>Cmp%</t>
  </si>
  <si>
    <t>Standard</t>
  </si>
  <si>
    <t>Sh</t>
  </si>
  <si>
    <t>SoT</t>
  </si>
  <si>
    <t>SoT%</t>
  </si>
  <si>
    <t>Sh/90</t>
  </si>
  <si>
    <t>SoT/90</t>
  </si>
  <si>
    <t>G/Sh</t>
  </si>
  <si>
    <t>G/SoT</t>
  </si>
  <si>
    <t>Dist</t>
  </si>
  <si>
    <t>npxG/Sh</t>
  </si>
  <si>
    <t>G-xG</t>
  </si>
  <si>
    <t>np:G-xG</t>
  </si>
  <si>
    <t>Total</t>
  </si>
  <si>
    <t>Short</t>
  </si>
  <si>
    <t>Medium</t>
  </si>
  <si>
    <t>Long</t>
  </si>
  <si>
    <t>TotDist</t>
  </si>
  <si>
    <t>PrgDist</t>
  </si>
  <si>
    <t>xA</t>
  </si>
  <si>
    <t>A-xAG</t>
  </si>
  <si>
    <t>KP</t>
  </si>
  <si>
    <t>PPA</t>
  </si>
  <si>
    <t>CrsPA</t>
  </si>
  <si>
    <t>Tackles</t>
  </si>
  <si>
    <t>Challenges</t>
  </si>
  <si>
    <t>Blocks</t>
  </si>
  <si>
    <t>Tkl</t>
  </si>
  <si>
    <t>TklW</t>
  </si>
  <si>
    <t>Def 3rd</t>
  </si>
  <si>
    <t>Mid 3rd</t>
  </si>
  <si>
    <t>Att 3rd</t>
  </si>
  <si>
    <t>Tkl%</t>
  </si>
  <si>
    <t>Lost</t>
  </si>
  <si>
    <t>Pass</t>
  </si>
  <si>
    <t>Int</t>
  </si>
  <si>
    <t>Tkl+Int</t>
  </si>
  <si>
    <t>Clr</t>
  </si>
  <si>
    <t>Err</t>
  </si>
  <si>
    <t>Touches</t>
  </si>
  <si>
    <t>Take-Ons</t>
  </si>
  <si>
    <t>Carries</t>
  </si>
  <si>
    <t>Receiving</t>
  </si>
  <si>
    <t>Def Pen</t>
  </si>
  <si>
    <t>Att Pen</t>
  </si>
  <si>
    <t>Live</t>
  </si>
  <si>
    <t>Succ</t>
  </si>
  <si>
    <t>Succ%</t>
  </si>
  <si>
    <t>Tkld</t>
  </si>
  <si>
    <t>Tkld%</t>
  </si>
  <si>
    <t>CPA</t>
  </si>
  <si>
    <t>Mis</t>
  </si>
  <si>
    <t>Dis</t>
  </si>
  <si>
    <t>Rec</t>
  </si>
  <si>
    <t>PrgR</t>
  </si>
  <si>
    <t>Champions League</t>
  </si>
  <si>
    <t>Europa League</t>
  </si>
  <si>
    <t>Relegation to Championship</t>
  </si>
  <si>
    <t>TABLE</t>
  </si>
  <si>
    <t>Matches Played</t>
  </si>
  <si>
    <t>Goals Against</t>
  </si>
  <si>
    <t>Goals Against/90</t>
  </si>
  <si>
    <t>Shots on Target Against</t>
  </si>
  <si>
    <t>Shots on Target/90</t>
  </si>
  <si>
    <t>Chart Axes</t>
  </si>
  <si>
    <t>Position</t>
  </si>
  <si>
    <t>Team</t>
  </si>
  <si>
    <t>Goals For</t>
  </si>
  <si>
    <t>Goal Difference</t>
  </si>
  <si>
    <t>Pts/Game</t>
  </si>
  <si>
    <t>Shots</t>
  </si>
  <si>
    <t>Shots on Target</t>
  </si>
  <si>
    <t>Shots on Target %</t>
  </si>
  <si>
    <t>Shots/90</t>
  </si>
  <si>
    <t>Conversion Rate</t>
  </si>
  <si>
    <t>Goals/Shots on Target</t>
  </si>
  <si>
    <t>xG/Shot</t>
  </si>
  <si>
    <t>xG/90</t>
  </si>
  <si>
    <t>npxG/90</t>
  </si>
  <si>
    <t>Shooting</t>
  </si>
  <si>
    <t>Att Efficiency</t>
  </si>
  <si>
    <t>Passes Completed</t>
  </si>
  <si>
    <t>Passes Attempted</t>
  </si>
  <si>
    <t>Completion Rate</t>
  </si>
  <si>
    <t>Chart Axis</t>
  </si>
  <si>
    <t>Passes Attempted/90</t>
  </si>
  <si>
    <t>Tackles Attempted</t>
  </si>
  <si>
    <t>Tackles Attempted/90</t>
  </si>
  <si>
    <t>Tackles Won</t>
  </si>
  <si>
    <t>Tackle Win %</t>
  </si>
  <si>
    <t>Blocks Made</t>
  </si>
  <si>
    <t>Blocks/90</t>
  </si>
  <si>
    <t>Interceptions Made</t>
  </si>
  <si>
    <t>Tackles + Interceptions</t>
  </si>
  <si>
    <t>Clearances</t>
  </si>
  <si>
    <t>Clearances/90</t>
  </si>
  <si>
    <t>Defending</t>
  </si>
  <si>
    <t>Tackling</t>
  </si>
  <si>
    <t>Goals/90</t>
  </si>
  <si>
    <t>Save %</t>
  </si>
  <si>
    <t>PL AVERAGE</t>
  </si>
  <si>
    <t>AVG Goals</t>
  </si>
  <si>
    <t>AVG GOALS/GAME</t>
  </si>
  <si>
    <t>Attacking Rating</t>
  </si>
  <si>
    <t>Defensive Rating</t>
  </si>
  <si>
    <t>Home:</t>
  </si>
  <si>
    <t>Away:</t>
  </si>
  <si>
    <t>Poisson Distribution</t>
  </si>
  <si>
    <t>Over/Under 2.5 Goals</t>
  </si>
  <si>
    <t>BTTS</t>
  </si>
  <si>
    <t>Over 2.5 Goals</t>
  </si>
  <si>
    <t>Under 2.5 Goals</t>
  </si>
  <si>
    <t>Yes</t>
  </si>
  <si>
    <t>No</t>
  </si>
  <si>
    <t>Most Likely Scoreline</t>
  </si>
  <si>
    <t>Chances of Occuring</t>
  </si>
  <si>
    <t>Probabilities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</si>
  <si>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</si>
  <si>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</si>
  <si>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</si>
  <si>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</si>
  <si>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</si>
  <si>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</si>
  <si>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</si>
  <si>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</si>
  <si>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</si>
  <si>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</si>
  <si>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</si>
  <si>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</si>
  <si>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</si>
  <si>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</si>
  <si>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</si>
  <si>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</si>
  <si>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</si>
  <si>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</si>
  <si>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</si>
  <si>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</si>
  <si>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Points</t>
  </si>
  <si>
    <t>Gms Played</t>
  </si>
  <si>
    <t>Wk</t>
  </si>
  <si>
    <t>Day</t>
  </si>
  <si>
    <t>Date</t>
  </si>
  <si>
    <t>Time</t>
  </si>
  <si>
    <t>Home</t>
  </si>
  <si>
    <t>Score</t>
  </si>
  <si>
    <t>Away</t>
  </si>
  <si>
    <t>Venue</t>
  </si>
  <si>
    <t>Referee</t>
  </si>
  <si>
    <t>Match Report</t>
  </si>
  <si>
    <t>Fri</t>
  </si>
  <si>
    <t>0–3</t>
  </si>
  <si>
    <t>Sat</t>
  </si>
  <si>
    <t>2–1</t>
  </si>
  <si>
    <t>0–1</t>
  </si>
  <si>
    <t>John Brooks</t>
  </si>
  <si>
    <t>4–1</t>
  </si>
  <si>
    <t>David Coote</t>
  </si>
  <si>
    <t>1–1</t>
  </si>
  <si>
    <t>Peter Bankes</t>
  </si>
  <si>
    <t>Andy Madley</t>
  </si>
  <si>
    <t>Sun</t>
  </si>
  <si>
    <t>2–2</t>
  </si>
  <si>
    <t>Anthony Taylor</t>
  </si>
  <si>
    <t>Mon</t>
  </si>
  <si>
    <t>1–0</t>
  </si>
  <si>
    <t>Simon Hooper</t>
  </si>
  <si>
    <t>Darren Bond</t>
  </si>
  <si>
    <t>3–1</t>
  </si>
  <si>
    <t>Thomas Bramall</t>
  </si>
  <si>
    <t>1–4</t>
  </si>
  <si>
    <t>2–0</t>
  </si>
  <si>
    <t>4–0</t>
  </si>
  <si>
    <t>3–0</t>
  </si>
  <si>
    <t>0–2</t>
  </si>
  <si>
    <t>Tim Robinson</t>
  </si>
  <si>
    <t>3–2</t>
  </si>
  <si>
    <t>Paul Tierney</t>
  </si>
  <si>
    <t>1–3</t>
  </si>
  <si>
    <t>1–2</t>
  </si>
  <si>
    <t>Jarred Gillett</t>
  </si>
  <si>
    <t>Robert Madley</t>
  </si>
  <si>
    <t>Darren England</t>
  </si>
  <si>
    <t>0–0</t>
  </si>
  <si>
    <t>Joshua Smith</t>
  </si>
  <si>
    <t>Tony Harrington</t>
  </si>
  <si>
    <t>Chris Kavanagh</t>
  </si>
  <si>
    <t>0–4</t>
  </si>
  <si>
    <t>Graham Scott</t>
  </si>
  <si>
    <t>Tue</t>
  </si>
  <si>
    <t>Samuel Barrott</t>
  </si>
  <si>
    <t>5–0</t>
  </si>
  <si>
    <t>2–3</t>
  </si>
  <si>
    <t>4–4</t>
  </si>
  <si>
    <t>4–3</t>
  </si>
  <si>
    <t>3–3</t>
  </si>
  <si>
    <t>3–4</t>
  </si>
  <si>
    <t>Wed</t>
  </si>
  <si>
    <t>Head-to-Head</t>
  </si>
  <si>
    <t>Home Score</t>
  </si>
  <si>
    <t>Away Score</t>
  </si>
  <si>
    <t>Reverted Attacking Rating</t>
  </si>
  <si>
    <t>Reverted Defensive Rating</t>
  </si>
  <si>
    <t>Trials</t>
  </si>
  <si>
    <t>MOST LIKELY OUTCOME</t>
  </si>
  <si>
    <t>xG_1</t>
  </si>
  <si>
    <t>AVG XG/GAME</t>
  </si>
  <si>
    <t>AVG GL/XG per Game</t>
  </si>
  <si>
    <t>Composite ATT Rating</t>
  </si>
  <si>
    <t>Composite DEF Rating</t>
  </si>
  <si>
    <t>Avg Shots/90</t>
  </si>
  <si>
    <t>Avg Conversion Rate</t>
  </si>
  <si>
    <t>Avg Passes Completed/90</t>
  </si>
  <si>
    <t>Shots/90 Rating</t>
  </si>
  <si>
    <t>Conversion Rate Rating</t>
  </si>
  <si>
    <t>Passes Completed Rating</t>
  </si>
  <si>
    <t>Avg Save %</t>
  </si>
  <si>
    <t>Avg SoTA/90</t>
  </si>
  <si>
    <t>Avg Tackles Att/90</t>
  </si>
  <si>
    <t>Avg Tackles Win %</t>
  </si>
  <si>
    <t>Avg Blocks/90</t>
  </si>
  <si>
    <t>Avg Clearances/90</t>
  </si>
  <si>
    <t>Save % Rating</t>
  </si>
  <si>
    <t>SoTA/90 Rating</t>
  </si>
  <si>
    <t>Tackles Att/90 Rating</t>
  </si>
  <si>
    <t>Tackle Win % Rating</t>
  </si>
  <si>
    <t>Blocks/90 Rating</t>
  </si>
  <si>
    <t>Clearances/90 Rating</t>
  </si>
  <si>
    <t>Linear Regression Data</t>
  </si>
  <si>
    <t>CORRELATION COEFFICIENT</t>
  </si>
  <si>
    <t>SoTA/90</t>
  </si>
  <si>
    <t>Tackles Att/90</t>
  </si>
  <si>
    <t>CORRELATION COFFICIENT</t>
  </si>
  <si>
    <t>WEIGHT ON DEF RATING</t>
  </si>
  <si>
    <t>WEIGHT ON ATT RATING</t>
  </si>
  <si>
    <t>Goals Allowed</t>
  </si>
  <si>
    <t>Correlation Coefficient</t>
  </si>
  <si>
    <t>Goals Scored/Gm</t>
  </si>
  <si>
    <t>xG/Gm</t>
  </si>
  <si>
    <t>Goals Conceded/Gm</t>
  </si>
  <si>
    <t>xGA/Gm</t>
  </si>
  <si>
    <t>WEIGHTED</t>
  </si>
  <si>
    <t>GF-xG</t>
  </si>
  <si>
    <t>GA-xGA</t>
  </si>
  <si>
    <t>GF Avg Diff</t>
  </si>
  <si>
    <t>GA Avg Diff</t>
  </si>
  <si>
    <t>Higher = Better</t>
  </si>
  <si>
    <t>Negative = Worse</t>
  </si>
  <si>
    <t>Over/Under 1.5 Goals</t>
  </si>
  <si>
    <t>Over/Under 3.5 Goals</t>
  </si>
  <si>
    <t>Over 3.5 Goals</t>
  </si>
  <si>
    <t>Under 3.5 Goals</t>
  </si>
  <si>
    <t>Over 1.5 Goals</t>
  </si>
  <si>
    <t>Under 1.5 Goals</t>
  </si>
  <si>
    <t>Relegation</t>
  </si>
  <si>
    <t>Club Crest Leicester City</t>
  </si>
  <si>
    <t>Stephy Mavididi, Kiernan Dewsbury-Hall - 7</t>
  </si>
  <si>
    <t>Mads Hermansen</t>
  </si>
  <si>
    <t>Club Crest Ipswich Town</t>
  </si>
  <si>
    <t>Conor Chaplin, Nathan Broadhead - 8</t>
  </si>
  <si>
    <t>Václav Hladký</t>
  </si>
  <si>
    <t>Club Crest Leeds United</t>
  </si>
  <si>
    <t>Crysencio Summerville - 10</t>
  </si>
  <si>
    <t>Illan Meslier</t>
  </si>
  <si>
    <t>Club Crest Southampton</t>
  </si>
  <si>
    <t>Adam Armstrong - 12</t>
  </si>
  <si>
    <t>Gavin Bazunu</t>
  </si>
  <si>
    <t>Club Crest West Brom</t>
  </si>
  <si>
    <t>John Swift, Brandon Thomas-Asante - 6</t>
  </si>
  <si>
    <t>Alex Palmer</t>
  </si>
  <si>
    <t>Club Crest Hull City</t>
  </si>
  <si>
    <t>Ozan Tufan, Aaron Connolly... - 6</t>
  </si>
  <si>
    <t>Ryan Allsop</t>
  </si>
  <si>
    <t>Club Crest Sunderland</t>
  </si>
  <si>
    <t>Jack Clarke - 10</t>
  </si>
  <si>
    <t>Anthony Patterson</t>
  </si>
  <si>
    <t>Club Crest Preston</t>
  </si>
  <si>
    <t>Will Keane - 6</t>
  </si>
  <si>
    <t>Freddie Woodman</t>
  </si>
  <si>
    <t>Club Crest Watford</t>
  </si>
  <si>
    <t>Mileta Rajovic - 7</t>
  </si>
  <si>
    <t>Daniel Bachmann</t>
  </si>
  <si>
    <t>Club Crest Norwich City</t>
  </si>
  <si>
    <t>Jon Rowe - 10</t>
  </si>
  <si>
    <t>Angus Gunn</t>
  </si>
  <si>
    <t>Club Crest Blackburn</t>
  </si>
  <si>
    <t>Sammie Szmodics - 14</t>
  </si>
  <si>
    <t>Leopold Wahlstedt</t>
  </si>
  <si>
    <t>Club Crest Cardiff City</t>
  </si>
  <si>
    <t>Ike Ugbo - 4</t>
  </si>
  <si>
    <t>Jak Alnwick</t>
  </si>
  <si>
    <t>Club Crest Middlesbrough</t>
  </si>
  <si>
    <t>Emmanuel Latte Lath, Sam Greenwood - 5</t>
  </si>
  <si>
    <t>Seny Dieng</t>
  </si>
  <si>
    <t>Club Crest Bristol City</t>
  </si>
  <si>
    <t>Tommy Conway - 5</t>
  </si>
  <si>
    <t>Max O'Leary</t>
  </si>
  <si>
    <t>Club Crest Coventry City</t>
  </si>
  <si>
    <t>Haji Wright, Matthew Godden - 6</t>
  </si>
  <si>
    <t>Ben Wilson</t>
  </si>
  <si>
    <t>Club Crest Plymouth Argyle</t>
  </si>
  <si>
    <t>Morgan Whittaker - 9</t>
  </si>
  <si>
    <t>Conor Hazard</t>
  </si>
  <si>
    <t>Club Crest Birmingham City</t>
  </si>
  <si>
    <t>Siriki Dembélé, Jay Stansfield - 5</t>
  </si>
  <si>
    <t>John Ruddy</t>
  </si>
  <si>
    <t>Club Crest Swansea City</t>
  </si>
  <si>
    <t>Jerry Yates - 6</t>
  </si>
  <si>
    <t>Carl Rushworth</t>
  </si>
  <si>
    <t>Club Crest Stoke City</t>
  </si>
  <si>
    <t>André Vidigal - 4</t>
  </si>
  <si>
    <t>Mark Travers</t>
  </si>
  <si>
    <t>Club Crest Millwall</t>
  </si>
  <si>
    <t>Kevin Nisbet - 5</t>
  </si>
  <si>
    <t>Bartosz Białkowski</t>
  </si>
  <si>
    <t>Club Crest Huddersfield</t>
  </si>
  <si>
    <t>Michał Helik, Delano Burgzorg - 5</t>
  </si>
  <si>
    <t>Lee Nicholls</t>
  </si>
  <si>
    <t>Club Crest QPR</t>
  </si>
  <si>
    <t>Kenneth Paal, Chris Willock... - 3</t>
  </si>
  <si>
    <t>Asmir Begović</t>
  </si>
  <si>
    <t>Club Crest Sheffield Weds</t>
  </si>
  <si>
    <t>Michael Smith, Anthony Musaba... - 3</t>
  </si>
  <si>
    <t>Cameron Dawson</t>
  </si>
  <si>
    <t>Club Crest Rotherham Utd</t>
  </si>
  <si>
    <t>Jordan Hugill, Hakeem Odoffin - 3</t>
  </si>
  <si>
    <t>Viktor Johansson</t>
  </si>
  <si>
    <t>Squad Goalkeeping 2023-2024 Championship Table</t>
  </si>
  <si>
    <t>Birmingham City</t>
  </si>
  <si>
    <t>Blackburn</t>
  </si>
  <si>
    <t>Bristol City</t>
  </si>
  <si>
    <t>Cardiff City</t>
  </si>
  <si>
    <t>Coventry City</t>
  </si>
  <si>
    <t>Huddersfield</t>
  </si>
  <si>
    <t>Hull City</t>
  </si>
  <si>
    <t>Ipswich Town</t>
  </si>
  <si>
    <t>Leeds United</t>
  </si>
  <si>
    <t>Leicester City</t>
  </si>
  <si>
    <t>Middlesbrough</t>
  </si>
  <si>
    <t>Millwall</t>
  </si>
  <si>
    <t>Norwich City</t>
  </si>
  <si>
    <t>Plymouth Argyle</t>
  </si>
  <si>
    <t>Preston</t>
  </si>
  <si>
    <t>QPR</t>
  </si>
  <si>
    <t>Rotherham Utd</t>
  </si>
  <si>
    <t>Sheffield Weds</t>
  </si>
  <si>
    <t>Southampton</t>
  </si>
  <si>
    <t>Stoke City</t>
  </si>
  <si>
    <t>Sunderland</t>
  </si>
  <si>
    <t>Swansea City</t>
  </si>
  <si>
    <t>Watford</t>
  </si>
  <si>
    <t>West Brom</t>
  </si>
  <si>
    <t>Squad Shooting 2023-2024 Championship Table</t>
  </si>
  <si>
    <t>Squad Possession 2023-2024 Championship Table</t>
  </si>
  <si>
    <t>vs Birmingham City</t>
  </si>
  <si>
    <t>vs Blackburn</t>
  </si>
  <si>
    <t>vs Bristol City</t>
  </si>
  <si>
    <t>vs Cardiff City</t>
  </si>
  <si>
    <t>vs Coventry City</t>
  </si>
  <si>
    <t>vs Huddersfield</t>
  </si>
  <si>
    <t>vs Hull City</t>
  </si>
  <si>
    <t>vs Ipswich Town</t>
  </si>
  <si>
    <t>vs Leeds United</t>
  </si>
  <si>
    <t>vs Leicester City</t>
  </si>
  <si>
    <t>vs Middlesbrough</t>
  </si>
  <si>
    <t>vs Millwall</t>
  </si>
  <si>
    <t>vs Norwich City</t>
  </si>
  <si>
    <t>vs Plymouth Argyle</t>
  </si>
  <si>
    <t>vs Preston</t>
  </si>
  <si>
    <t>vs QPR</t>
  </si>
  <si>
    <t>vs Rotherham Utd</t>
  </si>
  <si>
    <t>vs Sheffield Weds</t>
  </si>
  <si>
    <t>vs Southampton</t>
  </si>
  <si>
    <t>vs Stoke City</t>
  </si>
  <si>
    <t>vs Sunderland</t>
  </si>
  <si>
    <t>vs Swansea City</t>
  </si>
  <si>
    <t>vs Watford</t>
  </si>
  <si>
    <t>vs West Brom</t>
  </si>
  <si>
    <t>Squad Passing 2023-2024 Championship Table</t>
  </si>
  <si>
    <t>Squad Defensive Actions 2023-2024 Championship Table</t>
  </si>
  <si>
    <t>Scores &amp; Fixtures 2023-2024 Championship Table</t>
  </si>
  <si>
    <t>Hillsborough Stadium</t>
  </si>
  <si>
    <t>Ashton Gate Stadium</t>
  </si>
  <si>
    <t>David Webb</t>
  </si>
  <si>
    <t>Home Park</t>
  </si>
  <si>
    <t>Matt Donohue</t>
  </si>
  <si>
    <t>Bet365 Stadium</t>
  </si>
  <si>
    <t>John Busby</t>
  </si>
  <si>
    <t>Riverside Stadium</t>
  </si>
  <si>
    <t>Gavin Ward</t>
  </si>
  <si>
    <t>Vicarage Road Stadium</t>
  </si>
  <si>
    <t>Ewood Park</t>
  </si>
  <si>
    <t>Dean Whitestone</t>
  </si>
  <si>
    <t>Carrow Road</t>
  </si>
  <si>
    <t>Keith Stroud</t>
  </si>
  <si>
    <t>Swansea.com Stadium</t>
  </si>
  <si>
    <t>James Linington</t>
  </si>
  <si>
    <t>King Power Stadium</t>
  </si>
  <si>
    <t>Elland Road</t>
  </si>
  <si>
    <t>Stadium of Light</t>
  </si>
  <si>
    <t>Coventry Building Society Arena</t>
  </si>
  <si>
    <t>The John Smith's Stadium</t>
  </si>
  <si>
    <t>The Hawthorns</t>
  </si>
  <si>
    <t>Cardiff City Stadium</t>
  </si>
  <si>
    <t>Oliver Langford</t>
  </si>
  <si>
    <t>Geoff Eltringham</t>
  </si>
  <si>
    <t>Portman Road Stadium</t>
  </si>
  <si>
    <t>Deepdale Stadium</t>
  </si>
  <si>
    <t>AESSEAL New York Stadium</t>
  </si>
  <si>
    <t>4–2</t>
  </si>
  <si>
    <t>MKM Stadium</t>
  </si>
  <si>
    <t>St. Mary's Stadium</t>
  </si>
  <si>
    <t>The Den</t>
  </si>
  <si>
    <t>St Andrew's Trillion Trophy Stadium</t>
  </si>
  <si>
    <t>James Bell</t>
  </si>
  <si>
    <t>Kiyan Prince Foundation Stadium</t>
  </si>
  <si>
    <t>Jeremy Simpson</t>
  </si>
  <si>
    <t>Stephen Martin</t>
  </si>
  <si>
    <t>Anthony Backhouse</t>
  </si>
  <si>
    <t>Samuel Allison</t>
  </si>
  <si>
    <t>Andrew Kitchen</t>
  </si>
  <si>
    <t>Leigh Doughty</t>
  </si>
  <si>
    <t>6–2</t>
  </si>
  <si>
    <t>Tom Nield</t>
  </si>
  <si>
    <t>Steve Martin</t>
  </si>
  <si>
    <t>Andrew Davies</t>
  </si>
  <si>
    <t>Lewis Smith</t>
  </si>
  <si>
    <t>Rebecca Welch</t>
  </si>
  <si>
    <t>Sunny Gill</t>
  </si>
  <si>
    <t>Ben Toner</t>
  </si>
  <si>
    <t>1–5</t>
  </si>
  <si>
    <t>Promoted to Premier League</t>
  </si>
  <si>
    <t>Promotion Playoffs</t>
  </si>
  <si>
    <t>21st</t>
  </si>
  <si>
    <t>22nd</t>
  </si>
  <si>
    <t>23rd</t>
  </si>
  <si>
    <t>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</si>
</sst>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3" fontId="0" fillId="0" borderId="0" xfId="0" applyNumberFormat="1"/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5" fillId="2" borderId="0" xfId="2" applyFill="1" applyAlignment="1">
      <alignment horizontal="center" vertical="center" wrapText="1"/>
    </xf>
    <xf numFmtId="0" fontId="0" fillId="0" borderId="1" xfId="0" applyBorder="1"/>
    <xf numFmtId="0" fontId="0" fillId="0" borderId="5" xfId="0" applyBorder="1"/>
    <xf numFmtId="9" fontId="0" fillId="0" borderId="0" xfId="1" applyFont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2" fillId="0" borderId="0" xfId="0" applyFont="1"/>
    <xf numFmtId="10" fontId="2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9" fontId="0" fillId="0" borderId="0" xfId="0" applyNumberFormat="1"/>
    <xf numFmtId="0" fontId="0" fillId="11" borderId="0" xfId="0" applyFill="1"/>
    <xf numFmtId="10" fontId="0" fillId="0" borderId="1" xfId="1" applyNumberFormat="1" applyFon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" borderId="0" xfId="2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7" xfId="0" applyBorder="1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2" applyFill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10" fontId="9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0" fontId="11" fillId="10" borderId="1" xfId="1" applyNumberFormat="1" applyFont="1" applyFill="1" applyBorder="1" applyAlignment="1">
      <alignment horizontal="center"/>
    </xf>
    <xf numFmtId="10" fontId="7" fillId="3" borderId="1" xfId="0" applyNumberFormat="1" applyFont="1" applyFill="1" applyBorder="1" applyAlignment="1">
      <alignment horizontal="center"/>
    </xf>
    <xf numFmtId="10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/>
    </xf>
    <xf numFmtId="2" fontId="7" fillId="6" borderId="3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2" fontId="7" fillId="6" borderId="7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10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10" fontId="10" fillId="4" borderId="0" xfId="1" applyNumberFormat="1" applyFont="1" applyFill="1" applyAlignment="1">
      <alignment horizontal="center"/>
    </xf>
    <xf numFmtId="1" fontId="10" fillId="0" borderId="0" xfId="1" applyNumberFormat="1" applyFont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C80"/>
      <color rgb="FFFFD9D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Shooting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'Attacking Stats'!$M$1</c:f>
              <c:strCache>
                <c:ptCount val="1"/>
                <c:pt idx="0">
                  <c:v>xG/Shot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0.18394122349167943"/>
                  <c:y val="-4.6179064143640626E-2"/>
                </c:manualLayout>
              </c:layout>
              <c:tx>
                <c:rich>
                  <a:bodyPr/>
                  <a:lstStyle/>
                  <a:p>
                    <a:fld id="{A0BD7E21-1FFC-4933-A594-74469CE91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691D-4D22-9222-1E300BBACEB8}"/>
                </c:ext>
              </c:extLst>
            </c:dLbl>
            <c:dLbl>
              <c:idx val="1"/>
              <c:layout>
                <c:manualLayout>
                  <c:x val="0.15936807182256341"/>
                  <c:y val="-6.4145055270178997E-2"/>
                </c:manualLayout>
              </c:layout>
              <c:tx>
                <c:rich>
                  <a:bodyPr/>
                  <a:lstStyle/>
                  <a:p>
                    <a:fld id="{128B5C07-2032-4883-B6B7-41A9E2585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691D-4D22-9222-1E300BBACEB8}"/>
                </c:ext>
              </c:extLst>
            </c:dLbl>
            <c:dLbl>
              <c:idx val="2"/>
              <c:layout>
                <c:manualLayout>
                  <c:x val="0.15922805114531324"/>
                  <c:y val="1.9198753172247241E-5"/>
                </c:manualLayout>
              </c:layout>
              <c:tx>
                <c:rich>
                  <a:bodyPr/>
                  <a:lstStyle/>
                  <a:p>
                    <a:fld id="{52EF90D4-C68F-4169-84CB-BAC1D3F8C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691D-4D22-9222-1E300BBACEB8}"/>
                </c:ext>
              </c:extLst>
            </c:dLbl>
            <c:dLbl>
              <c:idx val="3"/>
              <c:layout>
                <c:manualLayout>
                  <c:x val="7.7707815496572866E-2"/>
                  <c:y val="-2.5473714077618066E-3"/>
                </c:manualLayout>
              </c:layout>
              <c:tx>
                <c:rich>
                  <a:bodyPr/>
                  <a:lstStyle/>
                  <a:p>
                    <a:fld id="{38036776-C1D5-4D8B-90B0-1627F69C6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691D-4D22-9222-1E300BBACEB8}"/>
                </c:ext>
              </c:extLst>
            </c:dLbl>
            <c:dLbl>
              <c:idx val="4"/>
              <c:layout>
                <c:manualLayout>
                  <c:x val="0.23505681471910447"/>
                  <c:y val="6.1616882615589633E-2"/>
                </c:manualLayout>
              </c:layout>
              <c:tx>
                <c:rich>
                  <a:bodyPr/>
                  <a:lstStyle/>
                  <a:p>
                    <a:fld id="{FF4E64F9-56A6-461C-B879-402E3392B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691D-4D22-9222-1E300BBACEB8}"/>
                </c:ext>
              </c:extLst>
            </c:dLbl>
            <c:dLbl>
              <c:idx val="5"/>
              <c:layout>
                <c:manualLayout>
                  <c:x val="-0.10128322121986408"/>
                  <c:y val="-3.0779643178036397E-2"/>
                </c:manualLayout>
              </c:layout>
              <c:tx>
                <c:rich>
                  <a:bodyPr/>
                  <a:lstStyle/>
                  <a:p>
                    <a:fld id="{79B909DB-DEC3-45C5-B45F-DF6FBA2A36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691D-4D22-9222-1E300BBACEB8}"/>
                </c:ext>
              </c:extLst>
            </c:dLbl>
            <c:dLbl>
              <c:idx val="6"/>
              <c:layout>
                <c:manualLayout>
                  <c:x val="-3.6755632287432047E-2"/>
                  <c:y val="-5.3878774626442832E-2"/>
                </c:manualLayout>
              </c:layout>
              <c:tx>
                <c:rich>
                  <a:bodyPr/>
                  <a:lstStyle/>
                  <a:p>
                    <a:fld id="{E7C1F2D1-D9A6-4152-8A81-2F9F5DD30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691D-4D22-9222-1E300BBACEB8}"/>
                </c:ext>
              </c:extLst>
            </c:dLbl>
            <c:dLbl>
              <c:idx val="7"/>
              <c:layout>
                <c:manualLayout>
                  <c:x val="-3.7605436456176311E-2"/>
                  <c:y val="-0.15140844074193688"/>
                </c:manualLayout>
              </c:layout>
              <c:tx>
                <c:rich>
                  <a:bodyPr/>
                  <a:lstStyle/>
                  <a:p>
                    <a:fld id="{5335F32E-793C-42BE-A311-CD5FE37D4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691D-4D22-9222-1E300BBACEB8}"/>
                </c:ext>
              </c:extLst>
            </c:dLbl>
            <c:dLbl>
              <c:idx val="8"/>
              <c:layout>
                <c:manualLayout>
                  <c:x val="3.2399039569952402E-2"/>
                  <c:y val="-8.7244186718585526E-2"/>
                </c:manualLayout>
              </c:layout>
              <c:tx>
                <c:rich>
                  <a:bodyPr/>
                  <a:lstStyle/>
                  <a:p>
                    <a:fld id="{AD26267B-E702-4649-98E4-9B955FA3C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691D-4D22-9222-1E300BBACEB8}"/>
                </c:ext>
              </c:extLst>
            </c:dLbl>
            <c:dLbl>
              <c:idx val="9"/>
              <c:layout>
                <c:manualLayout>
                  <c:x val="7.7769147486765181E-2"/>
                  <c:y val="3.3384610845315042E-2"/>
                </c:manualLayout>
              </c:layout>
              <c:tx>
                <c:rich>
                  <a:bodyPr/>
                  <a:lstStyle/>
                  <a:p>
                    <a:fld id="{AB2E15BD-B389-4706-A970-CE90B3D9F1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691D-4D22-9222-1E300BBACEB8}"/>
                </c:ext>
              </c:extLst>
            </c:dLbl>
            <c:dLbl>
              <c:idx val="10"/>
              <c:layout>
                <c:manualLayout>
                  <c:x val="-1.1957756108301031E-2"/>
                  <c:y val="-0.19760670363874983"/>
                </c:manualLayout>
              </c:layout>
              <c:tx>
                <c:rich>
                  <a:bodyPr/>
                  <a:lstStyle/>
                  <a:p>
                    <a:fld id="{2EDDA05D-9FAF-49DC-8F95-2B056D692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691D-4D22-9222-1E300BBACEB8}"/>
                </c:ext>
              </c:extLst>
            </c:dLbl>
            <c:dLbl>
              <c:idx val="11"/>
              <c:layout>
                <c:manualLayout>
                  <c:x val="-0.17523240092105519"/>
                  <c:y val="-1.0247081890563968E-2"/>
                </c:manualLayout>
              </c:layout>
              <c:tx>
                <c:rich>
                  <a:bodyPr/>
                  <a:lstStyle/>
                  <a:p>
                    <a:fld id="{DE37C447-3393-43C8-8DC1-27665A8D8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691D-4D22-9222-1E300BBACEB8}"/>
                </c:ext>
              </c:extLst>
            </c:dLbl>
            <c:dLbl>
              <c:idx val="12"/>
              <c:layout>
                <c:manualLayout>
                  <c:x val="0.1730162021784053"/>
                  <c:y val="-0.16680786170754111"/>
                </c:manualLayout>
              </c:layout>
              <c:tx>
                <c:rich>
                  <a:bodyPr/>
                  <a:lstStyle/>
                  <a:p>
                    <a:fld id="{5C6F20AB-5133-48B4-B8EB-0E826841E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691D-4D22-9222-1E300BBACEB8}"/>
                </c:ext>
              </c:extLst>
            </c:dLbl>
            <c:dLbl>
              <c:idx val="13"/>
              <c:layout>
                <c:manualLayout>
                  <c:x val="-0.20286208015388804"/>
                  <c:y val="-5.1312204465508736E-2"/>
                </c:manualLayout>
              </c:layout>
              <c:tx>
                <c:rich>
                  <a:bodyPr/>
                  <a:lstStyle/>
                  <a:p>
                    <a:fld id="{9B7C8B10-C146-41E4-BAEA-11E6C8D3B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691D-4D22-9222-1E300BBACEB8}"/>
                </c:ext>
              </c:extLst>
            </c:dLbl>
            <c:dLbl>
              <c:idx val="14"/>
              <c:layout>
                <c:manualLayout>
                  <c:x val="-0.13010579536993749"/>
                  <c:y val="-1.7946792373366036E-2"/>
                </c:manualLayout>
              </c:layout>
              <c:tx>
                <c:rich>
                  <a:bodyPr/>
                  <a:lstStyle/>
                  <a:p>
                    <a:fld id="{20DA6665-A720-4F98-83C7-EB72A85D6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691D-4D22-9222-1E300BBACEB8}"/>
                </c:ext>
              </c:extLst>
            </c:dLbl>
            <c:dLbl>
              <c:idx val="15"/>
              <c:layout>
                <c:manualLayout>
                  <c:x val="-9.3699483756583407E-2"/>
                  <c:y val="2.0551760040644771E-2"/>
                </c:manualLayout>
              </c:layout>
              <c:tx>
                <c:rich>
                  <a:bodyPr/>
                  <a:lstStyle/>
                  <a:p>
                    <a:fld id="{F5578600-78E1-4F0B-B2F9-0296A8703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691D-4D22-9222-1E300BBACEB8}"/>
                </c:ext>
              </c:extLst>
            </c:dLbl>
            <c:dLbl>
              <c:idx val="16"/>
              <c:layout>
                <c:manualLayout>
                  <c:x val="-0.11275018470595187"/>
                  <c:y val="7.9582873742127913E-2"/>
                </c:manualLayout>
              </c:layout>
              <c:tx>
                <c:rich>
                  <a:bodyPr/>
                  <a:lstStyle/>
                  <a:p>
                    <a:fld id="{3FAFD196-FAA6-465B-A8CE-40F2E2ACB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691D-4D22-9222-1E300BBACEB8}"/>
                </c:ext>
              </c:extLst>
            </c:dLbl>
            <c:dLbl>
              <c:idx val="17"/>
              <c:layout>
                <c:manualLayout>
                  <c:x val="-0.26687354823985016"/>
                  <c:y val="2.0551760040644771E-2"/>
                </c:manualLayout>
              </c:layout>
              <c:tx>
                <c:rich>
                  <a:bodyPr/>
                  <a:lstStyle/>
                  <a:p>
                    <a:fld id="{ACCE47F4-40B6-4CB2-8D6B-E9AE9FAF4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691D-4D22-9222-1E300BBACEB8}"/>
                </c:ext>
              </c:extLst>
            </c:dLbl>
            <c:dLbl>
              <c:idx val="18"/>
              <c:layout>
                <c:manualLayout>
                  <c:x val="-0.15735120144421716"/>
                  <c:y val="-0.17964071251221142"/>
                </c:manualLayout>
              </c:layout>
              <c:tx>
                <c:rich>
                  <a:bodyPr/>
                  <a:lstStyle/>
                  <a:p>
                    <a:fld id="{507DDC74-D506-45EF-93A2-9EF1DE78E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691D-4D22-9222-1E300BBACEB8}"/>
                </c:ext>
              </c:extLst>
            </c:dLbl>
            <c:dLbl>
              <c:idx val="19"/>
              <c:layout>
                <c:manualLayout>
                  <c:x val="-8.8700985775562596E-2"/>
                  <c:y val="0.15144683824828151"/>
                </c:manualLayout>
              </c:layout>
              <c:tx>
                <c:rich>
                  <a:bodyPr/>
                  <a:lstStyle/>
                  <a:p>
                    <a:fld id="{9DE5D0D5-2B92-43B9-8B8F-9586BACD71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691D-4D22-9222-1E300BBACEB8}"/>
                </c:ext>
              </c:extLst>
            </c:dLbl>
            <c:dLbl>
              <c:idx val="20"/>
              <c:layout>
                <c:manualLayout>
                  <c:x val="-0.14525652347064222"/>
                  <c:y val="-0.11547645848886008"/>
                </c:manualLayout>
              </c:layout>
              <c:tx>
                <c:rich>
                  <a:bodyPr/>
                  <a:lstStyle/>
                  <a:p>
                    <a:fld id="{6D61BBAD-A389-45E5-8D72-4266C1F9F0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69F-419D-8F45-1974868B9E0B}"/>
                </c:ext>
              </c:extLst>
            </c:dLbl>
            <c:dLbl>
              <c:idx val="21"/>
              <c:layout>
                <c:manualLayout>
                  <c:x val="5.8949250480358178E-2"/>
                  <c:y val="0.13348084712174313"/>
                </c:manualLayout>
              </c:layout>
              <c:tx>
                <c:rich>
                  <a:bodyPr/>
                  <a:lstStyle/>
                  <a:p>
                    <a:fld id="{41E369B0-3691-4809-9C96-92F276004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69F-419D-8F45-1974868B9E0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B3FD1DC-8E28-4935-9370-A9987978F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69F-419D-8F45-1974868B9E0B}"/>
                </c:ext>
              </c:extLst>
            </c:dLbl>
            <c:dLbl>
              <c:idx val="23"/>
              <c:layout>
                <c:manualLayout>
                  <c:x val="-6.4913695044781464E-2"/>
                  <c:y val="8.9849154385864216E-2"/>
                </c:manualLayout>
              </c:layout>
              <c:tx>
                <c:rich>
                  <a:bodyPr/>
                  <a:lstStyle/>
                  <a:p>
                    <a:fld id="{901AC50B-13FB-4383-B218-2497BFD06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047-4BAB-9B51-DD8813D06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'Attacking Stats'!$M$2:$M$25</c:f>
              <c:numCache>
                <c:formatCode>General</c:formatCode>
                <c:ptCount val="24"/>
                <c:pt idx="0">
                  <c:v>9.0842490842490839E-2</c:v>
                </c:pt>
                <c:pt idx="1">
                  <c:v>0.11059602649006622</c:v>
                </c:pt>
                <c:pt idx="2">
                  <c:v>0.10164609053497942</c:v>
                </c:pt>
                <c:pt idx="3">
                  <c:v>0.10214592274678112</c:v>
                </c:pt>
                <c:pt idx="4">
                  <c:v>0.10296052631578947</c:v>
                </c:pt>
                <c:pt idx="5">
                  <c:v>9.650655021834062E-2</c:v>
                </c:pt>
                <c:pt idx="6">
                  <c:v>9.458598726114649E-2</c:v>
                </c:pt>
                <c:pt idx="7">
                  <c:v>0.10614525139664804</c:v>
                </c:pt>
                <c:pt idx="8">
                  <c:v>0.10484330484330484</c:v>
                </c:pt>
                <c:pt idx="9">
                  <c:v>0.12829581993569131</c:v>
                </c:pt>
                <c:pt idx="10">
                  <c:v>0.11727574750830563</c:v>
                </c:pt>
                <c:pt idx="11">
                  <c:v>8.7258687258687267E-2</c:v>
                </c:pt>
                <c:pt idx="12">
                  <c:v>9.9678456591639875E-2</c:v>
                </c:pt>
                <c:pt idx="13">
                  <c:v>9.5737704918032782E-2</c:v>
                </c:pt>
                <c:pt idx="14">
                  <c:v>9.7487437185929643E-2</c:v>
                </c:pt>
                <c:pt idx="15">
                  <c:v>8.217391304347825E-2</c:v>
                </c:pt>
                <c:pt idx="16">
                  <c:v>8.8165680473372782E-2</c:v>
                </c:pt>
                <c:pt idx="17">
                  <c:v>9.9999999999999992E-2</c:v>
                </c:pt>
                <c:pt idx="18">
                  <c:v>0.10329341317365269</c:v>
                </c:pt>
                <c:pt idx="19">
                  <c:v>9.9224806201550386E-2</c:v>
                </c:pt>
                <c:pt idx="20">
                  <c:v>0.10283286118980169</c:v>
                </c:pt>
                <c:pt idx="21">
                  <c:v>0.10714285714285714</c:v>
                </c:pt>
                <c:pt idx="22">
                  <c:v>9.0033222591362136E-2</c:v>
                </c:pt>
                <c:pt idx="23">
                  <c:v>0.10483870967741936</c:v>
                </c:pt>
              </c:numCache>
            </c:numRef>
          </c:xVal>
          <c:yVal>
            <c:numRef>
              <c:f>'Attacking Stats'!$I$2:$I$25</c:f>
              <c:numCache>
                <c:formatCode>General</c:formatCode>
                <c:ptCount val="24"/>
                <c:pt idx="0">
                  <c:v>3.91</c:v>
                </c:pt>
                <c:pt idx="1">
                  <c:v>4.41</c:v>
                </c:pt>
                <c:pt idx="2">
                  <c:v>3.27</c:v>
                </c:pt>
                <c:pt idx="3">
                  <c:v>3.68</c:v>
                </c:pt>
                <c:pt idx="4">
                  <c:v>4.18</c:v>
                </c:pt>
                <c:pt idx="5">
                  <c:v>3.23</c:v>
                </c:pt>
                <c:pt idx="6">
                  <c:v>5.18</c:v>
                </c:pt>
                <c:pt idx="7">
                  <c:v>5.64</c:v>
                </c:pt>
                <c:pt idx="8">
                  <c:v>5.32</c:v>
                </c:pt>
                <c:pt idx="9">
                  <c:v>4.8600000000000003</c:v>
                </c:pt>
                <c:pt idx="10">
                  <c:v>5.32</c:v>
                </c:pt>
                <c:pt idx="11">
                  <c:v>3.68</c:v>
                </c:pt>
                <c:pt idx="12">
                  <c:v>4.09</c:v>
                </c:pt>
                <c:pt idx="13">
                  <c:v>5.18</c:v>
                </c:pt>
                <c:pt idx="14">
                  <c:v>2.86</c:v>
                </c:pt>
                <c:pt idx="15">
                  <c:v>3.5</c:v>
                </c:pt>
                <c:pt idx="16">
                  <c:v>2.3199999999999998</c:v>
                </c:pt>
                <c:pt idx="17">
                  <c:v>2.77</c:v>
                </c:pt>
                <c:pt idx="18">
                  <c:v>5.36</c:v>
                </c:pt>
                <c:pt idx="19">
                  <c:v>2.86</c:v>
                </c:pt>
                <c:pt idx="20">
                  <c:v>5</c:v>
                </c:pt>
                <c:pt idx="21">
                  <c:v>3.68</c:v>
                </c:pt>
                <c:pt idx="22">
                  <c:v>4.45</c:v>
                </c:pt>
                <c:pt idx="23">
                  <c:v>3.14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'Attacking Stats'!$A$2:$A$25</c15:f>
                <c15:dlblRangeCache>
                  <c:ptCount val="24"/>
                  <c:pt idx="0">
                    <c:v>Birmingham City</c:v>
                  </c:pt>
                  <c:pt idx="1">
                    <c:v>Blackburn</c:v>
                  </c:pt>
                  <c:pt idx="2">
                    <c:v>Bristol City</c:v>
                  </c:pt>
                  <c:pt idx="3">
                    <c:v>Cardiff City</c:v>
                  </c:pt>
                  <c:pt idx="4">
                    <c:v>Coventry City</c:v>
                  </c:pt>
                  <c:pt idx="5">
                    <c:v>Huddersfield</c:v>
                  </c:pt>
                  <c:pt idx="6">
                    <c:v>Hull City</c:v>
                  </c:pt>
                  <c:pt idx="7">
                    <c:v>Ipswich Town</c:v>
                  </c:pt>
                  <c:pt idx="8">
                    <c:v>Leeds United</c:v>
                  </c:pt>
                  <c:pt idx="9">
                    <c:v>Leicester City</c:v>
                  </c:pt>
                  <c:pt idx="10">
                    <c:v>Middlesbrough</c:v>
                  </c:pt>
                  <c:pt idx="11">
                    <c:v>Millwall</c:v>
                  </c:pt>
                  <c:pt idx="12">
                    <c:v>Norwich City</c:v>
                  </c:pt>
                  <c:pt idx="13">
                    <c:v>Plymouth Argyle</c:v>
                  </c:pt>
                  <c:pt idx="14">
                    <c:v>Preston</c:v>
                  </c:pt>
                  <c:pt idx="15">
                    <c:v>QPR</c:v>
                  </c:pt>
                  <c:pt idx="16">
                    <c:v>Rotherham Utd</c:v>
                  </c:pt>
                  <c:pt idx="17">
                    <c:v>Sheffield Weds</c:v>
                  </c:pt>
                  <c:pt idx="18">
                    <c:v>Southampton</c:v>
                  </c:pt>
                  <c:pt idx="19">
                    <c:v>Stoke City</c:v>
                  </c:pt>
                  <c:pt idx="20">
                    <c:v>Sunderland</c:v>
                  </c:pt>
                  <c:pt idx="21">
                    <c:v>Swansea City</c:v>
                  </c:pt>
                  <c:pt idx="22">
                    <c:v>Watford</c:v>
                  </c:pt>
                  <c:pt idx="23">
                    <c:v>West Brom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91D-4D22-9222-1E300BBACEB8}"/>
            </c:ext>
          </c:extLst>
        </c:ser>
        <c:ser>
          <c:idx val="1"/>
          <c:order val="1"/>
          <c:tx>
            <c:strRef>
              <c:f>'Attacking Stats'!$A$28</c:f>
              <c:strCache>
                <c:ptCount val="1"/>
                <c:pt idx="0">
                  <c:v>Shooting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errBars>
            <c:errDir val="x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'Attacking Stats'!$B$28</c:f>
              <c:numCache>
                <c:formatCode>General</c:formatCode>
                <c:ptCount val="1"/>
                <c:pt idx="0">
                  <c:v>0.10057131114755535</c:v>
                </c:pt>
              </c:numCache>
            </c:numRef>
          </c:xVal>
          <c:yVal>
            <c:numRef>
              <c:f>'Attacking Stats'!$C$28</c:f>
              <c:numCache>
                <c:formatCode>General</c:formatCode>
                <c:ptCount val="1"/>
                <c:pt idx="0">
                  <c:v>4.0787500000000003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91D-4D22-9222-1E300BBACE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4297744"/>
        <c:axId val="1325225456"/>
      </c:scatterChart>
      <c:valAx>
        <c:axId val="1394297744"/>
        <c:scaling>
          <c:orientation val="minMax"/>
          <c:max val="0.15000000000000002"/>
          <c:min val="6.000000000000001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XG/Shot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25456"/>
        <c:crosses val="autoZero"/>
        <c:crossBetween val="midCat"/>
      </c:valAx>
      <c:valAx>
        <c:axId val="1325225456"/>
        <c:scaling>
          <c:orientation val="minMax"/>
          <c:max val="8.800000000000000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Shots on Target/90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Attacking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'Attacking Stats'!$J$1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8.726445567896006E-2"/>
                  <c:y val="-0.2412383476222551"/>
                </c:manualLayout>
              </c:layout>
              <c:tx>
                <c:rich>
                  <a:bodyPr/>
                  <a:lstStyle/>
                  <a:p>
                    <a:fld id="{45808BAF-C363-40BE-9DD1-F3487AB58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1F0-4789-A93A-E468C8A161A0}"/>
                </c:ext>
              </c:extLst>
            </c:dLbl>
            <c:dLbl>
              <c:idx val="1"/>
              <c:layout>
                <c:manualLayout>
                  <c:x val="-9.4559773426319202E-2"/>
                  <c:y val="5.9050300521053964E-2"/>
                </c:manualLayout>
              </c:layout>
              <c:tx>
                <c:rich>
                  <a:bodyPr/>
                  <a:lstStyle/>
                  <a:p>
                    <a:fld id="{FD050BBF-42C1-4549-BA73-2572C86F9E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1F0-4789-A93A-E468C8A161A0}"/>
                </c:ext>
              </c:extLst>
            </c:dLbl>
            <c:dLbl>
              <c:idx val="2"/>
              <c:layout>
                <c:manualLayout>
                  <c:x val="-9.5745502087583229E-2"/>
                  <c:y val="6.6750009447805472E-2"/>
                </c:manualLayout>
              </c:layout>
              <c:tx>
                <c:rich>
                  <a:bodyPr/>
                  <a:lstStyle/>
                  <a:p>
                    <a:fld id="{E9E4778C-DEEA-4BF3-B28C-1F52FB44F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1F0-4789-A93A-E468C8A161A0}"/>
                </c:ext>
              </c:extLst>
            </c:dLbl>
            <c:dLbl>
              <c:idx val="3"/>
              <c:layout>
                <c:manualLayout>
                  <c:x val="-5.7093320938136863E-2"/>
                  <c:y val="0.10781512372381376"/>
                </c:manualLayout>
              </c:layout>
              <c:tx>
                <c:rich>
                  <a:bodyPr/>
                  <a:lstStyle/>
                  <a:p>
                    <a:fld id="{214AACE9-A6F1-494E-82EA-07CE7D589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1F0-4789-A93A-E468C8A161A0}"/>
                </c:ext>
              </c:extLst>
            </c:dLbl>
            <c:dLbl>
              <c:idx val="4"/>
              <c:layout>
                <c:manualLayout>
                  <c:x val="2.6210584940108871E-2"/>
                  <c:y val="-0.12574271372098236"/>
                </c:manualLayout>
              </c:layout>
              <c:tx>
                <c:rich>
                  <a:bodyPr/>
                  <a:lstStyle/>
                  <a:p>
                    <a:fld id="{E3B67ABE-7209-4E7B-824B-E861774F0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1F0-4789-A93A-E468C8A161A0}"/>
                </c:ext>
              </c:extLst>
            </c:dLbl>
            <c:dLbl>
              <c:idx val="5"/>
              <c:layout>
                <c:manualLayout>
                  <c:x val="-0.1039355570228315"/>
                  <c:y val="8.9849136228060122E-2"/>
                </c:manualLayout>
              </c:layout>
              <c:tx>
                <c:rich>
                  <a:bodyPr/>
                  <a:lstStyle/>
                  <a:p>
                    <a:fld id="{5AF8EC22-9CAE-4269-B94C-9BD38D6F5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1F0-4789-A93A-E468C8A161A0}"/>
                </c:ext>
              </c:extLst>
            </c:dLbl>
            <c:dLbl>
              <c:idx val="6"/>
              <c:layout>
                <c:manualLayout>
                  <c:x val="-0.22284622510421492"/>
                  <c:y val="-5.1139405352085866E-3"/>
                </c:manualLayout>
              </c:layout>
              <c:tx>
                <c:rich>
                  <a:bodyPr/>
                  <a:lstStyle/>
                  <a:p>
                    <a:fld id="{8E5A78C2-139E-459C-8A58-ADB10DDF8D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1F0-4789-A93A-E468C8A161A0}"/>
                </c:ext>
              </c:extLst>
            </c:dLbl>
            <c:dLbl>
              <c:idx val="7"/>
              <c:layout>
                <c:manualLayout>
                  <c:x val="4.40420932990385E-2"/>
                  <c:y val="-7.9544460160473257E-2"/>
                </c:manualLayout>
              </c:layout>
              <c:tx>
                <c:rich>
                  <a:bodyPr/>
                  <a:lstStyle/>
                  <a:p>
                    <a:fld id="{E35E853B-9301-4F25-AD1E-D11704CBB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1F0-4789-A93A-E468C8A161A0}"/>
                </c:ext>
              </c:extLst>
            </c:dLbl>
            <c:dLbl>
              <c:idx val="8"/>
              <c:layout>
                <c:manualLayout>
                  <c:x val="-4.678160145501218E-2"/>
                  <c:y val="-8.2111029802723751E-2"/>
                </c:manualLayout>
              </c:layout>
              <c:tx>
                <c:rich>
                  <a:bodyPr/>
                  <a:lstStyle/>
                  <a:p>
                    <a:fld id="{6919362C-F97C-40B3-A377-C1DFAA4BA2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1F0-4789-A93A-E468C8A161A0}"/>
                </c:ext>
              </c:extLst>
            </c:dLbl>
            <c:dLbl>
              <c:idx val="9"/>
              <c:layout>
                <c:manualLayout>
                  <c:x val="8.3861935906322097E-4"/>
                  <c:y val="-7.4411320875972242E-2"/>
                </c:manualLayout>
              </c:layout>
              <c:tx>
                <c:rich>
                  <a:bodyPr/>
                  <a:lstStyle/>
                  <a:p>
                    <a:fld id="{6540BCE6-520A-4D7A-83BE-1E7E8C4E8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1F0-4789-A93A-E468C8A161A0}"/>
                </c:ext>
              </c:extLst>
            </c:dLbl>
            <c:dLbl>
              <c:idx val="10"/>
              <c:layout>
                <c:manualLayout>
                  <c:x val="-0.12544907950336001"/>
                  <c:y val="0.26437587190109441"/>
                </c:manualLayout>
              </c:layout>
              <c:tx>
                <c:rich>
                  <a:bodyPr/>
                  <a:lstStyle/>
                  <a:p>
                    <a:fld id="{32BB874F-7FBF-4601-838F-692879A74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1F0-4789-A93A-E468C8A161A0}"/>
                </c:ext>
              </c:extLst>
            </c:dLbl>
            <c:dLbl>
              <c:idx val="11"/>
              <c:layout>
                <c:manualLayout>
                  <c:x val="-3.5715576228816204E-3"/>
                  <c:y val="8.21494273013086E-2"/>
                </c:manualLayout>
              </c:layout>
              <c:tx>
                <c:rich>
                  <a:bodyPr/>
                  <a:lstStyle/>
                  <a:p>
                    <a:fld id="{1D1A7E02-29D6-4B85-8F9D-6E43187740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1F0-4789-A93A-E468C8A161A0}"/>
                </c:ext>
              </c:extLst>
            </c:dLbl>
            <c:dLbl>
              <c:idx val="12"/>
              <c:layout>
                <c:manualLayout>
                  <c:x val="1.1572591285913914E-2"/>
                  <c:y val="-0.16937439763924095"/>
                </c:manualLayout>
              </c:layout>
              <c:tx>
                <c:rich>
                  <a:bodyPr/>
                  <a:lstStyle/>
                  <a:p>
                    <a:fld id="{F112CBF0-139C-4733-A738-2936FEF59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1F0-4789-A93A-E468C8A161A0}"/>
                </c:ext>
              </c:extLst>
            </c:dLbl>
            <c:dLbl>
              <c:idx val="13"/>
              <c:layout>
                <c:manualLayout>
                  <c:x val="-8.9884337048607349E-2"/>
                  <c:y val="-0.23867177798000461"/>
                </c:manualLayout>
              </c:layout>
              <c:tx>
                <c:rich>
                  <a:bodyPr/>
                  <a:lstStyle/>
                  <a:p>
                    <a:fld id="{CCC444B8-7086-40DE-87D6-4F9AAF7A7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1F0-4789-A93A-E468C8A161A0}"/>
                </c:ext>
              </c:extLst>
            </c:dLbl>
            <c:dLbl>
              <c:idx val="14"/>
              <c:layout>
                <c:manualLayout>
                  <c:x val="-0.12766628123299356"/>
                  <c:y val="-3.0779636957713644E-2"/>
                </c:manualLayout>
              </c:layout>
              <c:tx>
                <c:rich>
                  <a:bodyPr/>
                  <a:lstStyle/>
                  <a:p>
                    <a:fld id="{9B804E51-B861-464A-B963-56AEBEA03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1F0-4789-A93A-E468C8A161A0}"/>
                </c:ext>
              </c:extLst>
            </c:dLbl>
            <c:dLbl>
              <c:idx val="15"/>
              <c:layout>
                <c:manualLayout>
                  <c:x val="-0.10746030416410715"/>
                  <c:y val="3.8517743383050008E-2"/>
                </c:manualLayout>
              </c:layout>
              <c:tx>
                <c:rich>
                  <a:bodyPr/>
                  <a:lstStyle/>
                  <a:p>
                    <a:fld id="{03BE9F7A-5CDD-4D92-B0D3-E6CE873F5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1F0-4789-A93A-E468C8A161A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1AB6A37-B8E5-4F0C-ACFC-97117FED8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1F0-4789-A93A-E468C8A161A0}"/>
                </c:ext>
              </c:extLst>
            </c:dLbl>
            <c:dLbl>
              <c:idx val="17"/>
              <c:layout>
                <c:manualLayout>
                  <c:x val="-0.15810021166002561"/>
                  <c:y val="-3.8479345884465159E-2"/>
                </c:manualLayout>
              </c:layout>
              <c:tx>
                <c:rich>
                  <a:bodyPr/>
                  <a:lstStyle/>
                  <a:p>
                    <a:fld id="{23A9276C-0F14-476C-A209-468C661F6D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1F0-4789-A93A-E468C8A161A0}"/>
                </c:ext>
              </c:extLst>
            </c:dLbl>
            <c:dLbl>
              <c:idx val="18"/>
              <c:layout>
                <c:manualLayout>
                  <c:x val="-0.13506589601831692"/>
                  <c:y val="-0.16680782799699045"/>
                </c:manualLayout>
              </c:layout>
              <c:tx>
                <c:rich>
                  <a:bodyPr/>
                  <a:lstStyle/>
                  <a:p>
                    <a:fld id="{105B4E00-DE25-4DD6-94DD-1B9ED0F48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1F0-4789-A93A-E468C8A161A0}"/>
                </c:ext>
              </c:extLst>
            </c:dLbl>
            <c:dLbl>
              <c:idx val="19"/>
              <c:layout>
                <c:manualLayout>
                  <c:x val="-0.1516262673048222"/>
                  <c:y val="-0.1052101565829783"/>
                </c:manualLayout>
              </c:layout>
              <c:tx>
                <c:rich>
                  <a:bodyPr/>
                  <a:lstStyle/>
                  <a:p>
                    <a:fld id="{D7992256-2871-48ED-AC39-C8C63C44F7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1F0-4789-A93A-E468C8A161A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425CF4B-1DF1-499E-B7BC-71C5AC9F6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CB-465C-9472-7FCDFA7761A9}"/>
                </c:ext>
              </c:extLst>
            </c:dLbl>
            <c:dLbl>
              <c:idx val="21"/>
              <c:layout>
                <c:manualLayout>
                  <c:x val="2.2675845900989536E-2"/>
                  <c:y val="-5.1139405352085866E-3"/>
                </c:manualLayout>
              </c:layout>
              <c:tx>
                <c:rich>
                  <a:bodyPr/>
                  <a:lstStyle/>
                  <a:p>
                    <a:fld id="{91FA3802-39E0-4983-93E3-B244FE20E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CB-465C-9472-7FCDFA7761A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D67311D-962C-4924-99E3-CD29EAD4A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CB-465C-9472-7FCDFA7761A9}"/>
                </c:ext>
              </c:extLst>
            </c:dLbl>
            <c:dLbl>
              <c:idx val="23"/>
              <c:layout>
                <c:manualLayout>
                  <c:x val="2.2060602875203804E-2"/>
                  <c:y val="1.2852046960544953E-2"/>
                </c:manualLayout>
              </c:layout>
              <c:tx>
                <c:rich>
                  <a:bodyPr/>
                  <a:lstStyle/>
                  <a:p>
                    <a:fld id="{58641732-FC6C-4584-80A7-A97EF9D3A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15F-4C8E-812C-78F2F6925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'Attacking Stats'!$J$2:$J$25</c:f>
              <c:numCache>
                <c:formatCode>0%</c:formatCode>
                <c:ptCount val="24"/>
                <c:pt idx="0">
                  <c:v>0.08</c:v>
                </c:pt>
                <c:pt idx="1">
                  <c:v>0.11</c:v>
                </c:pt>
                <c:pt idx="2">
                  <c:v>0.09</c:v>
                </c:pt>
                <c:pt idx="3">
                  <c:v>0.11</c:v>
                </c:pt>
                <c:pt idx="4">
                  <c:v>0.08</c:v>
                </c:pt>
                <c:pt idx="5">
                  <c:v>0.08</c:v>
                </c:pt>
                <c:pt idx="6">
                  <c:v>0.11</c:v>
                </c:pt>
                <c:pt idx="7">
                  <c:v>0.12</c:v>
                </c:pt>
                <c:pt idx="8">
                  <c:v>0.1</c:v>
                </c:pt>
                <c:pt idx="9">
                  <c:v>0.13</c:v>
                </c:pt>
                <c:pt idx="10">
                  <c:v>0.1</c:v>
                </c:pt>
                <c:pt idx="11">
                  <c:v>0.09</c:v>
                </c:pt>
                <c:pt idx="12">
                  <c:v>0.11</c:v>
                </c:pt>
                <c:pt idx="13">
                  <c:v>0.11</c:v>
                </c:pt>
                <c:pt idx="14">
                  <c:v>0.13</c:v>
                </c:pt>
                <c:pt idx="15">
                  <c:v>7.0000000000000007E-2</c:v>
                </c:pt>
                <c:pt idx="16">
                  <c:v>0.12</c:v>
                </c:pt>
                <c:pt idx="17">
                  <c:v>7.0000000000000007E-2</c:v>
                </c:pt>
                <c:pt idx="18">
                  <c:v>0.1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</c:numCache>
            </c:numRef>
          </c:xVal>
          <c:yVal>
            <c:numRef>
              <c:f>'Attacking Stats'!$H$2:$H$25</c:f>
              <c:numCache>
                <c:formatCode>General</c:formatCode>
                <c:ptCount val="24"/>
                <c:pt idx="0">
                  <c:v>12.41</c:v>
                </c:pt>
                <c:pt idx="1">
                  <c:v>13.73</c:v>
                </c:pt>
                <c:pt idx="2">
                  <c:v>11.05</c:v>
                </c:pt>
                <c:pt idx="3">
                  <c:v>10.59</c:v>
                </c:pt>
                <c:pt idx="4">
                  <c:v>13.82</c:v>
                </c:pt>
                <c:pt idx="5">
                  <c:v>10.41</c:v>
                </c:pt>
                <c:pt idx="6">
                  <c:v>14.27</c:v>
                </c:pt>
                <c:pt idx="7">
                  <c:v>16.27</c:v>
                </c:pt>
                <c:pt idx="8">
                  <c:v>15.95</c:v>
                </c:pt>
                <c:pt idx="9">
                  <c:v>14.14</c:v>
                </c:pt>
                <c:pt idx="10">
                  <c:v>13.68</c:v>
                </c:pt>
                <c:pt idx="11">
                  <c:v>11.77</c:v>
                </c:pt>
                <c:pt idx="12">
                  <c:v>14.14</c:v>
                </c:pt>
                <c:pt idx="13">
                  <c:v>13.86</c:v>
                </c:pt>
                <c:pt idx="14">
                  <c:v>9.0500000000000007</c:v>
                </c:pt>
                <c:pt idx="15">
                  <c:v>10.45</c:v>
                </c:pt>
                <c:pt idx="16">
                  <c:v>7.68</c:v>
                </c:pt>
                <c:pt idx="17">
                  <c:v>9.9499999999999993</c:v>
                </c:pt>
                <c:pt idx="18">
                  <c:v>15.18</c:v>
                </c:pt>
                <c:pt idx="19">
                  <c:v>11.73</c:v>
                </c:pt>
                <c:pt idx="20">
                  <c:v>16.05</c:v>
                </c:pt>
                <c:pt idx="21">
                  <c:v>11.45</c:v>
                </c:pt>
                <c:pt idx="22">
                  <c:v>13.68</c:v>
                </c:pt>
                <c:pt idx="23">
                  <c:v>11.27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'Attacking Stats'!$A$2:$A$25</c15:f>
                <c15:dlblRangeCache>
                  <c:ptCount val="24"/>
                  <c:pt idx="0">
                    <c:v>Birmingham City</c:v>
                  </c:pt>
                  <c:pt idx="1">
                    <c:v>Blackburn</c:v>
                  </c:pt>
                  <c:pt idx="2">
                    <c:v>Bristol City</c:v>
                  </c:pt>
                  <c:pt idx="3">
                    <c:v>Cardiff City</c:v>
                  </c:pt>
                  <c:pt idx="4">
                    <c:v>Coventry City</c:v>
                  </c:pt>
                  <c:pt idx="5">
                    <c:v>Huddersfield</c:v>
                  </c:pt>
                  <c:pt idx="6">
                    <c:v>Hull City</c:v>
                  </c:pt>
                  <c:pt idx="7">
                    <c:v>Ipswich Town</c:v>
                  </c:pt>
                  <c:pt idx="8">
                    <c:v>Leeds United</c:v>
                  </c:pt>
                  <c:pt idx="9">
                    <c:v>Leicester City</c:v>
                  </c:pt>
                  <c:pt idx="10">
                    <c:v>Middlesbrough</c:v>
                  </c:pt>
                  <c:pt idx="11">
                    <c:v>Millwall</c:v>
                  </c:pt>
                  <c:pt idx="12">
                    <c:v>Norwich City</c:v>
                  </c:pt>
                  <c:pt idx="13">
                    <c:v>Plymouth Argyle</c:v>
                  </c:pt>
                  <c:pt idx="14">
                    <c:v>Preston</c:v>
                  </c:pt>
                  <c:pt idx="15">
                    <c:v>QPR</c:v>
                  </c:pt>
                  <c:pt idx="16">
                    <c:v>Rotherham Utd</c:v>
                  </c:pt>
                  <c:pt idx="17">
                    <c:v>Sheffield Weds</c:v>
                  </c:pt>
                  <c:pt idx="18">
                    <c:v>Southampton</c:v>
                  </c:pt>
                  <c:pt idx="19">
                    <c:v>Stoke City</c:v>
                  </c:pt>
                  <c:pt idx="20">
                    <c:v>Sunderland</c:v>
                  </c:pt>
                  <c:pt idx="21">
                    <c:v>Swansea City</c:v>
                  </c:pt>
                  <c:pt idx="22">
                    <c:v>Watford</c:v>
                  </c:pt>
                  <c:pt idx="23">
                    <c:v>West Brom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1F0-4789-A93A-E468C8A161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errBars>
            <c:errDir val="x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'Attacking Stats'!$B$29</c:f>
              <c:numCache>
                <c:formatCode>General</c:formatCode>
                <c:ptCount val="1"/>
                <c:pt idx="0">
                  <c:v>0.10041666666666667</c:v>
                </c:pt>
              </c:numCache>
            </c:numRef>
          </c:xVal>
          <c:yVal>
            <c:numRef>
              <c:f>'Attacking Stats'!$C$29</c:f>
              <c:numCache>
                <c:formatCode>General</c:formatCode>
                <c:ptCount val="1"/>
                <c:pt idx="0">
                  <c:v>12.6075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4789-A93A-E468C8A16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4186528"/>
        <c:axId val="1010129200"/>
      </c:scatterChart>
      <c:valAx>
        <c:axId val="1014186528"/>
        <c:scaling>
          <c:orientation val="minMax"/>
          <c:max val="0.15000000000000002"/>
          <c:min val="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29200"/>
        <c:crosses val="autoZero"/>
        <c:crossBetween val="midCat"/>
      </c:valAx>
      <c:valAx>
        <c:axId val="1010129200"/>
        <c:scaling>
          <c:orientation val="minMax"/>
          <c:max val="2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Shots/90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Goalkeeping</a:t>
            </a:r>
            <a:r>
              <a:rPr lang="en-US" baseline="0"/>
              <a:t>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'Goalkeeping Stats'!$F$1</c:f>
              <c:strCache>
                <c:ptCount val="1"/>
                <c:pt idx="0">
                  <c:v>Shots on Target/90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8832224685883328E-2"/>
                  <c:y val="-0.22562184534625485"/>
                </c:manualLayout>
              </c:layout>
              <c:tx>
                <c:rich>
                  <a:bodyPr/>
                  <a:lstStyle/>
                  <a:p>
                    <a:fld id="{8B85117D-D74D-4114-AFD1-D57471094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853-463C-8EF0-3BEA6FB1365C}"/>
                </c:ext>
              </c:extLst>
            </c:dLbl>
            <c:dLbl>
              <c:idx val="1"/>
              <c:layout>
                <c:manualLayout>
                  <c:x val="1.9963918035744422E-2"/>
                  <c:y val="-3.8506561679790073E-2"/>
                </c:manualLayout>
              </c:layout>
              <c:tx>
                <c:rich>
                  <a:bodyPr/>
                  <a:lstStyle/>
                  <a:p>
                    <a:fld id="{2CE4127B-0B05-4C64-904D-E00BE6AE7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853-463C-8EF0-3BEA6FB1365C}"/>
                </c:ext>
              </c:extLst>
            </c:dLbl>
            <c:dLbl>
              <c:idx val="2"/>
              <c:layout>
                <c:manualLayout>
                  <c:x val="-9.1230685964697925E-2"/>
                  <c:y val="-0.13331415303856259"/>
                </c:manualLayout>
              </c:layout>
              <c:tx>
                <c:rich>
                  <a:bodyPr/>
                  <a:lstStyle/>
                  <a:p>
                    <a:fld id="{BCA27604-7ABB-455E-B621-4B860F07A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853-463C-8EF0-3BEA6FB1365C}"/>
                </c:ext>
              </c:extLst>
            </c:dLbl>
            <c:dLbl>
              <c:idx val="3"/>
              <c:layout>
                <c:manualLayout>
                  <c:x val="-0.19824886079927376"/>
                  <c:y val="-2.0636987684231872E-2"/>
                </c:manualLayout>
              </c:layout>
              <c:tx>
                <c:rich>
                  <a:bodyPr/>
                  <a:lstStyle/>
                  <a:p>
                    <a:fld id="{4916105A-C6F8-4934-AEEF-BA7D17B75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853-463C-8EF0-3BEA6FB1365C}"/>
                </c:ext>
              </c:extLst>
            </c:dLbl>
            <c:dLbl>
              <c:idx val="4"/>
              <c:layout>
                <c:manualLayout>
                  <c:x val="-7.4448266028830701E-2"/>
                  <c:y val="0.13597092671108418"/>
                </c:manualLayout>
              </c:layout>
              <c:tx>
                <c:rich>
                  <a:bodyPr/>
                  <a:lstStyle/>
                  <a:p>
                    <a:fld id="{B097DA6C-CA9F-45F7-93C0-DCF66D9FE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53-463C-8EF0-3BEA6FB1365C}"/>
                </c:ext>
              </c:extLst>
            </c:dLbl>
            <c:dLbl>
              <c:idx val="5"/>
              <c:layout>
                <c:manualLayout>
                  <c:x val="-6.1476683485517748E-2"/>
                  <c:y val="3.8441146779729457E-2"/>
                </c:manualLayout>
              </c:layout>
              <c:tx>
                <c:rich>
                  <a:bodyPr/>
                  <a:lstStyle/>
                  <a:p>
                    <a:fld id="{ADDDA474-3F4A-44F7-AD64-B613D7BD3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853-463C-8EF0-3BEA6FB1365C}"/>
                </c:ext>
              </c:extLst>
            </c:dLbl>
            <c:dLbl>
              <c:idx val="6"/>
              <c:layout>
                <c:manualLayout>
                  <c:x val="-2.5748438873078833E-2"/>
                  <c:y val="-5.389117706440541E-2"/>
                </c:manualLayout>
              </c:layout>
              <c:tx>
                <c:rich>
                  <a:bodyPr/>
                  <a:lstStyle/>
                  <a:p>
                    <a:fld id="{90E3CA4F-3172-4358-8FD7-0F6A60C29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853-463C-8EF0-3BEA6FB1365C}"/>
                </c:ext>
              </c:extLst>
            </c:dLbl>
            <c:dLbl>
              <c:idx val="7"/>
              <c:layout>
                <c:manualLayout>
                  <c:x val="-5.3409221851703124E-2"/>
                  <c:y val="0.12304179285281648"/>
                </c:manualLayout>
              </c:layout>
              <c:tx>
                <c:rich>
                  <a:bodyPr/>
                  <a:lstStyle/>
                  <a:p>
                    <a:fld id="{0F09C079-FE37-4B7E-A7F1-CDC4C8587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853-463C-8EF0-3BEA6FB1365C}"/>
                </c:ext>
              </c:extLst>
            </c:dLbl>
            <c:dLbl>
              <c:idx val="8"/>
              <c:layout>
                <c:manualLayout>
                  <c:x val="-4.2024314588170991E-2"/>
                  <c:y val="5.854229759741552E-2"/>
                </c:manualLayout>
              </c:layout>
              <c:tx>
                <c:rich>
                  <a:bodyPr/>
                  <a:lstStyle/>
                  <a:p>
                    <a:fld id="{BB2E9A40-D94F-4FB7-85D1-9E9ECA6B7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853-463C-8EF0-3BEA6FB136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C7D492-90C6-43DD-AD60-CA9FDF03D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853-463C-8EF0-3BEA6FB1365C}"/>
                </c:ext>
              </c:extLst>
            </c:dLbl>
            <c:dLbl>
              <c:idx val="10"/>
              <c:layout>
                <c:manualLayout>
                  <c:x val="1.5081213517933319E-2"/>
                  <c:y val="0.12822430849989896"/>
                </c:manualLayout>
              </c:layout>
              <c:tx>
                <c:rich>
                  <a:bodyPr/>
                  <a:lstStyle/>
                  <a:p>
                    <a:fld id="{D2655BF7-1CFD-43A0-97C7-E58C590A7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853-463C-8EF0-3BEA6FB1365C}"/>
                </c:ext>
              </c:extLst>
            </c:dLbl>
            <c:dLbl>
              <c:idx val="11"/>
              <c:layout>
                <c:manualLayout>
                  <c:x val="-3.5218324982104511E-3"/>
                  <c:y val="3.5916616192206742E-2"/>
                </c:manualLayout>
              </c:layout>
              <c:tx>
                <c:rich>
                  <a:bodyPr/>
                  <a:lstStyle/>
                  <a:p>
                    <a:fld id="{732E959A-EFE1-446F-9537-A6928F414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853-463C-8EF0-3BEA6FB1365C}"/>
                </c:ext>
              </c:extLst>
            </c:dLbl>
            <c:dLbl>
              <c:idx val="12"/>
              <c:layout>
                <c:manualLayout>
                  <c:x val="8.7247120717449014E-2"/>
                  <c:y val="2.1029073288915713E-2"/>
                </c:manualLayout>
              </c:layout>
              <c:tx>
                <c:rich>
                  <a:bodyPr/>
                  <a:lstStyle/>
                  <a:p>
                    <a:fld id="{6D70B300-0B7A-46F6-8FB5-420CBD35A4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853-463C-8EF0-3BEA6FB1365C}"/>
                </c:ext>
              </c:extLst>
            </c:dLbl>
            <c:dLbl>
              <c:idx val="13"/>
              <c:layout>
                <c:manualLayout>
                  <c:x val="-6.0931263858093124E-2"/>
                  <c:y val="-7.9467999192408642E-2"/>
                </c:manualLayout>
              </c:layout>
              <c:tx>
                <c:rich>
                  <a:bodyPr/>
                  <a:lstStyle/>
                  <a:p>
                    <a:fld id="{606BAC72-C6C3-4C9C-B8FC-D8BE1246E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853-463C-8EF0-3BEA6FB1365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F8CFBED-14EF-4D35-AB24-F3E6E9FE8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853-463C-8EF0-3BEA6FB1365C}"/>
                </c:ext>
              </c:extLst>
            </c:dLbl>
            <c:dLbl>
              <c:idx val="15"/>
              <c:layout>
                <c:manualLayout>
                  <c:x val="-4.0806942927754473E-3"/>
                  <c:y val="-2.8240261807789421E-2"/>
                </c:manualLayout>
              </c:layout>
              <c:tx>
                <c:rich>
                  <a:bodyPr/>
                  <a:lstStyle/>
                  <a:p>
                    <a:fld id="{0FFDD0E8-C2BF-4525-9825-72ECE056C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853-463C-8EF0-3BEA6FB1365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F9B633E-9528-490E-898B-AE058D121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853-463C-8EF0-3BEA6FB1365C}"/>
                </c:ext>
              </c:extLst>
            </c:dLbl>
            <c:dLbl>
              <c:idx val="17"/>
              <c:layout>
                <c:manualLayout>
                  <c:x val="9.5753501987417874E-2"/>
                  <c:y val="8.4604885927720572E-2"/>
                </c:manualLayout>
              </c:layout>
              <c:tx>
                <c:rich>
                  <a:bodyPr/>
                  <a:lstStyle/>
                  <a:p>
                    <a:fld id="{CDB2870E-AAEB-493B-921B-55A0967F2F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853-463C-8EF0-3BEA6FB1365C}"/>
                </c:ext>
              </c:extLst>
            </c:dLbl>
            <c:dLbl>
              <c:idx val="18"/>
              <c:layout>
                <c:manualLayout>
                  <c:x val="9.6211331247827592E-3"/>
                  <c:y val="1.0295391459528212E-2"/>
                </c:manualLayout>
              </c:layout>
              <c:tx>
                <c:rich>
                  <a:bodyPr/>
                  <a:lstStyle/>
                  <a:p>
                    <a:fld id="{197D0201-F8F9-48E3-8A4A-865DDD189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853-463C-8EF0-3BEA6FB1365C}"/>
                </c:ext>
              </c:extLst>
            </c:dLbl>
            <c:dLbl>
              <c:idx val="19"/>
              <c:layout>
                <c:manualLayout>
                  <c:x val="-0.11563571183313838"/>
                  <c:y val="-5.3826973551383002E-2"/>
                </c:manualLayout>
              </c:layout>
              <c:tx>
                <c:rich>
                  <a:bodyPr/>
                  <a:lstStyle/>
                  <a:p>
                    <a:fld id="{962DB01C-1EEF-4DE7-9B0A-AD4576F3E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853-463C-8EF0-3BEA6FB1365C}"/>
                </c:ext>
              </c:extLst>
            </c:dLbl>
            <c:dLbl>
              <c:idx val="20"/>
              <c:layout>
                <c:manualLayout>
                  <c:x val="-0.11957132298595713"/>
                  <c:y val="-2.3057742782152231E-2"/>
                </c:manualLayout>
              </c:layout>
              <c:tx>
                <c:rich>
                  <a:bodyPr/>
                  <a:lstStyle/>
                  <a:p>
                    <a:fld id="{D5C51F2A-0D7D-4563-AD37-1D5E6C795B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D9-4032-B013-568C1E0D81FB}"/>
                </c:ext>
              </c:extLst>
            </c:dLbl>
            <c:dLbl>
              <c:idx val="21"/>
              <c:layout>
                <c:manualLayout>
                  <c:x val="-0.14627500276434405"/>
                  <c:y val="-0.1153654350898445"/>
                </c:manualLayout>
              </c:layout>
              <c:tx>
                <c:rich>
                  <a:bodyPr/>
                  <a:lstStyle/>
                  <a:p>
                    <a:fld id="{4D637D7C-1FDC-45BD-948A-65AA8510A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3D9-4032-B013-568C1E0D81F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08A3EFC-1E56-4F7F-A7DA-34DB87765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3D9-4032-B013-568C1E0D81FB}"/>
                </c:ext>
              </c:extLst>
            </c:dLbl>
            <c:dLbl>
              <c:idx val="23"/>
              <c:layout>
                <c:manualLayout>
                  <c:x val="-8.9780479331073609E-2"/>
                  <c:y val="-6.9385230955719621E-2"/>
                </c:manualLayout>
              </c:layout>
              <c:tx>
                <c:rich>
                  <a:bodyPr/>
                  <a:lstStyle/>
                  <a:p>
                    <a:fld id="{2FD77B99-6D49-456C-A72D-05FDE929E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71-42D0-85F1-28011AE16F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'Goalkeeping Stats'!$D$2:$D$25</c:f>
              <c:numCache>
                <c:formatCode>General</c:formatCode>
                <c:ptCount val="24"/>
                <c:pt idx="0">
                  <c:v>1.45</c:v>
                </c:pt>
                <c:pt idx="1">
                  <c:v>1.73</c:v>
                </c:pt>
                <c:pt idx="2">
                  <c:v>1.0900000000000001</c:v>
                </c:pt>
                <c:pt idx="3">
                  <c:v>1.23</c:v>
                </c:pt>
                <c:pt idx="4">
                  <c:v>1.1399999999999999</c:v>
                </c:pt>
                <c:pt idx="5">
                  <c:v>1.64</c:v>
                </c:pt>
                <c:pt idx="6">
                  <c:v>1.23</c:v>
                </c:pt>
                <c:pt idx="7">
                  <c:v>1.27</c:v>
                </c:pt>
                <c:pt idx="8">
                  <c:v>1</c:v>
                </c:pt>
                <c:pt idx="9">
                  <c:v>0.73</c:v>
                </c:pt>
                <c:pt idx="10">
                  <c:v>1.55</c:v>
                </c:pt>
                <c:pt idx="11">
                  <c:v>1.41</c:v>
                </c:pt>
                <c:pt idx="12">
                  <c:v>1.77</c:v>
                </c:pt>
                <c:pt idx="13">
                  <c:v>1.59</c:v>
                </c:pt>
                <c:pt idx="14">
                  <c:v>1.73</c:v>
                </c:pt>
                <c:pt idx="15">
                  <c:v>1.46</c:v>
                </c:pt>
                <c:pt idx="16">
                  <c:v>2</c:v>
                </c:pt>
                <c:pt idx="17">
                  <c:v>1.59</c:v>
                </c:pt>
                <c:pt idx="18">
                  <c:v>1.32</c:v>
                </c:pt>
                <c:pt idx="19">
                  <c:v>1.36</c:v>
                </c:pt>
                <c:pt idx="20">
                  <c:v>1.0900000000000001</c:v>
                </c:pt>
                <c:pt idx="21">
                  <c:v>1.41</c:v>
                </c:pt>
                <c:pt idx="22">
                  <c:v>1.23</c:v>
                </c:pt>
                <c:pt idx="23">
                  <c:v>1</c:v>
                </c:pt>
              </c:numCache>
            </c:numRef>
          </c:xVal>
          <c:yVal>
            <c:numRef>
              <c:f>'Goalkeeping Stats'!$F$2:$F$25</c:f>
              <c:numCache>
                <c:formatCode>General</c:formatCode>
                <c:ptCount val="24"/>
                <c:pt idx="0">
                  <c:v>4.7727272727272725</c:v>
                </c:pt>
                <c:pt idx="1">
                  <c:v>5.2272727272727275</c:v>
                </c:pt>
                <c:pt idx="2">
                  <c:v>3.9545454545454546</c:v>
                </c:pt>
                <c:pt idx="3">
                  <c:v>3.6818181818181817</c:v>
                </c:pt>
                <c:pt idx="4">
                  <c:v>3.9090909090909092</c:v>
                </c:pt>
                <c:pt idx="5">
                  <c:v>4.6818181818181817</c:v>
                </c:pt>
                <c:pt idx="6">
                  <c:v>3.6363636363636362</c:v>
                </c:pt>
                <c:pt idx="7">
                  <c:v>3.7272727272727271</c:v>
                </c:pt>
                <c:pt idx="8">
                  <c:v>2.6818181818181817</c:v>
                </c:pt>
                <c:pt idx="9">
                  <c:v>3.7272727272727271</c:v>
                </c:pt>
                <c:pt idx="10">
                  <c:v>3.9545454545454546</c:v>
                </c:pt>
                <c:pt idx="11">
                  <c:v>4</c:v>
                </c:pt>
                <c:pt idx="12">
                  <c:v>4.9090909090909092</c:v>
                </c:pt>
                <c:pt idx="13">
                  <c:v>5.0909090909090908</c:v>
                </c:pt>
                <c:pt idx="14">
                  <c:v>4.4545454545454541</c:v>
                </c:pt>
                <c:pt idx="15">
                  <c:v>4.4090909090909092</c:v>
                </c:pt>
                <c:pt idx="16">
                  <c:v>5.9545454545454541</c:v>
                </c:pt>
                <c:pt idx="17">
                  <c:v>3.9545454545454546</c:v>
                </c:pt>
                <c:pt idx="18">
                  <c:v>3.5909090909090908</c:v>
                </c:pt>
                <c:pt idx="19">
                  <c:v>4.5909090909090908</c:v>
                </c:pt>
                <c:pt idx="20">
                  <c:v>3.3636363636363638</c:v>
                </c:pt>
                <c:pt idx="21">
                  <c:v>4.6818181818181817</c:v>
                </c:pt>
                <c:pt idx="22">
                  <c:v>4.2272727272727275</c:v>
                </c:pt>
                <c:pt idx="23">
                  <c:v>2.6363636363636362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'Goalkeeping Stats'!$A$2:$A$25</c15:f>
                <c15:dlblRangeCache>
                  <c:ptCount val="24"/>
                  <c:pt idx="0">
                    <c:v>Birmingham City</c:v>
                  </c:pt>
                  <c:pt idx="1">
                    <c:v>Blackburn</c:v>
                  </c:pt>
                  <c:pt idx="2">
                    <c:v>Bristol City</c:v>
                  </c:pt>
                  <c:pt idx="3">
                    <c:v>Cardiff City</c:v>
                  </c:pt>
                  <c:pt idx="4">
                    <c:v>Coventry City</c:v>
                  </c:pt>
                  <c:pt idx="5">
                    <c:v>Huddersfield</c:v>
                  </c:pt>
                  <c:pt idx="6">
                    <c:v>Hull City</c:v>
                  </c:pt>
                  <c:pt idx="7">
                    <c:v>Ipswich Town</c:v>
                  </c:pt>
                  <c:pt idx="8">
                    <c:v>Leeds United</c:v>
                  </c:pt>
                  <c:pt idx="9">
                    <c:v>Leicester City</c:v>
                  </c:pt>
                  <c:pt idx="10">
                    <c:v>Middlesbrough</c:v>
                  </c:pt>
                  <c:pt idx="11">
                    <c:v>Millwall</c:v>
                  </c:pt>
                  <c:pt idx="12">
                    <c:v>Norwich City</c:v>
                  </c:pt>
                  <c:pt idx="13">
                    <c:v>Plymouth Argyle</c:v>
                  </c:pt>
                  <c:pt idx="14">
                    <c:v>Preston</c:v>
                  </c:pt>
                  <c:pt idx="15">
                    <c:v>QPR</c:v>
                  </c:pt>
                  <c:pt idx="16">
                    <c:v>Rotherham Utd</c:v>
                  </c:pt>
                  <c:pt idx="17">
                    <c:v>Sheffield Weds</c:v>
                  </c:pt>
                  <c:pt idx="18">
                    <c:v>Southampton</c:v>
                  </c:pt>
                  <c:pt idx="19">
                    <c:v>Stoke City</c:v>
                  </c:pt>
                  <c:pt idx="20">
                    <c:v>Sunderland</c:v>
                  </c:pt>
                  <c:pt idx="21">
                    <c:v>Swansea City</c:v>
                  </c:pt>
                  <c:pt idx="22">
                    <c:v>Watford</c:v>
                  </c:pt>
                  <c:pt idx="23">
                    <c:v>West Brom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853-463C-8EF0-3BEA6FB1365C}"/>
            </c:ext>
          </c:extLst>
        </c:ser>
        <c:ser>
          <c:idx val="1"/>
          <c:order val="1"/>
          <c:tx>
            <c:strRef>
              <c:f>'Goalkeeping Stats'!$A$28</c:f>
              <c:strCache>
                <c:ptCount val="1"/>
                <c:pt idx="0">
                  <c:v>Chart Axes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'Goalkeeping Stats'!$B$28</c:f>
              <c:numCache>
                <c:formatCode>General</c:formatCode>
                <c:ptCount val="1"/>
                <c:pt idx="0">
                  <c:v>1.3758333333333335</c:v>
                </c:pt>
              </c:numCache>
            </c:numRef>
          </c:xVal>
          <c:yVal>
            <c:numRef>
              <c:f>'Goalkeeping Stats'!$C$28</c:f>
              <c:numCache>
                <c:formatCode>General</c:formatCode>
                <c:ptCount val="1"/>
                <c:pt idx="0">
                  <c:v>4.1590909090909092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853-463C-8EF0-3BEA6FB1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74911"/>
        <c:axId val="943856079"/>
      </c:scatterChart>
      <c:valAx>
        <c:axId val="456074911"/>
        <c:scaling>
          <c:orientation val="minMax"/>
          <c:max val="2.2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 AGAINST/90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56079"/>
        <c:crosses val="autoZero"/>
        <c:crossBetween val="midCat"/>
      </c:valAx>
      <c:valAx>
        <c:axId val="943856079"/>
        <c:scaling>
          <c:orientation val="minMax"/>
          <c:max val="7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SHOTS ON TARGET/90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7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Passing</a:t>
            </a:r>
            <a:r>
              <a:rPr lang="en-US" baseline="0"/>
              <a:t>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'Passing Stats'!$F$1</c:f>
              <c:strCache>
                <c:ptCount val="1"/>
                <c:pt idx="0">
                  <c:v>Completion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0.2312983707225276"/>
                  <c:y val="-0.1006509622182836"/>
                </c:manualLayout>
              </c:layout>
              <c:tx>
                <c:rich>
                  <a:bodyPr/>
                  <a:lstStyle/>
                  <a:p>
                    <a:fld id="{581104D6-9EB9-47B2-9759-C31C98946A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C45-4F93-8655-D0D3CE4A9F32}"/>
                </c:ext>
              </c:extLst>
            </c:dLbl>
            <c:dLbl>
              <c:idx val="1"/>
              <c:layout>
                <c:manualLayout>
                  <c:x val="4.6377259446342793E-2"/>
                  <c:y val="5.5190143436867442E-2"/>
                </c:manualLayout>
              </c:layout>
              <c:tx>
                <c:rich>
                  <a:bodyPr/>
                  <a:lstStyle/>
                  <a:p>
                    <a:fld id="{1DFA726C-3238-487A-9D3B-5B2F880B6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C45-4F93-8655-D0D3CE4A9F32}"/>
                </c:ext>
              </c:extLst>
            </c:dLbl>
            <c:dLbl>
              <c:idx val="2"/>
              <c:layout>
                <c:manualLayout>
                  <c:x val="-3.3477475692896941E-2"/>
                  <c:y val="0.24258885305388486"/>
                </c:manualLayout>
              </c:layout>
              <c:tx>
                <c:rich>
                  <a:bodyPr/>
                  <a:lstStyle/>
                  <a:p>
                    <a:fld id="{35110C97-62FF-4C4B-B163-CFAA589A90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C45-4F93-8655-D0D3CE4A9F32}"/>
                </c:ext>
              </c:extLst>
            </c:dLbl>
            <c:dLbl>
              <c:idx val="3"/>
              <c:layout>
                <c:manualLayout>
                  <c:x val="-0.15703891708967851"/>
                  <c:y val="-0.10752903273662637"/>
                </c:manualLayout>
              </c:layout>
              <c:tx>
                <c:rich>
                  <a:bodyPr/>
                  <a:lstStyle/>
                  <a:p>
                    <a:fld id="{B0074981-CA1B-4E19-A858-79B5E9682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C45-4F93-8655-D0D3CE4A9F32}"/>
                </c:ext>
              </c:extLst>
            </c:dLbl>
            <c:dLbl>
              <c:idx val="4"/>
              <c:layout>
                <c:manualLayout>
                  <c:x val="-1.6439756351210817E-2"/>
                  <c:y val="0.11655698249895885"/>
                </c:manualLayout>
              </c:layout>
              <c:tx>
                <c:rich>
                  <a:bodyPr/>
                  <a:lstStyle/>
                  <a:p>
                    <a:fld id="{93389F66-74BC-4C9C-A909-FB6E5BA81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C45-4F93-8655-D0D3CE4A9F32}"/>
                </c:ext>
              </c:extLst>
            </c:dLbl>
            <c:dLbl>
              <c:idx val="5"/>
              <c:layout>
                <c:manualLayout>
                  <c:x val="-6.7779287741316599E-2"/>
                  <c:y val="-4.8187363144734749E-2"/>
                </c:manualLayout>
              </c:layout>
              <c:tx>
                <c:rich>
                  <a:bodyPr/>
                  <a:lstStyle/>
                  <a:p>
                    <a:fld id="{F9303430-D633-4833-A880-688C1C73E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C45-4F93-8655-D0D3CE4A9F32}"/>
                </c:ext>
              </c:extLst>
            </c:dLbl>
            <c:dLbl>
              <c:idx val="6"/>
              <c:layout>
                <c:manualLayout>
                  <c:x val="7.2432284796887694E-2"/>
                  <c:y val="-5.5605071843721141E-2"/>
                </c:manualLayout>
              </c:layout>
              <c:tx>
                <c:rich>
                  <a:bodyPr/>
                  <a:lstStyle/>
                  <a:p>
                    <a:fld id="{6B42FC6B-156B-400D-9ABD-1889D883F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C45-4F93-8655-D0D3CE4A9F32}"/>
                </c:ext>
              </c:extLst>
            </c:dLbl>
            <c:dLbl>
              <c:idx val="7"/>
              <c:layout>
                <c:manualLayout>
                  <c:x val="-0.1443147208121828"/>
                  <c:y val="-2.2225382698282205E-2"/>
                </c:manualLayout>
              </c:layout>
              <c:tx>
                <c:rich>
                  <a:bodyPr/>
                  <a:lstStyle/>
                  <a:p>
                    <a:fld id="{542C9A20-BE52-43A0-AAE9-57709DFD5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C45-4F93-8655-D0D3CE4A9F32}"/>
                </c:ext>
              </c:extLst>
            </c:dLbl>
            <c:dLbl>
              <c:idx val="8"/>
              <c:layout>
                <c:manualLayout>
                  <c:x val="-0.17899007907030501"/>
                  <c:y val="-0.16262453470991409"/>
                </c:manualLayout>
              </c:layout>
              <c:tx>
                <c:rich>
                  <a:bodyPr/>
                  <a:lstStyle/>
                  <a:p>
                    <a:fld id="{8F418412-3BF7-44EB-A260-CB88B7FCC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C45-4F93-8655-D0D3CE4A9F32}"/>
                </c:ext>
              </c:extLst>
            </c:dLbl>
            <c:dLbl>
              <c:idx val="9"/>
              <c:layout>
                <c:manualLayout>
                  <c:x val="-0.16911338912824575"/>
                  <c:y val="-8.2173740044487104E-2"/>
                </c:manualLayout>
              </c:layout>
              <c:tx>
                <c:rich>
                  <a:bodyPr/>
                  <a:lstStyle/>
                  <a:p>
                    <a:fld id="{2B959A0C-CC3A-4159-8869-A4D7E93C94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C45-4F93-8655-D0D3CE4A9F32}"/>
                </c:ext>
              </c:extLst>
            </c:dLbl>
            <c:dLbl>
              <c:idx val="10"/>
              <c:layout>
                <c:manualLayout>
                  <c:x val="-2.6920473773265591E-2"/>
                  <c:y val="-0.15945299362953164"/>
                </c:manualLayout>
              </c:layout>
              <c:tx>
                <c:rich>
                  <a:bodyPr/>
                  <a:lstStyle/>
                  <a:p>
                    <a:fld id="{23D06779-9496-47EB-90DA-777C21EB3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C45-4F93-8655-D0D3CE4A9F32}"/>
                </c:ext>
              </c:extLst>
            </c:dLbl>
            <c:dLbl>
              <c:idx val="11"/>
              <c:layout>
                <c:manualLayout>
                  <c:x val="-4.3669126264877269E-2"/>
                  <c:y val="9.2144991331802983E-2"/>
                </c:manualLayout>
              </c:layout>
              <c:tx>
                <c:rich>
                  <a:bodyPr/>
                  <a:lstStyle/>
                  <a:p>
                    <a:fld id="{3C4BFC28-F698-41D5-AD6F-657EEDD619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C45-4F93-8655-D0D3CE4A9F32}"/>
                </c:ext>
              </c:extLst>
            </c:dLbl>
            <c:dLbl>
              <c:idx val="12"/>
              <c:layout>
                <c:manualLayout>
                  <c:x val="1.193306420453776E-2"/>
                  <c:y val="-3.3351945746761792E-2"/>
                </c:manualLayout>
              </c:layout>
              <c:tx>
                <c:rich>
                  <a:bodyPr/>
                  <a:lstStyle/>
                  <a:p>
                    <a:fld id="{5F8EC1BB-6260-4FC4-B9E4-B6BF23A72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C45-4F93-8655-D0D3CE4A9F32}"/>
                </c:ext>
              </c:extLst>
            </c:dLbl>
            <c:dLbl>
              <c:idx val="13"/>
              <c:layout>
                <c:manualLayout>
                  <c:x val="0.14332095280542761"/>
                  <c:y val="0.12174902260833632"/>
                </c:manualLayout>
              </c:layout>
              <c:tx>
                <c:rich>
                  <a:bodyPr/>
                  <a:lstStyle/>
                  <a:p>
                    <a:fld id="{808E8FB2-EC01-4E01-941B-4544F15BA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C45-4F93-8655-D0D3CE4A9F32}"/>
                </c:ext>
              </c:extLst>
            </c:dLbl>
            <c:dLbl>
              <c:idx val="14"/>
              <c:layout>
                <c:manualLayout>
                  <c:x val="1.8028049524112517E-3"/>
                  <c:y val="-3.9623304697613951E-2"/>
                </c:manualLayout>
              </c:layout>
              <c:tx>
                <c:rich>
                  <a:bodyPr/>
                  <a:lstStyle/>
                  <a:p>
                    <a:fld id="{298F2042-D6B3-42B8-8E47-90425A34A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C45-4F93-8655-D0D3CE4A9F32}"/>
                </c:ext>
              </c:extLst>
            </c:dLbl>
            <c:dLbl>
              <c:idx val="15"/>
              <c:layout>
                <c:manualLayout>
                  <c:x val="-1.1779131382162198E-2"/>
                  <c:y val="0.10090963606486449"/>
                </c:manualLayout>
              </c:layout>
              <c:tx>
                <c:rich>
                  <a:bodyPr/>
                  <a:lstStyle/>
                  <a:p>
                    <a:fld id="{7E0BF287-4950-417C-82E0-EE7A6BE2C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C45-4F93-8655-D0D3CE4A9F32}"/>
                </c:ext>
              </c:extLst>
            </c:dLbl>
            <c:dLbl>
              <c:idx val="16"/>
              <c:layout>
                <c:manualLayout>
                  <c:x val="-2.3460303502671302E-2"/>
                  <c:y val="4.0825141243102707E-2"/>
                </c:manualLayout>
              </c:layout>
              <c:tx>
                <c:rich>
                  <a:bodyPr/>
                  <a:lstStyle/>
                  <a:p>
                    <a:fld id="{B9731440-DC91-4805-BAF2-3A52CD147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C45-4F93-8655-D0D3CE4A9F32}"/>
                </c:ext>
              </c:extLst>
            </c:dLbl>
            <c:dLbl>
              <c:idx val="17"/>
              <c:layout>
                <c:manualLayout>
                  <c:x val="9.932318104906937E-2"/>
                  <c:y val="2.5989723845129924E-2"/>
                </c:manualLayout>
              </c:layout>
              <c:tx>
                <c:rich>
                  <a:bodyPr/>
                  <a:lstStyle/>
                  <a:p>
                    <a:fld id="{12E71DFE-5404-476A-B13E-E38AB5E48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C45-4F93-8655-D0D3CE4A9F32}"/>
                </c:ext>
              </c:extLst>
            </c:dLbl>
            <c:dLbl>
              <c:idx val="18"/>
              <c:layout>
                <c:manualLayout>
                  <c:x val="-1.3536379018612522E-4"/>
                  <c:y val="2.2280869495636693E-2"/>
                </c:manualLayout>
              </c:layout>
              <c:tx>
                <c:rich>
                  <a:bodyPr/>
                  <a:lstStyle/>
                  <a:p>
                    <a:fld id="{068708B3-7A49-4684-813E-5C2689EF4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C45-4F93-8655-D0D3CE4A9F32}"/>
                </c:ext>
              </c:extLst>
            </c:dLbl>
            <c:dLbl>
              <c:idx val="19"/>
              <c:layout>
                <c:manualLayout>
                  <c:x val="-0.21841086845276422"/>
                  <c:y val="-5.6356395256866046E-2"/>
                </c:manualLayout>
              </c:layout>
              <c:tx>
                <c:rich>
                  <a:bodyPr/>
                  <a:lstStyle/>
                  <a:p>
                    <a:fld id="{27A0979E-8AE1-4378-8BE0-0AADE08DD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C45-4F93-8655-D0D3CE4A9F32}"/>
                </c:ext>
              </c:extLst>
            </c:dLbl>
            <c:dLbl>
              <c:idx val="20"/>
              <c:layout>
                <c:manualLayout>
                  <c:x val="5.7207547169811197E-2"/>
                  <c:y val="1.5394322250309071E-2"/>
                </c:manualLayout>
              </c:layout>
              <c:tx>
                <c:rich>
                  <a:bodyPr/>
                  <a:lstStyle/>
                  <a:p>
                    <a:fld id="{0CDABD89-0B49-41A3-9D22-EDCD2078C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C45-4F93-8655-D0D3CE4A9F32}"/>
                </c:ext>
              </c:extLst>
            </c:dLbl>
            <c:dLbl>
              <c:idx val="21"/>
              <c:layout>
                <c:manualLayout>
                  <c:x val="-7.2041994750656174E-2"/>
                  <c:y val="-0.12041953588827227"/>
                </c:manualLayout>
              </c:layout>
              <c:tx>
                <c:rich>
                  <a:bodyPr/>
                  <a:lstStyle/>
                  <a:p>
                    <a:fld id="{38FF4F01-4F17-469F-B5D5-32B927FFA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C45-4F93-8655-D0D3CE4A9F32}"/>
                </c:ext>
              </c:extLst>
            </c:dLbl>
            <c:dLbl>
              <c:idx val="22"/>
              <c:layout>
                <c:manualLayout>
                  <c:x val="-0.16493926938377987"/>
                  <c:y val="-0.1050443821367348"/>
                </c:manualLayout>
              </c:layout>
              <c:tx>
                <c:rich>
                  <a:bodyPr/>
                  <a:lstStyle/>
                  <a:p>
                    <a:fld id="{77768A71-4F6B-4468-824B-F6D90EE6D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CB5-41CD-92E9-8CF21CAAB4D6}"/>
                </c:ext>
              </c:extLst>
            </c:dLbl>
            <c:dLbl>
              <c:idx val="23"/>
              <c:layout>
                <c:manualLayout>
                  <c:x val="0.13505987223295202"/>
                  <c:y val="5.0805399786281326E-2"/>
                </c:manualLayout>
              </c:layout>
              <c:tx>
                <c:rich>
                  <a:bodyPr/>
                  <a:lstStyle/>
                  <a:p>
                    <a:fld id="{259BE5C4-1106-4CDD-89A4-9D93E76E9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37-42BF-89E6-760F7DD8A30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CB5-41CD-92E9-8CF21CAAB4D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CB5-41CD-92E9-8CF21CAAB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'Passing Stats'!$F$2:$F$27</c:f>
              <c:numCache>
                <c:formatCode>General</c:formatCode>
                <c:ptCount val="26"/>
                <c:pt idx="0">
                  <c:v>74.400000000000006</c:v>
                </c:pt>
                <c:pt idx="1">
                  <c:v>81.5</c:v>
                </c:pt>
                <c:pt idx="2">
                  <c:v>75.5</c:v>
                </c:pt>
                <c:pt idx="3">
                  <c:v>76.099999999999994</c:v>
                </c:pt>
                <c:pt idx="4">
                  <c:v>79.5</c:v>
                </c:pt>
                <c:pt idx="5">
                  <c:v>67.599999999999994</c:v>
                </c:pt>
                <c:pt idx="6">
                  <c:v>85.1</c:v>
                </c:pt>
                <c:pt idx="7">
                  <c:v>79.099999999999994</c:v>
                </c:pt>
                <c:pt idx="8">
                  <c:v>83.8</c:v>
                </c:pt>
                <c:pt idx="9">
                  <c:v>87.4</c:v>
                </c:pt>
                <c:pt idx="10">
                  <c:v>83</c:v>
                </c:pt>
                <c:pt idx="11">
                  <c:v>72</c:v>
                </c:pt>
                <c:pt idx="12">
                  <c:v>79.5</c:v>
                </c:pt>
                <c:pt idx="13">
                  <c:v>76.7</c:v>
                </c:pt>
                <c:pt idx="14">
                  <c:v>70.3</c:v>
                </c:pt>
                <c:pt idx="15">
                  <c:v>73.5</c:v>
                </c:pt>
                <c:pt idx="16">
                  <c:v>63.5</c:v>
                </c:pt>
                <c:pt idx="17">
                  <c:v>72.7</c:v>
                </c:pt>
                <c:pt idx="18">
                  <c:v>88</c:v>
                </c:pt>
                <c:pt idx="19">
                  <c:v>74.599999999999994</c:v>
                </c:pt>
                <c:pt idx="20">
                  <c:v>83.7</c:v>
                </c:pt>
                <c:pt idx="21">
                  <c:v>80.099999999999994</c:v>
                </c:pt>
                <c:pt idx="22">
                  <c:v>80.2</c:v>
                </c:pt>
                <c:pt idx="23">
                  <c:v>79.599999999999994</c:v>
                </c:pt>
              </c:numCache>
            </c:numRef>
          </c:xVal>
          <c:yVal>
            <c:numRef>
              <c:f>'Passing Stats'!$E$2:$E$27</c:f>
              <c:numCache>
                <c:formatCode>General</c:formatCode>
                <c:ptCount val="26"/>
                <c:pt idx="0">
                  <c:v>412.90909090909093</c:v>
                </c:pt>
                <c:pt idx="1">
                  <c:v>563.18181818181813</c:v>
                </c:pt>
                <c:pt idx="2">
                  <c:v>487.40909090909093</c:v>
                </c:pt>
                <c:pt idx="3">
                  <c:v>467.63636363636363</c:v>
                </c:pt>
                <c:pt idx="4">
                  <c:v>505.95454545454544</c:v>
                </c:pt>
                <c:pt idx="5">
                  <c:v>356.45454545454544</c:v>
                </c:pt>
                <c:pt idx="6">
                  <c:v>609.5</c:v>
                </c:pt>
                <c:pt idx="7">
                  <c:v>529.77272727272725</c:v>
                </c:pt>
                <c:pt idx="8">
                  <c:v>566.77272727272725</c:v>
                </c:pt>
                <c:pt idx="9">
                  <c:v>693.77272727272725</c:v>
                </c:pt>
                <c:pt idx="10">
                  <c:v>575.68181818181813</c:v>
                </c:pt>
                <c:pt idx="11">
                  <c:v>415.27272727272725</c:v>
                </c:pt>
                <c:pt idx="12">
                  <c:v>493.09090909090907</c:v>
                </c:pt>
                <c:pt idx="13">
                  <c:v>454.27272727272725</c:v>
                </c:pt>
                <c:pt idx="14">
                  <c:v>407.81818181818181</c:v>
                </c:pt>
                <c:pt idx="15">
                  <c:v>428.27272727272725</c:v>
                </c:pt>
                <c:pt idx="16">
                  <c:v>323.40909090909093</c:v>
                </c:pt>
                <c:pt idx="17">
                  <c:v>403.86363636363637</c:v>
                </c:pt>
                <c:pt idx="18">
                  <c:v>707.59090909090912</c:v>
                </c:pt>
                <c:pt idx="19">
                  <c:v>483.18181818181819</c:v>
                </c:pt>
                <c:pt idx="20">
                  <c:v>581.4545454545455</c:v>
                </c:pt>
                <c:pt idx="21">
                  <c:v>551.22727272727275</c:v>
                </c:pt>
                <c:pt idx="22">
                  <c:v>538.77272727272725</c:v>
                </c:pt>
                <c:pt idx="23">
                  <c:v>501.90909090909093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'Passing Stats'!$A$2:$A$25</c15:f>
                <c15:dlblRangeCache>
                  <c:ptCount val="24"/>
                  <c:pt idx="0">
                    <c:v>Birmingham City</c:v>
                  </c:pt>
                  <c:pt idx="1">
                    <c:v>Blackburn</c:v>
                  </c:pt>
                  <c:pt idx="2">
                    <c:v>Bristol City</c:v>
                  </c:pt>
                  <c:pt idx="3">
                    <c:v>Cardiff City</c:v>
                  </c:pt>
                  <c:pt idx="4">
                    <c:v>Coventry City</c:v>
                  </c:pt>
                  <c:pt idx="5">
                    <c:v>Huddersfield</c:v>
                  </c:pt>
                  <c:pt idx="6">
                    <c:v>Hull City</c:v>
                  </c:pt>
                  <c:pt idx="7">
                    <c:v>Ipswich Town</c:v>
                  </c:pt>
                  <c:pt idx="8">
                    <c:v>Leeds United</c:v>
                  </c:pt>
                  <c:pt idx="9">
                    <c:v>Leicester City</c:v>
                  </c:pt>
                  <c:pt idx="10">
                    <c:v>Middlesbrough</c:v>
                  </c:pt>
                  <c:pt idx="11">
                    <c:v>Millwall</c:v>
                  </c:pt>
                  <c:pt idx="12">
                    <c:v>Norwich City</c:v>
                  </c:pt>
                  <c:pt idx="13">
                    <c:v>Plymouth Argyle</c:v>
                  </c:pt>
                  <c:pt idx="14">
                    <c:v>Preston</c:v>
                  </c:pt>
                  <c:pt idx="15">
                    <c:v>QPR</c:v>
                  </c:pt>
                  <c:pt idx="16">
                    <c:v>Rotherham Utd</c:v>
                  </c:pt>
                  <c:pt idx="17">
                    <c:v>Sheffield Weds</c:v>
                  </c:pt>
                  <c:pt idx="18">
                    <c:v>Southampton</c:v>
                  </c:pt>
                  <c:pt idx="19">
                    <c:v>Stoke City</c:v>
                  </c:pt>
                  <c:pt idx="20">
                    <c:v>Sunderland</c:v>
                  </c:pt>
                  <c:pt idx="21">
                    <c:v>Swansea City</c:v>
                  </c:pt>
                  <c:pt idx="22">
                    <c:v>Watford</c:v>
                  </c:pt>
                  <c:pt idx="23">
                    <c:v>West Brom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45-4F93-8655-D0D3CE4A9F3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'Passing Stats'!$B$27</c:f>
              <c:numCache>
                <c:formatCode>General</c:formatCode>
                <c:ptCount val="1"/>
                <c:pt idx="0">
                  <c:v>77.808333333333323</c:v>
                </c:pt>
              </c:numCache>
            </c:numRef>
          </c:xVal>
          <c:yVal>
            <c:numRef>
              <c:f>'Passing Stats'!$C$27</c:f>
              <c:numCache>
                <c:formatCode>General</c:formatCode>
                <c:ptCount val="1"/>
                <c:pt idx="0">
                  <c:v>502.46590909090901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45-4F93-8655-D0D3CE4A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1631"/>
        <c:axId val="1545873952"/>
      </c:scatterChart>
      <c:valAx>
        <c:axId val="467721631"/>
        <c:scaling>
          <c:orientation val="minMax"/>
          <c:max val="90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 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73952"/>
        <c:crosses val="autoZero"/>
        <c:crossBetween val="midCat"/>
      </c:valAx>
      <c:valAx>
        <c:axId val="1545873952"/>
        <c:scaling>
          <c:orientation val="minMax"/>
          <c:max val="800"/>
          <c:min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Passes Attempted/90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2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Defending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0.15647255711293351"/>
                  <c:y val="1.7842845751292159E-3"/>
                </c:manualLayout>
              </c:layout>
              <c:tx>
                <c:rich>
                  <a:bodyPr/>
                  <a:lstStyle/>
                  <a:p>
                    <a:fld id="{2C4A52CE-228B-46ED-9402-DA2E62BC8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2BB-49A9-B62E-3F8ECF654DA5}"/>
                </c:ext>
              </c:extLst>
            </c:dLbl>
            <c:dLbl>
              <c:idx val="1"/>
              <c:layout>
                <c:manualLayout>
                  <c:x val="3.6120858336691382E-2"/>
                  <c:y val="-0.11854324251903936"/>
                </c:manualLayout>
              </c:layout>
              <c:tx>
                <c:rich>
                  <a:bodyPr/>
                  <a:lstStyle/>
                  <a:p>
                    <a:fld id="{DB2BAE53-9542-4320-81E0-B687CB7B5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2BB-49A9-B62E-3F8ECF654DA5}"/>
                </c:ext>
              </c:extLst>
            </c:dLbl>
            <c:dLbl>
              <c:idx val="2"/>
              <c:layout>
                <c:manualLayout>
                  <c:x val="-5.0869699378863951E-2"/>
                  <c:y val="0.14734683764160475"/>
                </c:manualLayout>
              </c:layout>
              <c:tx>
                <c:rich>
                  <a:bodyPr/>
                  <a:lstStyle/>
                  <a:p>
                    <a:fld id="{CD788EC4-B622-4346-92BF-E26ACE13BD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2BB-49A9-B62E-3F8ECF654DA5}"/>
                </c:ext>
              </c:extLst>
            </c:dLbl>
            <c:dLbl>
              <c:idx val="3"/>
              <c:layout>
                <c:manualLayout>
                  <c:x val="-2.9600490810018178E-2"/>
                  <c:y val="0.11174992655438365"/>
                </c:manualLayout>
              </c:layout>
              <c:tx>
                <c:rich>
                  <a:bodyPr/>
                  <a:lstStyle/>
                  <a:p>
                    <a:fld id="{D5A9C38C-8906-4B0E-A0C7-F13CDAD50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2BB-49A9-B62E-3F8ECF654DA5}"/>
                </c:ext>
              </c:extLst>
            </c:dLbl>
            <c:dLbl>
              <c:idx val="4"/>
              <c:layout>
                <c:manualLayout>
                  <c:x val="-0.24807745504840942"/>
                  <c:y val="2.3081899126077686E-2"/>
                </c:manualLayout>
              </c:layout>
              <c:tx>
                <c:rich>
                  <a:bodyPr/>
                  <a:lstStyle/>
                  <a:p>
                    <a:fld id="{FFE0249D-C3E0-4F4F-9690-81EAA6635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2BB-49A9-B62E-3F8ECF654DA5}"/>
                </c:ext>
              </c:extLst>
            </c:dLbl>
            <c:dLbl>
              <c:idx val="5"/>
              <c:layout>
                <c:manualLayout>
                  <c:x val="-2.9736220472440945E-2"/>
                  <c:y val="7.8576248292224052E-2"/>
                </c:manualLayout>
              </c:layout>
              <c:tx>
                <c:rich>
                  <a:bodyPr/>
                  <a:lstStyle/>
                  <a:p>
                    <a:fld id="{DDA96938-0A05-4DC9-93EB-E475C7BBB7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2BB-49A9-B62E-3F8ECF654DA5}"/>
                </c:ext>
              </c:extLst>
            </c:dLbl>
            <c:dLbl>
              <c:idx val="6"/>
              <c:layout>
                <c:manualLayout>
                  <c:x val="-7.6328508728940009E-2"/>
                  <c:y val="-0.11901660355186233"/>
                </c:manualLayout>
              </c:layout>
              <c:tx>
                <c:rich>
                  <a:bodyPr/>
                  <a:lstStyle/>
                  <a:p>
                    <a:fld id="{EC3957B6-86BB-4964-87BA-55156BD96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2BB-49A9-B62E-3F8ECF654DA5}"/>
                </c:ext>
              </c:extLst>
            </c:dLbl>
            <c:dLbl>
              <c:idx val="7"/>
              <c:layout>
                <c:manualLayout>
                  <c:x val="1.6129629629629494E-2"/>
                  <c:y val="3.9567212928195688E-3"/>
                </c:manualLayout>
              </c:layout>
              <c:tx>
                <c:rich>
                  <a:bodyPr/>
                  <a:lstStyle/>
                  <a:p>
                    <a:fld id="{2CE3FD97-F34E-4A8C-B982-9C49CB1CAD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2BB-49A9-B62E-3F8ECF654DA5}"/>
                </c:ext>
              </c:extLst>
            </c:dLbl>
            <c:dLbl>
              <c:idx val="8"/>
              <c:layout>
                <c:manualLayout>
                  <c:x val="-3.9101730540943791E-2"/>
                  <c:y val="-0.12157912917711854"/>
                </c:manualLayout>
              </c:layout>
              <c:tx>
                <c:rich>
                  <a:bodyPr/>
                  <a:lstStyle/>
                  <a:p>
                    <a:fld id="{0937E081-EDF1-48E1-A838-63EF1E21E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2BB-49A9-B62E-3F8ECF654DA5}"/>
                </c:ext>
              </c:extLst>
            </c:dLbl>
            <c:dLbl>
              <c:idx val="9"/>
              <c:layout>
                <c:manualLayout>
                  <c:x val="-6.015660905457354E-2"/>
                  <c:y val="0.12595519655983942"/>
                </c:manualLayout>
              </c:layout>
              <c:tx>
                <c:rich>
                  <a:bodyPr/>
                  <a:lstStyle/>
                  <a:p>
                    <a:fld id="{179FCC7D-F01C-4D2E-A75D-CB8F68837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2BB-49A9-B62E-3F8ECF654DA5}"/>
                </c:ext>
              </c:extLst>
            </c:dLbl>
            <c:dLbl>
              <c:idx val="10"/>
              <c:layout>
                <c:manualLayout>
                  <c:x val="-0.18086915484112204"/>
                  <c:y val="1.9694119185286341E-2"/>
                </c:manualLayout>
              </c:layout>
              <c:tx>
                <c:rich>
                  <a:bodyPr/>
                  <a:lstStyle/>
                  <a:p>
                    <a:fld id="{B8828239-CADC-4CB0-B8D5-930818164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2BB-49A9-B62E-3F8ECF654D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638E1DD-46BF-4E1E-81D4-816132DC4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2BB-49A9-B62E-3F8ECF654DA5}"/>
                </c:ext>
              </c:extLst>
            </c:dLbl>
            <c:dLbl>
              <c:idx val="12"/>
              <c:layout>
                <c:manualLayout>
                  <c:x val="-4.8381379713427937E-2"/>
                  <c:y val="4.8940405742640102E-2"/>
                </c:manualLayout>
              </c:layout>
              <c:tx>
                <c:rich>
                  <a:bodyPr/>
                  <a:lstStyle/>
                  <a:p>
                    <a:fld id="{6CA2582D-3E47-4A6E-84B7-4CB504C303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2BB-49A9-B62E-3F8ECF654DA5}"/>
                </c:ext>
              </c:extLst>
            </c:dLbl>
            <c:dLbl>
              <c:idx val="13"/>
              <c:layout>
                <c:manualLayout>
                  <c:x val="1.7831795921775338E-3"/>
                  <c:y val="-0.14734360926286427"/>
                </c:manualLayout>
              </c:layout>
              <c:tx>
                <c:rich>
                  <a:bodyPr/>
                  <a:lstStyle/>
                  <a:p>
                    <a:fld id="{F37DF688-0539-4715-9860-AEC929A968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2BB-49A9-B62E-3F8ECF654DA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43621C2-E450-4482-9224-6BFEE5585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2BB-49A9-B62E-3F8ECF654DA5}"/>
                </c:ext>
              </c:extLst>
            </c:dLbl>
            <c:dLbl>
              <c:idx val="15"/>
              <c:layout>
                <c:manualLayout>
                  <c:x val="-7.1756134217662623E-2"/>
                  <c:y val="-2.2504019331531899E-2"/>
                </c:manualLayout>
              </c:layout>
              <c:tx>
                <c:rich>
                  <a:bodyPr/>
                  <a:lstStyle/>
                  <a:p>
                    <a:fld id="{806E9C88-EC3B-47C5-87A0-3A29388AD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2BB-49A9-B62E-3F8ECF654DA5}"/>
                </c:ext>
              </c:extLst>
            </c:dLbl>
            <c:dLbl>
              <c:idx val="16"/>
              <c:layout>
                <c:manualLayout>
                  <c:x val="-0.11421149119845496"/>
                  <c:y val="4.1865413732877395E-2"/>
                </c:manualLayout>
              </c:layout>
              <c:tx>
                <c:rich>
                  <a:bodyPr/>
                  <a:lstStyle/>
                  <a:p>
                    <a:fld id="{41C1209A-D4F0-4033-9BE6-344316487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2BB-49A9-B62E-3F8ECF654DA5}"/>
                </c:ext>
              </c:extLst>
            </c:dLbl>
            <c:dLbl>
              <c:idx val="17"/>
              <c:layout>
                <c:manualLayout>
                  <c:x val="4.2037037037037039E-2"/>
                  <c:y val="-5.1026088075162554E-2"/>
                </c:manualLayout>
              </c:layout>
              <c:tx>
                <c:rich>
                  <a:bodyPr/>
                  <a:lstStyle/>
                  <a:p>
                    <a:fld id="{7982128F-E967-4499-BC4E-606680E4D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2BB-49A9-B62E-3F8ECF654D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8492339-A8BB-4304-A266-60DAD2347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2BB-49A9-B62E-3F8ECF654DA5}"/>
                </c:ext>
              </c:extLst>
            </c:dLbl>
            <c:dLbl>
              <c:idx val="19"/>
              <c:layout>
                <c:manualLayout>
                  <c:x val="-9.4472070659217394E-2"/>
                  <c:y val="-0.12810711276404102"/>
                </c:manualLayout>
              </c:layout>
              <c:tx>
                <c:rich>
                  <a:bodyPr/>
                  <a:lstStyle/>
                  <a:p>
                    <a:fld id="{0C94ADE7-E4FD-4F27-9457-5BA64F11F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2BB-49A9-B62E-3F8ECF654DA5}"/>
                </c:ext>
              </c:extLst>
            </c:dLbl>
            <c:dLbl>
              <c:idx val="20"/>
              <c:layout>
                <c:manualLayout>
                  <c:x val="-0.12704472106961734"/>
                  <c:y val="-0.10248185651147849"/>
                </c:manualLayout>
              </c:layout>
              <c:tx>
                <c:rich>
                  <a:bodyPr/>
                  <a:lstStyle/>
                  <a:p>
                    <a:fld id="{7F8F95E7-2DCE-4F8D-B586-EFAE73C49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65E-414B-89D5-AFDD05674526}"/>
                </c:ext>
              </c:extLst>
            </c:dLbl>
            <c:dLbl>
              <c:idx val="21"/>
              <c:layout>
                <c:manualLayout>
                  <c:x val="-4.0488777077139285E-2"/>
                  <c:y val="-8.7106702759940979E-2"/>
                </c:manualLayout>
              </c:layout>
              <c:tx>
                <c:rich>
                  <a:bodyPr/>
                  <a:lstStyle/>
                  <a:p>
                    <a:fld id="{986B00D7-FF5A-4607-A5EC-30FF4F56F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65E-414B-89D5-AFDD05674526}"/>
                </c:ext>
              </c:extLst>
            </c:dLbl>
            <c:dLbl>
              <c:idx val="22"/>
              <c:layout>
                <c:manualLayout>
                  <c:x val="-6.7026351996456873E-2"/>
                  <c:y val="-0.13323216401455357"/>
                </c:manualLayout>
              </c:layout>
              <c:tx>
                <c:rich>
                  <a:bodyPr/>
                  <a:lstStyle/>
                  <a:p>
                    <a:fld id="{7D4E23AE-CCDB-4395-BC7F-E5B952DB0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65E-414B-89D5-AFDD05674526}"/>
                </c:ext>
              </c:extLst>
            </c:dLbl>
            <c:dLbl>
              <c:idx val="23"/>
              <c:layout>
                <c:manualLayout>
                  <c:x val="8.0344002642823167E-2"/>
                  <c:y val="4.7909745829741668E-2"/>
                </c:manualLayout>
              </c:layout>
              <c:tx>
                <c:rich>
                  <a:bodyPr/>
                  <a:lstStyle/>
                  <a:p>
                    <a:fld id="{69BA525E-20E2-4CA6-A01F-7046BFF2F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D5-4B7B-9B54-CA56D6794D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'Defending Stats'!$L$2:$L$25</c:f>
              <c:numCache>
                <c:formatCode>General</c:formatCode>
                <c:ptCount val="24"/>
                <c:pt idx="0">
                  <c:v>21.636363636363637</c:v>
                </c:pt>
                <c:pt idx="1">
                  <c:v>19.90909090909091</c:v>
                </c:pt>
                <c:pt idx="2">
                  <c:v>18.318181818181817</c:v>
                </c:pt>
                <c:pt idx="3">
                  <c:v>20.363636363636363</c:v>
                </c:pt>
                <c:pt idx="4">
                  <c:v>17.181818181818183</c:v>
                </c:pt>
                <c:pt idx="5">
                  <c:v>23.818181818181817</c:v>
                </c:pt>
                <c:pt idx="6">
                  <c:v>18.681818181818183</c:v>
                </c:pt>
                <c:pt idx="7">
                  <c:v>16.954545454545453</c:v>
                </c:pt>
                <c:pt idx="8">
                  <c:v>16.681818181818183</c:v>
                </c:pt>
                <c:pt idx="9">
                  <c:v>17.318181818181817</c:v>
                </c:pt>
                <c:pt idx="10">
                  <c:v>16.318181818181817</c:v>
                </c:pt>
                <c:pt idx="11">
                  <c:v>20.59090909090909</c:v>
                </c:pt>
                <c:pt idx="12">
                  <c:v>21.863636363636363</c:v>
                </c:pt>
                <c:pt idx="13">
                  <c:v>23</c:v>
                </c:pt>
                <c:pt idx="14">
                  <c:v>22.227272727272727</c:v>
                </c:pt>
                <c:pt idx="15">
                  <c:v>19.227272727272727</c:v>
                </c:pt>
                <c:pt idx="16">
                  <c:v>22.818181818181817</c:v>
                </c:pt>
                <c:pt idx="17">
                  <c:v>19.136363636363637</c:v>
                </c:pt>
                <c:pt idx="18">
                  <c:v>16.136363636363637</c:v>
                </c:pt>
                <c:pt idx="19">
                  <c:v>18.09090909090909</c:v>
                </c:pt>
                <c:pt idx="20">
                  <c:v>15.772727272727273</c:v>
                </c:pt>
                <c:pt idx="21">
                  <c:v>19.59090909090909</c:v>
                </c:pt>
                <c:pt idx="22">
                  <c:v>15.954545454545455</c:v>
                </c:pt>
                <c:pt idx="23">
                  <c:v>18.272727272727273</c:v>
                </c:pt>
              </c:numCache>
            </c:numRef>
          </c:xVal>
          <c:yVal>
            <c:numRef>
              <c:f>'Defending Stats'!$H$2:$H$25</c:f>
              <c:numCache>
                <c:formatCode>General</c:formatCode>
                <c:ptCount val="24"/>
                <c:pt idx="0">
                  <c:v>13.409090909090908</c:v>
                </c:pt>
                <c:pt idx="1">
                  <c:v>14.272727272727273</c:v>
                </c:pt>
                <c:pt idx="2">
                  <c:v>10.409090909090908</c:v>
                </c:pt>
                <c:pt idx="3">
                  <c:v>11.227272727272727</c:v>
                </c:pt>
                <c:pt idx="4">
                  <c:v>10.272727272727273</c:v>
                </c:pt>
                <c:pt idx="5">
                  <c:v>11.909090909090908</c:v>
                </c:pt>
                <c:pt idx="6">
                  <c:v>11.454545454545455</c:v>
                </c:pt>
                <c:pt idx="7">
                  <c:v>11.863636363636363</c:v>
                </c:pt>
                <c:pt idx="8">
                  <c:v>11.727272727272727</c:v>
                </c:pt>
                <c:pt idx="9">
                  <c:v>10.545454545454545</c:v>
                </c:pt>
                <c:pt idx="10">
                  <c:v>10.590909090909092</c:v>
                </c:pt>
                <c:pt idx="11">
                  <c:v>12.045454545454545</c:v>
                </c:pt>
                <c:pt idx="12">
                  <c:v>12.909090909090908</c:v>
                </c:pt>
                <c:pt idx="13">
                  <c:v>13.409090909090908</c:v>
                </c:pt>
                <c:pt idx="14">
                  <c:v>13.636363636363637</c:v>
                </c:pt>
                <c:pt idx="15">
                  <c:v>10.818181818181818</c:v>
                </c:pt>
                <c:pt idx="16">
                  <c:v>11.409090909090908</c:v>
                </c:pt>
                <c:pt idx="17">
                  <c:v>12.272727272727273</c:v>
                </c:pt>
                <c:pt idx="18">
                  <c:v>9.5</c:v>
                </c:pt>
                <c:pt idx="19">
                  <c:v>9.9090909090909083</c:v>
                </c:pt>
                <c:pt idx="20">
                  <c:v>10.863636363636363</c:v>
                </c:pt>
                <c:pt idx="21">
                  <c:v>10.863636363636363</c:v>
                </c:pt>
                <c:pt idx="22">
                  <c:v>11.227272727272727</c:v>
                </c:pt>
                <c:pt idx="23">
                  <c:v>9.8181818181818183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'Defending Stats'!$A$2:$A$25</c15:f>
                <c15:dlblRangeCache>
                  <c:ptCount val="24"/>
                  <c:pt idx="0">
                    <c:v>Birmingham City</c:v>
                  </c:pt>
                  <c:pt idx="1">
                    <c:v>Blackburn</c:v>
                  </c:pt>
                  <c:pt idx="2">
                    <c:v>Bristol City</c:v>
                  </c:pt>
                  <c:pt idx="3">
                    <c:v>Cardiff City</c:v>
                  </c:pt>
                  <c:pt idx="4">
                    <c:v>Coventry City</c:v>
                  </c:pt>
                  <c:pt idx="5">
                    <c:v>Huddersfield</c:v>
                  </c:pt>
                  <c:pt idx="6">
                    <c:v>Hull City</c:v>
                  </c:pt>
                  <c:pt idx="7">
                    <c:v>Ipswich Town</c:v>
                  </c:pt>
                  <c:pt idx="8">
                    <c:v>Leeds United</c:v>
                  </c:pt>
                  <c:pt idx="9">
                    <c:v>Leicester City</c:v>
                  </c:pt>
                  <c:pt idx="10">
                    <c:v>Middlesbrough</c:v>
                  </c:pt>
                  <c:pt idx="11">
                    <c:v>Millwall</c:v>
                  </c:pt>
                  <c:pt idx="12">
                    <c:v>Norwich City</c:v>
                  </c:pt>
                  <c:pt idx="13">
                    <c:v>Plymouth Argyle</c:v>
                  </c:pt>
                  <c:pt idx="14">
                    <c:v>Preston</c:v>
                  </c:pt>
                  <c:pt idx="15">
                    <c:v>QPR</c:v>
                  </c:pt>
                  <c:pt idx="16">
                    <c:v>Rotherham Utd</c:v>
                  </c:pt>
                  <c:pt idx="17">
                    <c:v>Sheffield Weds</c:v>
                  </c:pt>
                  <c:pt idx="18">
                    <c:v>Southampton</c:v>
                  </c:pt>
                  <c:pt idx="19">
                    <c:v>Stoke City</c:v>
                  </c:pt>
                  <c:pt idx="20">
                    <c:v>Sunderland</c:v>
                  </c:pt>
                  <c:pt idx="21">
                    <c:v>Swansea City</c:v>
                  </c:pt>
                  <c:pt idx="22">
                    <c:v>Watford</c:v>
                  </c:pt>
                  <c:pt idx="23">
                    <c:v>West Brom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2BB-49A9-B62E-3F8ECF654DA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'Defending Stats'!$B$28</c:f>
              <c:numCache>
                <c:formatCode>General</c:formatCode>
                <c:ptCount val="1"/>
                <c:pt idx="0">
                  <c:v>19.160984848484844</c:v>
                </c:pt>
              </c:numCache>
            </c:numRef>
          </c:xVal>
          <c:yVal>
            <c:numRef>
              <c:f>'Defending Stats'!$C$28</c:f>
              <c:numCache>
                <c:formatCode>General</c:formatCode>
                <c:ptCount val="1"/>
                <c:pt idx="0">
                  <c:v>11.515151515151516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B-49A9-B62E-3F8ECF65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7455"/>
        <c:axId val="1325223968"/>
      </c:scatterChart>
      <c:valAx>
        <c:axId val="464357455"/>
        <c:scaling>
          <c:orientation val="minMax"/>
          <c:max val="25"/>
          <c:min val="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Clearances/90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23968"/>
        <c:crosses val="autoZero"/>
        <c:crossBetween val="midCat"/>
      </c:valAx>
      <c:valAx>
        <c:axId val="1325223968"/>
        <c:scaling>
          <c:orientation val="minMax"/>
          <c:max val="16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Blocks/90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Tackling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7.2722222222222216E-2"/>
                  <c:y val="-0.15885742026711605"/>
                </c:manualLayout>
              </c:layout>
              <c:tx>
                <c:rich>
                  <a:bodyPr/>
                  <a:lstStyle/>
                  <a:p>
                    <a:fld id="{5220F1D6-CA4C-4A74-B95E-ACE16E40F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88A-472E-82D7-038D51FFEC4C}"/>
                </c:ext>
              </c:extLst>
            </c:dLbl>
            <c:dLbl>
              <c:idx val="1"/>
              <c:layout>
                <c:manualLayout>
                  <c:x val="-0.10601399825021879"/>
                  <c:y val="-9.4794279635709744E-2"/>
                </c:manualLayout>
              </c:layout>
              <c:tx>
                <c:rich>
                  <a:bodyPr/>
                  <a:lstStyle/>
                  <a:p>
                    <a:fld id="{D3A681FD-808E-404E-901C-DD4508457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88A-472E-82D7-038D51FFEC4C}"/>
                </c:ext>
              </c:extLst>
            </c:dLbl>
            <c:dLbl>
              <c:idx val="2"/>
              <c:layout>
                <c:manualLayout>
                  <c:x val="-5.8453776611256926E-2"/>
                  <c:y val="-5.3793869631609752E-2"/>
                </c:manualLayout>
              </c:layout>
              <c:tx>
                <c:rich>
                  <a:bodyPr/>
                  <a:lstStyle/>
                  <a:p>
                    <a:fld id="{97F0E234-9AF3-4C8E-926B-A9D4D1DF6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88A-472E-82D7-038D51FFEC4C}"/>
                </c:ext>
              </c:extLst>
            </c:dLbl>
            <c:dLbl>
              <c:idx val="3"/>
              <c:layout>
                <c:manualLayout>
                  <c:x val="0.11146296296296296"/>
                  <c:y val="3.5894527252359136E-2"/>
                </c:manualLayout>
              </c:layout>
              <c:tx>
                <c:rich>
                  <a:bodyPr/>
                  <a:lstStyle/>
                  <a:p>
                    <a:fld id="{EF410A3B-C23D-495D-B529-5133D1F01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88A-472E-82D7-038D51FFEC4C}"/>
                </c:ext>
              </c:extLst>
            </c:dLbl>
            <c:dLbl>
              <c:idx val="4"/>
              <c:layout>
                <c:manualLayout>
                  <c:x val="-0.22181029454651502"/>
                  <c:y val="-4.3543767130584742E-2"/>
                </c:manualLayout>
              </c:layout>
              <c:tx>
                <c:rich>
                  <a:bodyPr/>
                  <a:lstStyle/>
                  <a:p>
                    <a:fld id="{C12E2E3C-CA9A-451D-B6D3-C475ADC33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88A-472E-82D7-038D51FFEC4C}"/>
                </c:ext>
              </c:extLst>
            </c:dLbl>
            <c:dLbl>
              <c:idx val="5"/>
              <c:layout>
                <c:manualLayout>
                  <c:x val="-0.17047696121318176"/>
                  <c:y val="1.5394322250309024E-2"/>
                </c:manualLayout>
              </c:layout>
              <c:tx>
                <c:rich>
                  <a:bodyPr/>
                  <a:lstStyle/>
                  <a:p>
                    <a:fld id="{BFC7FE6C-9DF6-424B-8421-C8C3707782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88A-472E-82D7-038D51FFEC4C}"/>
                </c:ext>
              </c:extLst>
            </c:dLbl>
            <c:dLbl>
              <c:idx val="6"/>
              <c:layout>
                <c:manualLayout>
                  <c:x val="2.0013852435112344E-2"/>
                  <c:y val="-3.3293664629559683E-2"/>
                </c:manualLayout>
              </c:layout>
              <c:tx>
                <c:rich>
                  <a:bodyPr/>
                  <a:lstStyle/>
                  <a:p>
                    <a:fld id="{27BF1C06-0F95-4EB7-92B4-37E019835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88A-472E-82D7-038D51FFEC4C}"/>
                </c:ext>
              </c:extLst>
            </c:dLbl>
            <c:dLbl>
              <c:idx val="7"/>
              <c:layout>
                <c:manualLayout>
                  <c:x val="7.9092592592592589E-2"/>
                  <c:y val="-8.198165150942853E-2"/>
                </c:manualLayout>
              </c:layout>
              <c:tx>
                <c:rich>
                  <a:bodyPr/>
                  <a:lstStyle/>
                  <a:p>
                    <a:fld id="{C8A0A829-6A05-472B-9329-E6CCE4D91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88A-472E-82D7-038D51FFEC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657B633-5E09-45F2-B564-A9DBF80F2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88A-472E-82D7-038D51FFEC4C}"/>
                </c:ext>
              </c:extLst>
            </c:dLbl>
            <c:dLbl>
              <c:idx val="9"/>
              <c:layout>
                <c:manualLayout>
                  <c:x val="-7.6999999999999999E-2"/>
                  <c:y val="-0.17935762526916607"/>
                </c:manualLayout>
              </c:layout>
              <c:tx>
                <c:rich>
                  <a:bodyPr/>
                  <a:lstStyle/>
                  <a:p>
                    <a:fld id="{0E91E599-1E0D-4D0E-8BBC-0C00F6DD4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88A-472E-82D7-038D51FFEC4C}"/>
                </c:ext>
              </c:extLst>
            </c:dLbl>
            <c:dLbl>
              <c:idx val="10"/>
              <c:layout>
                <c:manualLayout>
                  <c:x val="-6.8143627879848359E-2"/>
                  <c:y val="9.4832616633252945E-2"/>
                </c:manualLayout>
              </c:layout>
              <c:tx>
                <c:rich>
                  <a:bodyPr/>
                  <a:lstStyle/>
                  <a:p>
                    <a:fld id="{471ABD92-6473-4B15-ABFF-96FD38AD5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88A-472E-82D7-038D51FFEC4C}"/>
                </c:ext>
              </c:extLst>
            </c:dLbl>
            <c:dLbl>
              <c:idx val="11"/>
              <c:layout>
                <c:manualLayout>
                  <c:x val="-0.19012510936132987"/>
                  <c:y val="2.0519373500821527E-2"/>
                </c:manualLayout>
              </c:layout>
              <c:tx>
                <c:rich>
                  <a:bodyPr/>
                  <a:lstStyle/>
                  <a:p>
                    <a:fld id="{F4E6CC11-AAF8-46DC-A96B-D40437D4C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88A-472E-82D7-038D51FFEC4C}"/>
                </c:ext>
              </c:extLst>
            </c:dLbl>
            <c:dLbl>
              <c:idx val="12"/>
              <c:layout>
                <c:manualLayout>
                  <c:x val="-0.24990288713910758"/>
                  <c:y val="-2.5433571264846509E-3"/>
                </c:manualLayout>
              </c:layout>
              <c:tx>
                <c:rich>
                  <a:bodyPr/>
                  <a:lstStyle/>
                  <a:p>
                    <a:fld id="{62F14D35-83B3-46E3-9A94-F6033C0B95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88A-472E-82D7-038D51FFEC4C}"/>
                </c:ext>
              </c:extLst>
            </c:dLbl>
            <c:dLbl>
              <c:idx val="13"/>
              <c:layout>
                <c:manualLayout>
                  <c:x val="-0.22357407407407415"/>
                  <c:y val="-3.5856190254815935E-2"/>
                </c:manualLayout>
              </c:layout>
              <c:tx>
                <c:rich>
                  <a:bodyPr/>
                  <a:lstStyle/>
                  <a:p>
                    <a:fld id="{3362F101-5886-4447-9622-EFE5CAC5A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88A-472E-82D7-038D51FFEC4C}"/>
                </c:ext>
              </c:extLst>
            </c:dLbl>
            <c:dLbl>
              <c:idx val="14"/>
              <c:layout>
                <c:manualLayout>
                  <c:x val="-0.14025473899095947"/>
                  <c:y val="3.5894527252359046E-2"/>
                </c:manualLayout>
              </c:layout>
              <c:tx>
                <c:rich>
                  <a:bodyPr/>
                  <a:lstStyle/>
                  <a:p>
                    <a:fld id="{3CFC8950-4746-4314-93F3-26282CA11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88A-472E-82D7-038D51FFEC4C}"/>
                </c:ext>
              </c:extLst>
            </c:dLbl>
            <c:dLbl>
              <c:idx val="15"/>
              <c:layout>
                <c:manualLayout>
                  <c:x val="-7.2871099445902593E-3"/>
                  <c:y val="6.4082309130177914E-2"/>
                </c:manualLayout>
              </c:layout>
              <c:tx>
                <c:rich>
                  <a:bodyPr/>
                  <a:lstStyle/>
                  <a:p>
                    <a:fld id="{0719EF49-FB0B-4D27-AE1A-6837F4E15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88A-472E-82D7-038D51FFEC4C}"/>
                </c:ext>
              </c:extLst>
            </c:dLbl>
            <c:dLbl>
              <c:idx val="16"/>
              <c:layout>
                <c:manualLayout>
                  <c:x val="-0.22382414698162731"/>
                  <c:y val="2.5644424751334126E-2"/>
                </c:manualLayout>
              </c:layout>
              <c:tx>
                <c:rich>
                  <a:bodyPr/>
                  <a:lstStyle/>
                  <a:p>
                    <a:fld id="{2CAA1537-0E28-4614-95A9-3BE1E08A9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88A-472E-82D7-038D51FFEC4C}"/>
                </c:ext>
              </c:extLst>
            </c:dLbl>
            <c:dLbl>
              <c:idx val="17"/>
              <c:layout>
                <c:manualLayout>
                  <c:x val="9.3569407990667833E-2"/>
                  <c:y val="-0.17167004839339731"/>
                </c:manualLayout>
              </c:layout>
              <c:tx>
                <c:rich>
                  <a:bodyPr/>
                  <a:lstStyle/>
                  <a:p>
                    <a:fld id="{0D881D2C-2C96-464C-A82C-624628CD9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88A-472E-82D7-038D51FFEC4C}"/>
                </c:ext>
              </c:extLst>
            </c:dLbl>
            <c:dLbl>
              <c:idx val="18"/>
              <c:layout>
                <c:manualLayout>
                  <c:x val="8.5037037037037036E-2"/>
                  <c:y val="5.1269681003896651E-2"/>
                </c:manualLayout>
              </c:layout>
              <c:tx>
                <c:rich>
                  <a:bodyPr/>
                  <a:lstStyle/>
                  <a:p>
                    <a:fld id="{613CE2EB-7566-4325-A8D0-718FEFF41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88A-472E-82D7-038D51FFEC4C}"/>
                </c:ext>
              </c:extLst>
            </c:dLbl>
            <c:dLbl>
              <c:idx val="19"/>
              <c:layout>
                <c:manualLayout>
                  <c:x val="4.4023038786818312E-2"/>
                  <c:y val="-0.14860731776609104"/>
                </c:manualLayout>
              </c:layout>
              <c:tx>
                <c:rich>
                  <a:bodyPr/>
                  <a:lstStyle/>
                  <a:p>
                    <a:fld id="{EE80BC92-6997-409E-85CE-A84CFFAB0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88A-472E-82D7-038D51FFEC4C}"/>
                </c:ext>
              </c:extLst>
            </c:dLbl>
            <c:dLbl>
              <c:idx val="20"/>
              <c:layout>
                <c:manualLayout>
                  <c:x val="-9.053703703703711E-2"/>
                  <c:y val="-3.3293664629559683E-2"/>
                </c:manualLayout>
              </c:layout>
              <c:tx>
                <c:rich>
                  <a:bodyPr/>
                  <a:lstStyle/>
                  <a:p>
                    <a:fld id="{D702C6C4-6431-4717-A695-228C0F6F1A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3A8-4AC2-BADD-D1613B8766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F2F6521-3031-4C6A-BE44-FB973EE20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A8-4AC2-BADD-D1613B87668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F8FE87F-AEA9-4B34-869A-0C1BC41D1F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A8-4AC2-BADD-D1613B876689}"/>
                </c:ext>
              </c:extLst>
            </c:dLbl>
            <c:dLbl>
              <c:idx val="23"/>
              <c:layout>
                <c:manualLayout>
                  <c:x val="-0.20266666666666666"/>
                  <c:y val="2.5644424751334126E-2"/>
                </c:manualLayout>
              </c:layout>
              <c:tx>
                <c:rich>
                  <a:bodyPr/>
                  <a:lstStyle/>
                  <a:p>
                    <a:fld id="{3D0E72EE-8F7E-4B4B-BDDE-710DAB06A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C6-4623-8FBE-E9F7DF662D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'Defending Stats'!$F$2:$F$25</c:f>
              <c:numCache>
                <c:formatCode>0.00%</c:formatCode>
                <c:ptCount val="24"/>
                <c:pt idx="0">
                  <c:v>0.60880195599022002</c:v>
                </c:pt>
                <c:pt idx="1">
                  <c:v>0.60447761194029803</c:v>
                </c:pt>
                <c:pt idx="2">
                  <c:v>0.61842105263157898</c:v>
                </c:pt>
                <c:pt idx="3">
                  <c:v>0.64957264957265004</c:v>
                </c:pt>
                <c:pt idx="4">
                  <c:v>0.60250000000000004</c:v>
                </c:pt>
                <c:pt idx="5">
                  <c:v>0.58689458689458696</c:v>
                </c:pt>
                <c:pt idx="6">
                  <c:v>0.59839357429718898</c:v>
                </c:pt>
                <c:pt idx="7">
                  <c:v>0.65425531914893598</c:v>
                </c:pt>
                <c:pt idx="8">
                  <c:v>0.68169761273209595</c:v>
                </c:pt>
                <c:pt idx="9">
                  <c:v>0.64781491002570701</c:v>
                </c:pt>
                <c:pt idx="10">
                  <c:v>0.61006289308176098</c:v>
                </c:pt>
                <c:pt idx="11">
                  <c:v>0.60459183673469397</c:v>
                </c:pt>
                <c:pt idx="12">
                  <c:v>0.59228650137741001</c:v>
                </c:pt>
                <c:pt idx="13">
                  <c:v>0.72661870503597104</c:v>
                </c:pt>
                <c:pt idx="14">
                  <c:v>0.59162303664921501</c:v>
                </c:pt>
                <c:pt idx="15">
                  <c:v>0.65428571428571403</c:v>
                </c:pt>
                <c:pt idx="16">
                  <c:v>0.61721068249258204</c:v>
                </c:pt>
                <c:pt idx="17">
                  <c:v>0.64247311827956999</c:v>
                </c:pt>
                <c:pt idx="18">
                  <c:v>0.62538699690402499</c:v>
                </c:pt>
                <c:pt idx="19">
                  <c:v>0.64646464646464596</c:v>
                </c:pt>
                <c:pt idx="20">
                  <c:v>0.62326869806094198</c:v>
                </c:pt>
                <c:pt idx="21">
                  <c:v>0.61309523809523803</c:v>
                </c:pt>
                <c:pt idx="22">
                  <c:v>0.669421487603306</c:v>
                </c:pt>
                <c:pt idx="23">
                  <c:v>0.60064935064935099</c:v>
                </c:pt>
              </c:numCache>
            </c:numRef>
          </c:xVal>
          <c:yVal>
            <c:numRef>
              <c:f>'Defending Stats'!$D$2:$D$25</c:f>
              <c:numCache>
                <c:formatCode>General</c:formatCode>
                <c:ptCount val="24"/>
                <c:pt idx="0">
                  <c:v>18.59090909090909</c:v>
                </c:pt>
                <c:pt idx="1">
                  <c:v>18.272727272727273</c:v>
                </c:pt>
                <c:pt idx="2">
                  <c:v>17.272727272727273</c:v>
                </c:pt>
                <c:pt idx="3">
                  <c:v>15.954545454545455</c:v>
                </c:pt>
                <c:pt idx="4">
                  <c:v>18.181818181818183</c:v>
                </c:pt>
                <c:pt idx="5">
                  <c:v>15.954545454545455</c:v>
                </c:pt>
                <c:pt idx="6">
                  <c:v>11.318181818181818</c:v>
                </c:pt>
                <c:pt idx="7">
                  <c:v>17.09090909090909</c:v>
                </c:pt>
                <c:pt idx="8">
                  <c:v>17.136363636363637</c:v>
                </c:pt>
                <c:pt idx="9">
                  <c:v>17.681818181818183</c:v>
                </c:pt>
                <c:pt idx="10">
                  <c:v>14.454545454545455</c:v>
                </c:pt>
                <c:pt idx="11">
                  <c:v>17.818181818181817</c:v>
                </c:pt>
                <c:pt idx="12">
                  <c:v>16.5</c:v>
                </c:pt>
                <c:pt idx="13">
                  <c:v>12.636363636363637</c:v>
                </c:pt>
                <c:pt idx="14">
                  <c:v>17.363636363636363</c:v>
                </c:pt>
                <c:pt idx="15">
                  <c:v>15.909090909090908</c:v>
                </c:pt>
                <c:pt idx="16">
                  <c:v>15.318181818181818</c:v>
                </c:pt>
                <c:pt idx="17">
                  <c:v>16.90909090909091</c:v>
                </c:pt>
                <c:pt idx="18">
                  <c:v>14.681818181818182</c:v>
                </c:pt>
                <c:pt idx="19">
                  <c:v>18</c:v>
                </c:pt>
                <c:pt idx="20">
                  <c:v>16.40909090909091</c:v>
                </c:pt>
                <c:pt idx="21">
                  <c:v>15.272727272727273</c:v>
                </c:pt>
                <c:pt idx="22">
                  <c:v>16.5</c:v>
                </c:pt>
                <c:pt idx="23">
                  <c:v>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'Defending Stats'!$A$2:$A$25</c15:f>
                <c15:dlblRangeCache>
                  <c:ptCount val="24"/>
                  <c:pt idx="0">
                    <c:v>Birmingham City</c:v>
                  </c:pt>
                  <c:pt idx="1">
                    <c:v>Blackburn</c:v>
                  </c:pt>
                  <c:pt idx="2">
                    <c:v>Bristol City</c:v>
                  </c:pt>
                  <c:pt idx="3">
                    <c:v>Cardiff City</c:v>
                  </c:pt>
                  <c:pt idx="4">
                    <c:v>Coventry City</c:v>
                  </c:pt>
                  <c:pt idx="5">
                    <c:v>Huddersfield</c:v>
                  </c:pt>
                  <c:pt idx="6">
                    <c:v>Hull City</c:v>
                  </c:pt>
                  <c:pt idx="7">
                    <c:v>Ipswich Town</c:v>
                  </c:pt>
                  <c:pt idx="8">
                    <c:v>Leeds United</c:v>
                  </c:pt>
                  <c:pt idx="9">
                    <c:v>Leicester City</c:v>
                  </c:pt>
                  <c:pt idx="10">
                    <c:v>Middlesbrough</c:v>
                  </c:pt>
                  <c:pt idx="11">
                    <c:v>Millwall</c:v>
                  </c:pt>
                  <c:pt idx="12">
                    <c:v>Norwich City</c:v>
                  </c:pt>
                  <c:pt idx="13">
                    <c:v>Plymouth Argyle</c:v>
                  </c:pt>
                  <c:pt idx="14">
                    <c:v>Preston</c:v>
                  </c:pt>
                  <c:pt idx="15">
                    <c:v>QPR</c:v>
                  </c:pt>
                  <c:pt idx="16">
                    <c:v>Rotherham Utd</c:v>
                  </c:pt>
                  <c:pt idx="17">
                    <c:v>Sheffield Weds</c:v>
                  </c:pt>
                  <c:pt idx="18">
                    <c:v>Southampton</c:v>
                  </c:pt>
                  <c:pt idx="19">
                    <c:v>Stoke City</c:v>
                  </c:pt>
                  <c:pt idx="20">
                    <c:v>Sunderland</c:v>
                  </c:pt>
                  <c:pt idx="21">
                    <c:v>Swansea City</c:v>
                  </c:pt>
                  <c:pt idx="22">
                    <c:v>Watford</c:v>
                  </c:pt>
                  <c:pt idx="23">
                    <c:v>West Brom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88A-472E-82D7-038D51FFEC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errBars>
            <c:errDir val="x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'Defending Stats'!$B$29</c:f>
              <c:numCache>
                <c:formatCode>General</c:formatCode>
                <c:ptCount val="1"/>
                <c:pt idx="0">
                  <c:v>0.62792784078948682</c:v>
                </c:pt>
              </c:numCache>
            </c:numRef>
          </c:xVal>
          <c:yVal>
            <c:numRef>
              <c:f>'Defending Stats'!$C$29</c:f>
              <c:numCache>
                <c:formatCode>General</c:formatCode>
                <c:ptCount val="1"/>
                <c:pt idx="0">
                  <c:v>16.217803030303031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8A-472E-82D7-038D51FFEC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47404559"/>
        <c:axId val="1325212064"/>
      </c:scatterChart>
      <c:valAx>
        <c:axId val="1447404559"/>
        <c:scaling>
          <c:orientation val="minMax"/>
          <c:max val="0.72000000000000008"/>
          <c:min val="0.4700000000000000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TACKLE 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12064"/>
        <c:crosses val="autoZero"/>
        <c:crossBetween val="midCat"/>
      </c:valAx>
      <c:valAx>
        <c:axId val="1325212064"/>
        <c:scaling>
          <c:orientation val="minMax"/>
          <c:max val="22"/>
          <c:min val="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TACKLES ATTEMPTED/90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0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14287</xdr:rowOff>
    </xdr:from>
    <xdr:to>
      <xdr:col>8</xdr:col>
      <xdr:colOff>86106</xdr:colOff>
      <xdr:row>51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BEF2B-A09F-E137-149F-AE049A519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25</xdr:row>
      <xdr:rowOff>14286</xdr:rowOff>
    </xdr:from>
    <xdr:to>
      <xdr:col>16</xdr:col>
      <xdr:colOff>381</xdr:colOff>
      <xdr:row>51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104081-502B-9CCF-172F-003CF9C0B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0.07292</cdr:x>
      <cdr:y>0.80816</cdr:y>
    </cdr:from>
    <cdr:to>
      <cdr:x>0.22708</cdr:x>
      <cdr:y>0.89656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CE25A7-AF8B-28E1-2CF5-64A2323FCF3E}"/>
            </a:ext>
          </a:extLst>
        </cdr:cNvPr>
        <cdr:cNvSpPr txBox="1"/>
      </cdr:nvSpPr>
      <cdr:spPr>
        <a:xfrm xmlns:a="http://schemas.openxmlformats.org/drawingml/2006/main">
          <a:off x="500063" y="4005263"/>
          <a:ext cx="105727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5050"/>
              </a:solidFill>
            </a:rPr>
            <a:t>Fewer Tackles</a:t>
          </a:r>
        </a:p>
        <a:p xmlns:a="http://schemas.openxmlformats.org/drawingml/2006/main">
          <a:r>
            <a:rPr lang="en-US" sz="1100">
              <a:solidFill>
                <a:srgbClr val="FF5050"/>
              </a:solidFill>
            </a:rPr>
            <a:t>Poor</a:t>
          </a:r>
          <a:r>
            <a:rPr lang="en-US" sz="1100" baseline="0">
              <a:solidFill>
                <a:srgbClr val="FF5050"/>
              </a:solidFill>
            </a:rPr>
            <a:t> Tackling</a:t>
          </a:r>
          <a:endParaRPr lang="en-US" sz="1100">
            <a:solidFill>
              <a:srgbClr val="FF5050"/>
            </a:solidFill>
          </a:endParaRPr>
        </a:p>
      </cdr:txBody>
    </cdr:sp>
  </cdr:relSizeAnchor>
  <cdr:relSizeAnchor xmlns:cdr="http://schemas.openxmlformats.org/drawingml/2006/chartDrawing">
    <cdr:from>
      <cdr:x>0.07431</cdr:x>
      <cdr:y>0.09129</cdr:y>
    </cdr:from>
    <cdr:to>
      <cdr:x>0.22431</cdr:x>
      <cdr:y>0.1797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7CCE4D-99FE-2A8E-0516-8BA1AC13A36D}"/>
            </a:ext>
          </a:extLst>
        </cdr:cNvPr>
        <cdr:cNvSpPr txBox="1"/>
      </cdr:nvSpPr>
      <cdr:spPr>
        <a:xfrm xmlns:a="http://schemas.openxmlformats.org/drawingml/2006/main">
          <a:off x="509589" y="452438"/>
          <a:ext cx="10287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Lots of Tackles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Poor</a:t>
          </a:r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Tackling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endParaRPr lang="en-US" sz="1100">
            <a:solidFill>
              <a:schemeClr val="accent2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0.81319</cdr:x>
      <cdr:y>0.09513</cdr:y>
    </cdr:from>
    <cdr:to>
      <cdr:x>0.97014</cdr:x>
      <cdr:y>0.18931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2536BE9-8689-8BA8-A198-F77888FF79E0}"/>
            </a:ext>
          </a:extLst>
        </cdr:cNvPr>
        <cdr:cNvSpPr txBox="1"/>
      </cdr:nvSpPr>
      <cdr:spPr>
        <a:xfrm xmlns:a="http://schemas.openxmlformats.org/drawingml/2006/main">
          <a:off x="5576888" y="471488"/>
          <a:ext cx="107632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Lots of Tackles</a:t>
          </a:r>
          <a:endParaRPr lang="en-US">
            <a:solidFill>
              <a:srgbClr val="92D050"/>
            </a:solidFill>
            <a:effectLst/>
          </a:endParaRPr>
        </a:p>
        <a:p xmlns:a="http://schemas.openxmlformats.org/drawingml/2006/main">
          <a:r>
            <a:rPr lang="en-US" sz="1100" baseline="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Strong Tackling</a:t>
          </a:r>
          <a:endParaRPr lang="en-US">
            <a:solidFill>
              <a:srgbClr val="92D050"/>
            </a:solidFill>
            <a:effectLst/>
          </a:endParaRPr>
        </a:p>
        <a:p xmlns:a="http://schemas.openxmlformats.org/drawingml/2006/main">
          <a:endParaRPr lang="en-US" sz="1100">
            <a:solidFill>
              <a:srgbClr val="92D050"/>
            </a:solidFill>
          </a:endParaRPr>
        </a:p>
      </cdr:txBody>
    </cdr:sp>
  </cdr:relSizeAnchor>
  <cdr:relSizeAnchor xmlns:cdr="http://schemas.openxmlformats.org/drawingml/2006/chartDrawing">
    <cdr:from>
      <cdr:x>0.81597</cdr:x>
      <cdr:y>0.80623</cdr:y>
    </cdr:from>
    <cdr:to>
      <cdr:x>0.97014</cdr:x>
      <cdr:y>0.90233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575F0DC-BD9B-4B33-6EF5-BF263694B311}"/>
            </a:ext>
          </a:extLst>
        </cdr:cNvPr>
        <cdr:cNvSpPr txBox="1"/>
      </cdr:nvSpPr>
      <cdr:spPr>
        <a:xfrm xmlns:a="http://schemas.openxmlformats.org/drawingml/2006/main">
          <a:off x="5595938" y="3995738"/>
          <a:ext cx="105727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Fewer Tackles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Strong Tackling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endParaRPr lang="en-US" sz="1100">
            <a:solidFill>
              <a:schemeClr val="accent2">
                <a:lumMod val="60000"/>
                <a:lumOff val="40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0.07844</cdr:x>
      <cdr:y>0.08566</cdr:y>
    </cdr:from>
    <cdr:to>
      <cdr:x>0.28974</cdr:x>
      <cdr:y>0.18768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973470-9FD9-5B43-EEA8-422E1EE27DE5}"/>
            </a:ext>
          </a:extLst>
        </cdr:cNvPr>
        <cdr:cNvSpPr txBox="1"/>
      </cdr:nvSpPr>
      <cdr:spPr>
        <a:xfrm xmlns:a="http://schemas.openxmlformats.org/drawingml/2006/main">
          <a:off x="541542" y="423862"/>
          <a:ext cx="1458708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Aggressive Shooting</a:t>
          </a:r>
        </a:p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Low Quality Shooting</a:t>
          </a:r>
        </a:p>
      </cdr:txBody>
    </cdr:sp>
  </cdr:relSizeAnchor>
  <cdr:relSizeAnchor xmlns:cdr="http://schemas.openxmlformats.org/drawingml/2006/chartDrawing">
    <cdr:from>
      <cdr:x>0.77263</cdr:x>
      <cdr:y>0.08373</cdr:y>
    </cdr:from>
    <cdr:to>
      <cdr:x>0.98018</cdr:x>
      <cdr:y>0.18768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6A31018-4939-199E-1A92-2454E76B891C}"/>
            </a:ext>
          </a:extLst>
        </cdr:cNvPr>
        <cdr:cNvSpPr txBox="1"/>
      </cdr:nvSpPr>
      <cdr:spPr>
        <a:xfrm xmlns:a="http://schemas.openxmlformats.org/drawingml/2006/main">
          <a:off x="5334000" y="414338"/>
          <a:ext cx="1432919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92D050"/>
              </a:solidFill>
            </a:rPr>
            <a:t>Aggressive Shooting</a:t>
          </a:r>
        </a:p>
        <a:p xmlns:a="http://schemas.openxmlformats.org/drawingml/2006/main">
          <a:r>
            <a:rPr lang="en-US" sz="1100">
              <a:solidFill>
                <a:srgbClr val="92D050"/>
              </a:solidFill>
            </a:rPr>
            <a:t>High Quality</a:t>
          </a:r>
          <a:r>
            <a:rPr lang="en-US" sz="1100" baseline="0">
              <a:solidFill>
                <a:srgbClr val="92D050"/>
              </a:solidFill>
            </a:rPr>
            <a:t> Shooting</a:t>
          </a:r>
          <a:endParaRPr lang="en-US" sz="1100">
            <a:solidFill>
              <a:srgbClr val="92D050"/>
            </a:solidFill>
          </a:endParaRPr>
        </a:p>
      </cdr:txBody>
    </cdr:sp>
  </cdr:relSizeAnchor>
  <cdr:relSizeAnchor xmlns:cdr="http://schemas.openxmlformats.org/drawingml/2006/chartDrawing">
    <cdr:from>
      <cdr:x>0.0765</cdr:x>
      <cdr:y>0.80751</cdr:y>
    </cdr:from>
    <cdr:to>
      <cdr:x>0.29939</cdr:x>
      <cdr:y>0.8999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839DB81-37A9-08FE-F179-12BC204E237D}"/>
            </a:ext>
          </a:extLst>
        </cdr:cNvPr>
        <cdr:cNvSpPr txBox="1"/>
      </cdr:nvSpPr>
      <cdr:spPr>
        <a:xfrm xmlns:a="http://schemas.openxmlformats.org/drawingml/2006/main">
          <a:off x="528167" y="3995739"/>
          <a:ext cx="1538758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5050"/>
              </a:solidFill>
            </a:rPr>
            <a:t>Passive</a:t>
          </a:r>
          <a:r>
            <a:rPr lang="en-US" sz="1100" baseline="0">
              <a:solidFill>
                <a:srgbClr val="FF5050"/>
              </a:solidFill>
            </a:rPr>
            <a:t> Shooting</a:t>
          </a:r>
        </a:p>
        <a:p xmlns:a="http://schemas.openxmlformats.org/drawingml/2006/main">
          <a:r>
            <a:rPr lang="en-US" sz="1100" baseline="0">
              <a:solidFill>
                <a:srgbClr val="FF5050"/>
              </a:solidFill>
            </a:rPr>
            <a:t>Low Quality Shooting</a:t>
          </a:r>
          <a:endParaRPr lang="en-US" sz="1100">
            <a:solidFill>
              <a:srgbClr val="FF5050"/>
            </a:solidFill>
          </a:endParaRPr>
        </a:p>
      </cdr:txBody>
    </cdr:sp>
  </cdr:relSizeAnchor>
  <cdr:relSizeAnchor xmlns:cdr="http://schemas.openxmlformats.org/drawingml/2006/chartDrawing">
    <cdr:from>
      <cdr:x>0.77401</cdr:x>
      <cdr:y>0.80366</cdr:y>
    </cdr:from>
    <cdr:to>
      <cdr:x>0.99345</cdr:x>
      <cdr:y>0.8922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A9009E7-BA11-1191-1E4D-E0F6B96A959F}"/>
            </a:ext>
          </a:extLst>
        </cdr:cNvPr>
        <cdr:cNvSpPr txBox="1"/>
      </cdr:nvSpPr>
      <cdr:spPr>
        <a:xfrm xmlns:a="http://schemas.openxmlformats.org/drawingml/2006/main">
          <a:off x="5343525" y="3976689"/>
          <a:ext cx="151499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Passive</a:t>
          </a:r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Shooting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Low Quality Shooting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0.07395</cdr:x>
      <cdr:y>0.08951</cdr:y>
    </cdr:from>
    <cdr:to>
      <cdr:x>0.26883</cdr:x>
      <cdr:y>0.17806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BBDF44-4E74-5F10-4831-6F29E6C1FF52}"/>
            </a:ext>
          </a:extLst>
        </cdr:cNvPr>
        <cdr:cNvSpPr txBox="1"/>
      </cdr:nvSpPr>
      <cdr:spPr>
        <a:xfrm xmlns:a="http://schemas.openxmlformats.org/drawingml/2006/main">
          <a:off x="509588" y="442914"/>
          <a:ext cx="134302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Aggressive Shooting</a:t>
          </a:r>
        </a:p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Wasteful</a:t>
          </a:r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 Shooting</a:t>
          </a:r>
          <a:endParaRPr lang="en-US" sz="1100">
            <a:solidFill>
              <a:schemeClr val="accent2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0.77885</cdr:x>
      <cdr:y>0.08566</cdr:y>
    </cdr:from>
    <cdr:to>
      <cdr:x>0.9765</cdr:x>
      <cdr:y>0.17613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24C7B08-5792-E90C-7681-DAB042680546}"/>
            </a:ext>
          </a:extLst>
        </cdr:cNvPr>
        <cdr:cNvSpPr txBox="1"/>
      </cdr:nvSpPr>
      <cdr:spPr>
        <a:xfrm xmlns:a="http://schemas.openxmlformats.org/drawingml/2006/main">
          <a:off x="5367339" y="423864"/>
          <a:ext cx="1362074" cy="447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Aggressive Shooting</a:t>
          </a:r>
          <a:endParaRPr lang="en-US">
            <a:solidFill>
              <a:srgbClr val="92D050"/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Clinical</a:t>
          </a:r>
          <a:r>
            <a:rPr lang="en-US" sz="1100" baseline="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 Shooting</a:t>
          </a:r>
          <a:endParaRPr lang="en-US">
            <a:solidFill>
              <a:srgbClr val="92D050"/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0.07395</cdr:x>
      <cdr:y>0.80943</cdr:y>
    </cdr:from>
    <cdr:to>
      <cdr:x>0.25501</cdr:x>
      <cdr:y>0.90183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2B5222C-12E0-7038-FE75-7C6583421B5A}"/>
            </a:ext>
          </a:extLst>
        </cdr:cNvPr>
        <cdr:cNvSpPr txBox="1"/>
      </cdr:nvSpPr>
      <cdr:spPr>
        <a:xfrm xmlns:a="http://schemas.openxmlformats.org/drawingml/2006/main">
          <a:off x="509588" y="4005264"/>
          <a:ext cx="12477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Passive Shooting</a:t>
          </a:r>
          <a:endParaRPr lang="en-US">
            <a:solidFill>
              <a:srgbClr val="FF5050"/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Wasteful</a:t>
          </a:r>
          <a:r>
            <a:rPr lang="en-US" sz="1100" baseline="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 Shooting</a:t>
          </a:r>
          <a:endParaRPr lang="en-US">
            <a:solidFill>
              <a:srgbClr val="FF5050"/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0.78576</cdr:x>
      <cdr:y>0.81136</cdr:y>
    </cdr:from>
    <cdr:to>
      <cdr:x>0.9848</cdr:x>
      <cdr:y>0.8999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7C2C9A8-30C7-B66A-10DF-B19B544605CC}"/>
            </a:ext>
          </a:extLst>
        </cdr:cNvPr>
        <cdr:cNvSpPr txBox="1"/>
      </cdr:nvSpPr>
      <cdr:spPr>
        <a:xfrm xmlns:a="http://schemas.openxmlformats.org/drawingml/2006/main">
          <a:off x="5414963" y="4014789"/>
          <a:ext cx="13716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Passive Shooting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Wasteful</a:t>
          </a:r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Shooting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8</xdr:col>
      <xdr:colOff>19050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A9EDC-8D4B-E30D-A5CE-FE8019F77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0.06465</cdr:x>
      <cdr:y>0.10405</cdr:y>
    </cdr:from>
    <cdr:to>
      <cdr:x>0.20334</cdr:x>
      <cdr:y>0.19653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8AC09F-F202-D09F-8D09-406F83715CDC}"/>
            </a:ext>
          </a:extLst>
        </cdr:cNvPr>
        <cdr:cNvSpPr txBox="1"/>
      </cdr:nvSpPr>
      <cdr:spPr>
        <a:xfrm xmlns:a="http://schemas.openxmlformats.org/drawingml/2006/main">
          <a:off x="590550" y="514350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Leaky Defense</a:t>
          </a:r>
        </a:p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Quiet Defense</a:t>
          </a:r>
        </a:p>
      </cdr:txBody>
    </cdr:sp>
  </cdr:relSizeAnchor>
  <cdr:relSizeAnchor xmlns:cdr="http://schemas.openxmlformats.org/drawingml/2006/chartDrawing">
    <cdr:from>
      <cdr:x>0.06569</cdr:x>
      <cdr:y>0.8054</cdr:y>
    </cdr:from>
    <cdr:to>
      <cdr:x>0.24192</cdr:x>
      <cdr:y>0.90173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65C7D70-E337-3EA7-E3DD-E2DA53AB03E9}"/>
            </a:ext>
          </a:extLst>
        </cdr:cNvPr>
        <cdr:cNvSpPr txBox="1"/>
      </cdr:nvSpPr>
      <cdr:spPr>
        <a:xfrm xmlns:a="http://schemas.openxmlformats.org/drawingml/2006/main">
          <a:off x="600076" y="3981451"/>
          <a:ext cx="160972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Impenetrable</a:t>
          </a:r>
          <a:r>
            <a:rPr lang="en-US" sz="1100" baseline="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 Defense</a:t>
          </a:r>
          <a:endParaRPr lang="en-US">
            <a:solidFill>
              <a:srgbClr val="92D050"/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Quiet Defense</a:t>
          </a:r>
          <a:endParaRPr lang="en-US">
            <a:solidFill>
              <a:srgbClr val="92D050"/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0.86548</cdr:x>
      <cdr:y>0.0942</cdr:y>
    </cdr:from>
    <cdr:to>
      <cdr:x>0.99583</cdr:x>
      <cdr:y>0.18476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20292BA-242F-6946-3D24-32C2E4F99C73}"/>
            </a:ext>
          </a:extLst>
        </cdr:cNvPr>
        <cdr:cNvSpPr txBox="1"/>
      </cdr:nvSpPr>
      <cdr:spPr>
        <a:xfrm xmlns:a="http://schemas.openxmlformats.org/drawingml/2006/main">
          <a:off x="7411126" y="458503"/>
          <a:ext cx="1116134" cy="440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Leaky Defense</a:t>
          </a:r>
          <a:endParaRPr lang="en-US">
            <a:solidFill>
              <a:srgbClr val="FF5050"/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Busy</a:t>
          </a:r>
          <a:r>
            <a:rPr lang="en-US" sz="1100" baseline="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 Defense</a:t>
          </a:r>
          <a:endParaRPr lang="en-US">
            <a:solidFill>
              <a:srgbClr val="FF5050"/>
            </a:solidFill>
            <a:effectLst/>
          </a:endParaRPr>
        </a:p>
        <a:p xmlns:a="http://schemas.openxmlformats.org/drawingml/2006/main">
          <a:endParaRPr lang="en-US" sz="1100">
            <a:solidFill>
              <a:srgbClr val="FF5050"/>
            </a:solidFill>
          </a:endParaRPr>
        </a:p>
      </cdr:txBody>
    </cdr:sp>
  </cdr:relSizeAnchor>
  <cdr:relSizeAnchor xmlns:cdr="http://schemas.openxmlformats.org/drawingml/2006/chartDrawing">
    <cdr:from>
      <cdr:x>0.80799</cdr:x>
      <cdr:y>0.80741</cdr:y>
    </cdr:from>
    <cdr:to>
      <cdr:x>0.99778</cdr:x>
      <cdr:y>0.8999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111A0BC-4EDA-E473-8A27-79C74D489100}"/>
            </a:ext>
          </a:extLst>
        </cdr:cNvPr>
        <cdr:cNvSpPr txBox="1"/>
      </cdr:nvSpPr>
      <cdr:spPr>
        <a:xfrm xmlns:a="http://schemas.openxmlformats.org/drawingml/2006/main">
          <a:off x="6918836" y="3929898"/>
          <a:ext cx="1625089" cy="4501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Impenetrable</a:t>
          </a:r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Defense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Busy Defense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4762</xdr:rowOff>
    </xdr:from>
    <xdr:to>
      <xdr:col>6</xdr:col>
      <xdr:colOff>19050</xdr:colOff>
      <xdr:row>51</xdr:row>
      <xdr:rowOff>7810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C02AE-19AB-A804-C95A-B565EB3BD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0.08376</cdr:x>
      <cdr:y>0.1516</cdr:y>
    </cdr:from>
    <cdr:to>
      <cdr:x>0.29822</cdr:x>
      <cdr:y>0.2573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B78104-AEB7-60E0-9D6C-12BFBF61E69F}"/>
            </a:ext>
          </a:extLst>
        </cdr:cNvPr>
        <cdr:cNvSpPr txBox="1"/>
      </cdr:nvSpPr>
      <cdr:spPr>
        <a:xfrm xmlns:a="http://schemas.openxmlformats.org/drawingml/2006/main">
          <a:off x="628650" y="519113"/>
          <a:ext cx="16097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0.07486</cdr:x>
      <cdr:y>0.08899</cdr:y>
    </cdr:from>
    <cdr:to>
      <cdr:x>0.24999</cdr:x>
      <cdr:y>0.21972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E3FFD6-CC74-2B11-EA53-F4F556B393E0}"/>
            </a:ext>
          </a:extLst>
        </cdr:cNvPr>
        <cdr:cNvSpPr txBox="1"/>
      </cdr:nvSpPr>
      <cdr:spPr>
        <a:xfrm xmlns:a="http://schemas.openxmlformats.org/drawingml/2006/main">
          <a:off x="564731" y="441022"/>
          <a:ext cx="1321122" cy="647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Lots of Passes</a:t>
          </a:r>
        </a:p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Inaccurate</a:t>
          </a:r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 Passing</a:t>
          </a:r>
          <a:endParaRPr lang="en-US" sz="1100">
            <a:solidFill>
              <a:schemeClr val="accent2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0.84391</cdr:x>
      <cdr:y>0.08984</cdr:y>
    </cdr:from>
    <cdr:to>
      <cdr:x>1</cdr:x>
      <cdr:y>0.23449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E4E013B-12FC-2004-902B-193166DC675E}"/>
            </a:ext>
          </a:extLst>
        </cdr:cNvPr>
        <cdr:cNvSpPr txBox="1"/>
      </cdr:nvSpPr>
      <cdr:spPr>
        <a:xfrm xmlns:a="http://schemas.openxmlformats.org/drawingml/2006/main">
          <a:off x="6390403" y="445261"/>
          <a:ext cx="1181972" cy="716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Lots of Passes</a:t>
          </a:r>
          <a:endParaRPr lang="en-US">
            <a:solidFill>
              <a:srgbClr val="92D050"/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Accurate</a:t>
          </a:r>
          <a:r>
            <a:rPr lang="en-US" sz="1100" baseline="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 Passing</a:t>
          </a:r>
          <a:endParaRPr lang="en-US">
            <a:solidFill>
              <a:srgbClr val="92D050"/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0.07362</cdr:x>
      <cdr:y>0.81004</cdr:y>
    </cdr:from>
    <cdr:to>
      <cdr:x>0.24367</cdr:x>
      <cdr:y>0.94912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6BC6FC9-C924-E0AB-CFCB-C70389048E10}"/>
            </a:ext>
          </a:extLst>
        </cdr:cNvPr>
        <cdr:cNvSpPr txBox="1"/>
      </cdr:nvSpPr>
      <cdr:spPr>
        <a:xfrm xmlns:a="http://schemas.openxmlformats.org/drawingml/2006/main">
          <a:off x="555352" y="4014600"/>
          <a:ext cx="1282829" cy="689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Fewer Passes</a:t>
          </a:r>
          <a:endParaRPr lang="en-US">
            <a:solidFill>
              <a:srgbClr val="FF5050"/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Inaccurate</a:t>
          </a:r>
          <a:r>
            <a:rPr lang="en-US" sz="1100" baseline="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 Passing</a:t>
          </a:r>
          <a:endParaRPr lang="en-US">
            <a:solidFill>
              <a:srgbClr val="FF5050"/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0.83247</cdr:x>
      <cdr:y>0.80746</cdr:y>
    </cdr:from>
    <cdr:to>
      <cdr:x>0.99364</cdr:x>
      <cdr:y>0.94654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2DD97F-FC93-4779-77A7-AB2F420E9D61}"/>
            </a:ext>
          </a:extLst>
        </cdr:cNvPr>
        <cdr:cNvSpPr txBox="1"/>
      </cdr:nvSpPr>
      <cdr:spPr>
        <a:xfrm xmlns:a="http://schemas.openxmlformats.org/drawingml/2006/main">
          <a:off x="6279973" y="4001819"/>
          <a:ext cx="1215815" cy="689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Fewer Passes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Accurate</a:t>
          </a:r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Passing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endParaRPr lang="en-US" sz="1100">
            <a:solidFill>
              <a:schemeClr val="accent2">
                <a:lumMod val="60000"/>
                <a:lumOff val="40000"/>
              </a:schemeClr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4762</xdr:rowOff>
    </xdr:from>
    <xdr:to>
      <xdr:col>5</xdr:col>
      <xdr:colOff>828675</xdr:colOff>
      <xdr:row>51</xdr:row>
      <xdr:rowOff>7810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AE7BB-2D1E-5D78-279C-17FF69AD4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833437</xdr:colOff>
      <xdr:row>25</xdr:row>
      <xdr:rowOff>4762</xdr:rowOff>
    </xdr:from>
    <xdr:to>
      <xdr:col>12</xdr:col>
      <xdr:colOff>23812</xdr:colOff>
      <xdr:row>51</xdr:row>
      <xdr:rowOff>7810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6B894-E020-934C-6609-D3CEE024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0.07083</cdr:x>
      <cdr:y>0.09366</cdr:y>
    </cdr:from>
    <cdr:to>
      <cdr:x>0.25556</cdr:x>
      <cdr:y>0.2645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20BF0F-F88A-69C7-7A17-D8CCFB32089C}"/>
            </a:ext>
          </a:extLst>
        </cdr:cNvPr>
        <cdr:cNvSpPr txBox="1"/>
      </cdr:nvSpPr>
      <cdr:spPr>
        <a:xfrm xmlns:a="http://schemas.openxmlformats.org/drawingml/2006/main">
          <a:off x="485775" y="464188"/>
          <a:ext cx="1266825" cy="846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Lots of Blocks</a:t>
          </a:r>
        </a:p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Fewer</a:t>
          </a:r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 Clearances</a:t>
          </a:r>
          <a:endParaRPr lang="en-US" sz="1100">
            <a:solidFill>
              <a:schemeClr val="accent2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0.81944</cdr:x>
      <cdr:y>0.08495</cdr:y>
    </cdr:from>
    <cdr:to>
      <cdr:x>1</cdr:x>
      <cdr:y>0.23223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A09A26-B80B-33E8-F0A8-38BE78F49BEC}"/>
            </a:ext>
          </a:extLst>
        </cdr:cNvPr>
        <cdr:cNvSpPr txBox="1"/>
      </cdr:nvSpPr>
      <cdr:spPr>
        <a:xfrm xmlns:a="http://schemas.openxmlformats.org/drawingml/2006/main">
          <a:off x="5619750" y="421015"/>
          <a:ext cx="1238250" cy="7299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Lots of Blocks</a:t>
          </a:r>
          <a:endParaRPr lang="en-US">
            <a:solidFill>
              <a:srgbClr val="92D050"/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Lots of</a:t>
          </a:r>
          <a:r>
            <a:rPr lang="en-US" sz="1100" baseline="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 Clearances</a:t>
          </a:r>
          <a:endParaRPr lang="en-US">
            <a:solidFill>
              <a:srgbClr val="92D050"/>
            </a:solidFill>
            <a:effectLst/>
          </a:endParaRPr>
        </a:p>
        <a:p xmlns:a="http://schemas.openxmlformats.org/drawingml/2006/main">
          <a:endParaRPr lang="en-US" sz="1100">
            <a:solidFill>
              <a:srgbClr val="92D050"/>
            </a:solidFill>
          </a:endParaRPr>
        </a:p>
      </cdr:txBody>
    </cdr:sp>
  </cdr:relSizeAnchor>
  <cdr:relSizeAnchor xmlns:cdr="http://schemas.openxmlformats.org/drawingml/2006/chartDrawing">
    <cdr:from>
      <cdr:x>0.07222</cdr:x>
      <cdr:y>0.80551</cdr:y>
    </cdr:from>
    <cdr:to>
      <cdr:x>0.3</cdr:x>
      <cdr:y>0.95573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431E879-4089-9140-55E8-65BDA6C2A7A8}"/>
            </a:ext>
          </a:extLst>
        </cdr:cNvPr>
        <cdr:cNvSpPr txBox="1"/>
      </cdr:nvSpPr>
      <cdr:spPr>
        <a:xfrm xmlns:a="http://schemas.openxmlformats.org/drawingml/2006/main">
          <a:off x="495300" y="3992161"/>
          <a:ext cx="1562100" cy="7445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Fewer Blocks</a:t>
          </a:r>
          <a:endParaRPr lang="en-US">
            <a:solidFill>
              <a:srgbClr val="FF5050"/>
            </a:solidFill>
            <a:effectLst/>
          </a:endParaRPr>
        </a:p>
        <a:p xmlns:a="http://schemas.openxmlformats.org/drawingml/2006/main">
          <a:r>
            <a:rPr lang="en-US" sz="110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Fewer</a:t>
          </a:r>
          <a:r>
            <a:rPr lang="en-US" sz="1100" baseline="0">
              <a:solidFill>
                <a:srgbClr val="FF5050"/>
              </a:solidFill>
              <a:effectLst/>
              <a:latin typeface="+mn-lt"/>
              <a:ea typeface="+mn-ea"/>
              <a:cs typeface="+mn-cs"/>
            </a:rPr>
            <a:t> Clearances</a:t>
          </a:r>
          <a:endParaRPr lang="en-US">
            <a:solidFill>
              <a:srgbClr val="FF5050"/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0.81111</cdr:x>
      <cdr:y>0.80551</cdr:y>
    </cdr:from>
    <cdr:to>
      <cdr:x>0.99444</cdr:x>
      <cdr:y>0.9469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C3C020A-12CA-B428-9103-12D56995E094}"/>
            </a:ext>
          </a:extLst>
        </cdr:cNvPr>
        <cdr:cNvSpPr txBox="1"/>
      </cdr:nvSpPr>
      <cdr:spPr>
        <a:xfrm xmlns:a="http://schemas.openxmlformats.org/drawingml/2006/main">
          <a:off x="5562600" y="3992163"/>
          <a:ext cx="1257300" cy="700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Fewer Blocks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Lots of Clearances</a:t>
          </a:r>
          <a:endParaRPr lang="en-US"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  <a:p xmlns:a="http://schemas.openxmlformats.org/drawingml/2006/main">
          <a:endParaRPr lang="en-US" sz="1100">
            <a:solidFill>
              <a:schemeClr val="accent2">
                <a:lumMod val="60000"/>
                <a:lumOff val="40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mier_League_Stats_7" refreshOnLoad="1" connectionId="7" xr16:uid="{A1C235E8-F1B7-49D0-B0E6-1EC457E22A0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21F1A465-5D59-4BCD-901F-28937607A89E}" autoFormatId="16" applyNumberFormats="0" applyBorderFormats="0" applyFontFormats="0" applyPatternFormats="0" applyAlignmentFormats="0" applyWidthHeightFormats="0">
  <queryTableRefresh nextId="6">
    <queryTableFields count="5">
      <queryTableField id="1" name="Wk" tableColumnId="6"/>
      <queryTableField id="2" name="Home" tableColumnId="2"/>
      <queryTableField id="3" name="xG" tableColumnId="3"/>
      <queryTableField id="4" name="xG_1" tableColumnId="4"/>
      <queryTableField id="5" name="Away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93D4138-2BB6-439F-8ADF-47FF47C4092D}" autoFormatId="16" applyNumberFormats="0" applyBorderFormats="0" applyFontFormats="0" applyPatternFormats="0" applyAlignmentFormats="0" applyWidthHeightFormats="0">
  <queryTableRefresh nextId="31">
    <queryTableFields count="16">
      <queryTableField id="17" name="Position" tableColumnId="18"/>
      <queryTableField id="18" name="Team" tableColumnId="19"/>
      <queryTableField id="19" name="Matches Played" tableColumnId="20"/>
      <queryTableField id="4" name="W" tableColumnId="4"/>
      <queryTableField id="5" name="D" tableColumnId="5"/>
      <queryTableField id="6" name="L" tableColumnId="6"/>
      <queryTableField id="20" name="Goals For" tableColumnId="21"/>
      <queryTableField id="21" name="Goals Against" tableColumnId="22"/>
      <queryTableField id="22" name="Goal Difference" tableColumnId="23"/>
      <queryTableField id="10" name="Pts" tableColumnId="10"/>
      <queryTableField id="23" name="Pts/Game" tableColumnId="24"/>
      <queryTableField id="12" name="xG" tableColumnId="12"/>
      <queryTableField id="13" name="xGA" tableColumnId="13"/>
      <queryTableField id="14" name="xGD" tableColumnId="14"/>
      <queryTableField id="15" name="xGD/90" tableColumnId="15"/>
      <queryTableField id="16" name="Notes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8BC0170B-DD2E-4AA2-904A-72C6EDD760EB}" autoFormatId="16" applyNumberFormats="0" applyBorderFormats="0" applyFontFormats="0" applyPatternFormats="0" applyAlignmentFormats="0" applyWidthHeightFormats="0">
  <queryTableRefresh nextId="18">
    <queryTableFields count="16">
      <queryTableField id="1" name="Team" tableColumnId="16"/>
      <queryTableField id="2" name="Matches Played" tableColumnId="2"/>
      <queryTableField id="3" name="Goals" tableColumnId="3"/>
      <queryTableField id="16" name="Goals/90" tableColumnId="17"/>
      <queryTableField id="4" name="Shots" tableColumnId="4"/>
      <queryTableField id="5" name="Shots on Target" tableColumnId="5"/>
      <queryTableField id="6" name="Shots on Target %" tableColumnId="6"/>
      <queryTableField id="7" name="Shots/90" tableColumnId="7"/>
      <queryTableField id="8" name="Shots on Target/90" tableColumnId="8"/>
      <queryTableField id="9" name="Conversion Rate" tableColumnId="9"/>
      <queryTableField id="10" name="Goals/Shots on Target" tableColumnId="10"/>
      <queryTableField id="11" name="xG" tableColumnId="11"/>
      <queryTableField id="12" name="xG/Shot" tableColumnId="12"/>
      <queryTableField id="13" name="xG/90" tableColumnId="13"/>
      <queryTableField id="14" name="npxG" tableColumnId="14"/>
      <queryTableField id="15" name="npxG/90" tableColumnId="1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2" xr16:uid="{E038EB26-1A5D-4C8C-820E-EC9984A880B7}" autoFormatId="16" applyNumberFormats="0" applyBorderFormats="0" applyFontFormats="0" applyPatternFormats="0" applyAlignmentFormats="0" applyWidthHeightFormats="0">
  <queryTableRefresh nextId="9">
    <queryTableFields count="8">
      <queryTableField id="1" name="Squad" tableColumnId="9"/>
      <queryTableField id="2" name="Matches Played" tableColumnId="2"/>
      <queryTableField id="3" name="Goals Against" tableColumnId="3"/>
      <queryTableField id="4" name="Goals Against/90" tableColumnId="4"/>
      <queryTableField id="5" name="Shots on Target Against" tableColumnId="5"/>
      <queryTableField id="6" name="Shots on Target/90" tableColumnId="6"/>
      <queryTableField id="7" name="Saves" tableColumnId="7"/>
      <queryTableField id="8" name="Save%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355414DD-DC13-4254-9199-3CF58ED875E8}" autoFormatId="16" applyNumberFormats="0" applyBorderFormats="0" applyFontFormats="0" applyPatternFormats="0" applyAlignmentFormats="0" applyWidthHeightFormats="0">
  <queryTableRefresh nextId="8">
    <queryTableFields count="6">
      <queryTableField id="1" name="Squad" tableColumnId="6"/>
      <queryTableField id="2" name="Matches Played" tableColumnId="2"/>
      <queryTableField id="3" name="Passes Completed" tableColumnId="3"/>
      <queryTableField id="4" name="Passes Attempted" tableColumnId="4"/>
      <queryTableField id="6" name="Passes Attempted/90" tableColumnId="7"/>
      <queryTableField id="5" name="Completion Rate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301FF1B-1215-441B-974C-120A611DE2B4}" autoFormatId="16" applyNumberFormats="0" applyBorderFormats="0" applyFontFormats="0" applyPatternFormats="0" applyAlignmentFormats="0" applyWidthHeightFormats="0">
  <queryTableRefresh nextId="13">
    <queryTableFields count="12">
      <queryTableField id="1" name="Squad" tableColumnId="13"/>
      <queryTableField id="2" name="Matches Played" tableColumnId="2"/>
      <queryTableField id="3" name="Tackles Attempted" tableColumnId="3"/>
      <queryTableField id="4" name="Tackles Attempted/90" tableColumnId="4"/>
      <queryTableField id="5" name="Tackles Won" tableColumnId="5"/>
      <queryTableField id="6" name="Tackle Win %" tableColumnId="6"/>
      <queryTableField id="7" name="Blocks Made" tableColumnId="7"/>
      <queryTableField id="8" name="Blocks/90" tableColumnId="8"/>
      <queryTableField id="9" name="Interceptions Made" tableColumnId="9"/>
      <queryTableField id="10" name="Tackles + Interceptions" tableColumnId="10"/>
      <queryTableField id="11" name="Clearances" tableColumnId="11"/>
      <queryTableField id="12" name="Clearances/9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mier_League_Stats_2" connectionId="2" xr16:uid="{E4894759-204D-454B-B011-06DD26C1E01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mier-League-Stats" preserveFormatting="0" connectionId="1" xr16:uid="{225097A4-AFBA-4217-A453-F53DA6E91C9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mier_League_Stats_4" refreshOnLoad="1" connectionId="4" xr16:uid="{54AACB0F-91A5-424A-B6BE-286A50625E0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mier_League_Stats_5" refreshOnLoad="1" connectionId="5" xr16:uid="{91E30872-515B-49D8-95FB-F0A61F32FEA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mier_League_Stats_3" refreshOnLoad="1" connectionId="3" xr16:uid="{8E8D0B9F-4520-4C5C-8BB9-2F1D358F835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mier-League-Scores-and-Fixtures" refreshOnLoad="1" connectionId="8" xr16:uid="{D9C3451A-4F2A-4CDA-981A-84ED089D20A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mier_League_Stats_6" refreshOnLoad="1" connectionId="6" xr16:uid="{3EDF6C58-FB6F-41C3-B93A-CF0E8B5B38D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70FE417-A3A8-46E7-B95C-B0F5C8993CDF}" autoFormatId="16" applyNumberFormats="0" applyBorderFormats="0" applyFontFormats="0" applyPatternFormats="0" applyAlignmentFormats="0" applyWidthHeightFormats="0">
  <queryTableRefresh nextId="6">
    <queryTableFields count="5">
      <queryTableField id="1" name="Wk" tableColumnId="6"/>
      <queryTableField id="2" name="Home" tableColumnId="2"/>
      <queryTableField id="3" name="Home Score" tableColumnId="3"/>
      <queryTableField id="4" name="Away Score" tableColumnId="4"/>
      <queryTableField id="5" name="Awa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08388E-E2B8-42D4-AF61-2ED4D9A3DB59}" name="Scores_and_Fixtures" displayName="Scores_and_Fixtures" ref="A1:E553" tableType="queryTable" totalsRowShown="0">
  <autoFilter ref="A1:E553" xr:uid="{3608388E-E2B8-42D4-AF61-2ED4D9A3DB59}"/>
  <tableColumns count="5">
    <tableColumn id="6" xr3:uid="{4CA0E55C-DFB6-4C5C-A90E-412297DCEB6F}" uniqueName="6" name="Wk" queryTableFieldId="1"/>
    <tableColumn id="2" xr3:uid="{0D824208-8402-490C-B169-1FFF5191BBD7}" uniqueName="2" name="Home" queryTableFieldId="2" dataDxfId="39"/>
    <tableColumn id="3" xr3:uid="{C2FCA4B8-281F-4FA8-919E-D398B5D9AEB2}" uniqueName="3" name="Home Score" queryTableFieldId="3"/>
    <tableColumn id="4" xr3:uid="{D4D3E66E-1A87-4828-A5C4-E9ED0FDAD320}" uniqueName="4" name="Away Score" queryTableFieldId="4"/>
    <tableColumn id="5" xr3:uid="{F483F7DA-D3DD-40EC-B957-855929938372}" uniqueName="5" name="Away" queryTableFieldId="5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9CEF0B-688F-4348-B507-61FCE03B4D43}" name="Scores_and_Fixtures_xg" displayName="Scores_and_Fixtures_xg" ref="A555:E1107" tableType="queryTable" totalsRowShown="0">
  <autoFilter ref="A555:E1107" xr:uid="{299CEF0B-688F-4348-B507-61FCE03B4D43}"/>
  <tableColumns count="5">
    <tableColumn id="6" xr3:uid="{F563E8B7-3C7C-4B07-8FAC-C042313BDBF5}" uniqueName="6" name="Wk" queryTableFieldId="1"/>
    <tableColumn id="2" xr3:uid="{779A6CDC-7F45-49FD-9EE7-F697BDC6A033}" uniqueName="2" name="Home" queryTableFieldId="2" dataDxfId="37"/>
    <tableColumn id="3" xr3:uid="{4C743497-7622-49B4-B5FC-F36F5533FF9C}" uniqueName="3" name="xG" queryTableFieldId="3" dataDxfId="36"/>
    <tableColumn id="4" xr3:uid="{8A0211BB-11DE-43FB-871A-C206B707DC3C}" uniqueName="4" name="xG_1" queryTableFieldId="4" dataDxfId="35"/>
    <tableColumn id="5" xr3:uid="{B684AF14-3A5A-4527-9CEC-BA73706C065D}" uniqueName="5" name="Away" queryTableFieldId="5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88FB32-0C14-43F7-ADCF-6DA7CE333346}" name="Stats" displayName="Stats" ref="A2:P26" tableType="queryTable" totalsRowShown="0" dataDxfId="33">
  <autoFilter ref="A2:P26" xr:uid="{C288FB32-0C14-43F7-ADCF-6DA7CE333346}"/>
  <tableColumns count="16">
    <tableColumn id="18" xr3:uid="{05A77B5C-656C-4E42-AAB4-BC1EB13FA202}" uniqueName="18" name="Position" queryTableFieldId="17" dataDxfId="32"/>
    <tableColumn id="19" xr3:uid="{E57514F0-D745-44B4-9962-A98EEFF0F243}" uniqueName="19" name="Team" queryTableFieldId="18" dataDxfId="31"/>
    <tableColumn id="20" xr3:uid="{60F43988-591E-49A8-BC5C-1A91E3432077}" uniqueName="20" name="Matches Played" queryTableFieldId="19" dataDxfId="30"/>
    <tableColumn id="4" xr3:uid="{A544E1DC-DB4F-42E0-B6B0-F3149B65550E}" uniqueName="4" name="W" queryTableFieldId="4" dataDxfId="29"/>
    <tableColumn id="5" xr3:uid="{A5D6EBDC-45C2-4641-A5C5-C2E3595C4011}" uniqueName="5" name="D" queryTableFieldId="5" dataDxfId="28"/>
    <tableColumn id="6" xr3:uid="{035C75DA-03C6-4EB4-9180-CF6B7C208AE7}" uniqueName="6" name="L" queryTableFieldId="6" dataDxfId="27"/>
    <tableColumn id="21" xr3:uid="{88A71B05-A5EA-4D00-B40D-0F79B916C7E6}" uniqueName="21" name="Goals For" queryTableFieldId="20" dataDxfId="26"/>
    <tableColumn id="22" xr3:uid="{62C648BE-37A1-424F-A0FD-D7CD432407FD}" uniqueName="22" name="Goals Against" queryTableFieldId="21" dataDxfId="25"/>
    <tableColumn id="23" xr3:uid="{3080AFBD-3881-48CD-AB6A-726EFD92A1EC}" uniqueName="23" name="Goal Difference" queryTableFieldId="22" dataDxfId="24"/>
    <tableColumn id="10" xr3:uid="{31241EB4-94CB-4D7C-8C25-DD1EB14DCBA9}" uniqueName="10" name="Pts" queryTableFieldId="10" dataDxfId="23"/>
    <tableColumn id="24" xr3:uid="{4B2A8FD4-4B1E-43DE-9790-BF7EBC170AF3}" uniqueName="24" name="Pts/Game" queryTableFieldId="23" dataDxfId="22"/>
    <tableColumn id="12" xr3:uid="{E812002B-0B1C-48CF-8943-EEADAE1DA974}" uniqueName="12" name="xG" queryTableFieldId="12" dataDxfId="21"/>
    <tableColumn id="13" xr3:uid="{976C57D5-E6E7-42B9-B851-F11B34137A0D}" uniqueName="13" name="xGA" queryTableFieldId="13" dataDxfId="20"/>
    <tableColumn id="14" xr3:uid="{6A3BEEF1-87F5-4659-9E6A-098768428A59}" uniqueName="14" name="xGD" queryTableFieldId="14" dataDxfId="19"/>
    <tableColumn id="15" xr3:uid="{974197E1-289B-45AD-8564-DBB33C92059D}" uniqueName="15" name="xGD/90" queryTableFieldId="15" dataDxfId="18"/>
    <tableColumn id="16" xr3:uid="{6B84F39F-EAAA-462C-9DBF-26F6EA14578F}" uniqueName="16" name="Notes" queryTableFieldId="16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C52AE5-6959-446D-B6F3-CEE51DA7E172}" name="Stats_3" displayName="Stats_3" ref="A1:P25" tableType="queryTable" totalsRowShown="0">
  <autoFilter ref="A1:P25" xr:uid="{C2C52AE5-6959-446D-B6F3-CEE51DA7E172}"/>
  <tableColumns count="16">
    <tableColumn id="16" xr3:uid="{B3E503CC-7296-4774-8F9D-66948B20EE68}" uniqueName="16" name="Team" queryTableFieldId="1" dataDxfId="16"/>
    <tableColumn id="2" xr3:uid="{A9B6B158-D085-4CA3-8CDC-81B5A4B9E8E7}" uniqueName="2" name="Matches Played" queryTableFieldId="2"/>
    <tableColumn id="3" xr3:uid="{97903E62-8ABD-4F18-B605-9066C17DB650}" uniqueName="3" name="Goals" queryTableFieldId="3"/>
    <tableColumn id="17" xr3:uid="{258645C4-3F11-4BF4-BA73-00DBD3CA27A5}" uniqueName="17" name="Goals/90" queryTableFieldId="16"/>
    <tableColumn id="4" xr3:uid="{E5501ED5-E4DE-4FDA-BD70-8F1F6C4BE5EC}" uniqueName="4" name="Shots" queryTableFieldId="4"/>
    <tableColumn id="5" xr3:uid="{6883A965-8B2A-4220-B2DA-3766EF613BD5}" uniqueName="5" name="Shots on Target" queryTableFieldId="5"/>
    <tableColumn id="6" xr3:uid="{71C7C39D-201A-4A3B-9593-A2DCE9CF92FC}" uniqueName="6" name="Shots on Target %" queryTableFieldId="6"/>
    <tableColumn id="7" xr3:uid="{EA090CEC-AE12-42E3-9C01-6B018E45F213}" uniqueName="7" name="Shots/90" queryTableFieldId="7"/>
    <tableColumn id="8" xr3:uid="{408A9F56-A904-455D-8C21-C2DB06C6B105}" uniqueName="8" name="Shots on Target/90" queryTableFieldId="8"/>
    <tableColumn id="9" xr3:uid="{5AD8A6B2-7FD1-4379-B96F-8DDE173E94E3}" uniqueName="9" name="Conversion Rate" queryTableFieldId="9" dataDxfId="15" dataCellStyle="Percent"/>
    <tableColumn id="10" xr3:uid="{1391E99C-3D92-44B8-990C-C77392ECC945}" uniqueName="10" name="Goals/Shots on Target" queryTableFieldId="10"/>
    <tableColumn id="11" xr3:uid="{47674196-1001-4922-A6D4-EEABBCF21E6B}" uniqueName="11" name="xG" queryTableFieldId="11"/>
    <tableColumn id="12" xr3:uid="{7C7CB450-C402-4036-B3CF-244A18822720}" uniqueName="12" name="xG/Shot" queryTableFieldId="12"/>
    <tableColumn id="13" xr3:uid="{83167860-E22C-4F20-B7A6-3B0BBDCFAEC4}" uniqueName="13" name="xG/90" queryTableFieldId="13"/>
    <tableColumn id="14" xr3:uid="{6C5520C1-401A-43B9-A825-4C4BE3E863C3}" uniqueName="14" name="npxG" queryTableFieldId="14"/>
    <tableColumn id="15" xr3:uid="{A23CA660-E245-4A07-AA21-0E14F8DD19D7}" uniqueName="15" name="npxG/90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3A6B9B-74D6-4A7B-AC29-97E65CF0D6CA}" name="Stats_2" displayName="Stats_2" ref="A1:H25" tableType="queryTable" totalsRowShown="0">
  <autoFilter ref="A1:H25" xr:uid="{D53A6B9B-74D6-4A7B-AC29-97E65CF0D6CA}"/>
  <tableColumns count="8">
    <tableColumn id="9" xr3:uid="{19316431-735C-49CF-A1A8-A5F578A98861}" uniqueName="9" name="Squad" queryTableFieldId="1" dataDxfId="14"/>
    <tableColumn id="2" xr3:uid="{CD4A77C3-7AC8-4E19-ABF0-41E46125CD6F}" uniqueName="2" name="Matches Played" queryTableFieldId="2" dataDxfId="13"/>
    <tableColumn id="3" xr3:uid="{4294F34B-F06D-4C56-849B-B1811A63FF4C}" uniqueName="3" name="Goals Against" queryTableFieldId="3" dataDxfId="12"/>
    <tableColumn id="4" xr3:uid="{4AAE64F7-5241-4459-9ED1-5FB7E8ADF29B}" uniqueName="4" name="Goals Against/90" queryTableFieldId="4" dataDxfId="11"/>
    <tableColumn id="5" xr3:uid="{7F227E2F-1E85-4080-A0D4-632F338A8829}" uniqueName="5" name="Shots on Target Against" queryTableFieldId="5" dataDxfId="10"/>
    <tableColumn id="6" xr3:uid="{075479F4-7B78-4A19-94F2-457855534169}" uniqueName="6" name="Shots on Target/90" queryTableFieldId="6" dataDxfId="9"/>
    <tableColumn id="7" xr3:uid="{28B06F6E-CCB8-47F5-8A71-95A090B8EA8A}" uniqueName="7" name="Saves" queryTableFieldId="7" dataDxfId="8"/>
    <tableColumn id="8" xr3:uid="{E9BA6ADC-AB0C-45C7-922F-F1F15F214872}" uniqueName="8" name="Save%" queryTableFieldId="8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D85CE4-B9B2-49D7-A70B-8C9CEB6FF07C}" name="Stats_6" displayName="Stats_6" ref="A1:F25" tableType="queryTable" totalsRowShown="0">
  <autoFilter ref="A1:F25" xr:uid="{B7D85CE4-B9B2-49D7-A70B-8C9CEB6FF07C}"/>
  <tableColumns count="6">
    <tableColumn id="6" xr3:uid="{72439CA4-D82D-4A54-BABC-912D3379CB66}" uniqueName="6" name="Squad" queryTableFieldId="1" dataDxfId="6"/>
    <tableColumn id="2" xr3:uid="{9A8BB287-B833-4FE1-9B45-533346ECE6FC}" uniqueName="2" name="Matches Played" queryTableFieldId="2" dataDxfId="5"/>
    <tableColumn id="3" xr3:uid="{1F19F463-DE4F-4D3E-BFBC-002E13596DB6}" uniqueName="3" name="Passes Completed" queryTableFieldId="3" dataDxfId="4"/>
    <tableColumn id="4" xr3:uid="{FD8D6D45-CF4C-415C-B7A7-4BC12E8D55CA}" uniqueName="4" name="Passes Attempted" queryTableFieldId="4" dataDxfId="3"/>
    <tableColumn id="7" xr3:uid="{0CE31D05-961A-4430-9A0C-4FA6EA2D378E}" uniqueName="7" name="Passes Attempted/90" queryTableFieldId="6"/>
    <tableColumn id="5" xr3:uid="{41222721-41A0-4E5F-9638-553DA24737F0}" uniqueName="5" name="Completion Rate" queryTableFieldId="5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01047E-B5E0-4F6B-8E63-4B4BAF528EC5}" name="Stats_7" displayName="Stats_7" ref="A1:L25" tableType="queryTable" totalsRowShown="0">
  <autoFilter ref="A1:L25" xr:uid="{BE01047E-B5E0-4F6B-8E63-4B4BAF528EC5}"/>
  <tableColumns count="12">
    <tableColumn id="13" xr3:uid="{C49C6635-D816-4AA4-9A21-0B641B72ED81}" uniqueName="13" name="Squad" queryTableFieldId="1" dataDxfId="1"/>
    <tableColumn id="2" xr3:uid="{626D2844-CAF0-4986-9781-A37C7C910CFE}" uniqueName="2" name="Matches Played" queryTableFieldId="2"/>
    <tableColumn id="3" xr3:uid="{E8F3E091-19ED-43BD-88AB-004E0EF3C6B4}" uniqueName="3" name="Tackles Attempted" queryTableFieldId="3"/>
    <tableColumn id="4" xr3:uid="{34273B8E-BAC4-4B0D-BA17-685719FAB989}" uniqueName="4" name="Tackles Attempted/90" queryTableFieldId="4"/>
    <tableColumn id="5" xr3:uid="{B28BC9B1-0B85-4B61-8742-76BB6EA2B33D}" uniqueName="5" name="Tackles Won" queryTableFieldId="5"/>
    <tableColumn id="6" xr3:uid="{10145566-986D-460D-9E97-D5B2AD29BAD9}" uniqueName="6" name="Tackle Win %" queryTableFieldId="6" dataDxfId="0" dataCellStyle="Percent"/>
    <tableColumn id="7" xr3:uid="{111B81D4-0C6E-47A2-BD4A-D3E8BC72AA76}" uniqueName="7" name="Blocks Made" queryTableFieldId="7"/>
    <tableColumn id="8" xr3:uid="{D1C3FD9C-C898-4955-8324-A88B8ADC5316}" uniqueName="8" name="Blocks/90" queryTableFieldId="8"/>
    <tableColumn id="9" xr3:uid="{C63BFEFD-7314-4826-8C43-756FF379BCC5}" uniqueName="9" name="Interceptions Made" queryTableFieldId="9"/>
    <tableColumn id="10" xr3:uid="{CCA79EA5-4163-4C5F-BC4C-D26F0CFA4A77}" uniqueName="10" name="Tackles + Interceptions" queryTableFieldId="10"/>
    <tableColumn id="11" xr3:uid="{FDD435D1-128A-430E-8D74-2C10A6DAC03F}" uniqueName="11" name="Clearances" queryTableFieldId="11"/>
    <tableColumn id="12" xr3:uid="{198684F4-8247-44BC-B7DF-7CB48E16505C}" uniqueName="12" name="Clearances/90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matches/870665ac/Plymouth-Argyle-Stoke-City-December-2-2023-Championship" TargetMode="External"/><Relationship Id="rId21" Type="http://schemas.openxmlformats.org/officeDocument/2006/relationships/hyperlink" Target="https://fbref.com/en/players/df04eb4b/Crysencio-Summerville" TargetMode="External"/><Relationship Id="rId42" Type="http://schemas.openxmlformats.org/officeDocument/2006/relationships/hyperlink" Target="https://fbref.com/en/matches/4a451a77/Middlesbrough-Hull-City-December-13-2023-Championship" TargetMode="External"/><Relationship Id="rId63" Type="http://schemas.openxmlformats.org/officeDocument/2006/relationships/hyperlink" Target="https://fbref.com/en/matches/82af1184/Hull-City-Watford-December-2-2023-Championship" TargetMode="External"/><Relationship Id="rId84" Type="http://schemas.openxmlformats.org/officeDocument/2006/relationships/hyperlink" Target="https://fbref.com/en/players/9b26a433/Leopold-Wahlstedt" TargetMode="External"/><Relationship Id="rId138" Type="http://schemas.openxmlformats.org/officeDocument/2006/relationships/hyperlink" Target="https://fbref.com/en/squads/17892952/Stoke-City-Stats" TargetMode="External"/><Relationship Id="rId159" Type="http://schemas.openxmlformats.org/officeDocument/2006/relationships/hyperlink" Target="https://fbref.com/en/matches/e313dfd5/Millwall-Huddersfield-Town-December-16-2023-Championship" TargetMode="External"/><Relationship Id="rId170" Type="http://schemas.openxmlformats.org/officeDocument/2006/relationships/hyperlink" Target="https://fbref.com/en/matches/5eaeec05/Sheffield-Wednesday-Blackburn-Rovers-December-2-2023-Championship" TargetMode="External"/><Relationship Id="rId107" Type="http://schemas.openxmlformats.org/officeDocument/2006/relationships/hyperlink" Target="https://fbref.com/en/players/a77c1ce8/Max-OLeary" TargetMode="External"/><Relationship Id="rId11" Type="http://schemas.openxmlformats.org/officeDocument/2006/relationships/hyperlink" Target="https://fbref.com/en/matches/b7c0db39/Middlesbrough-Ipswich-Town-December-9-2023-Championship" TargetMode="External"/><Relationship Id="rId32" Type="http://schemas.openxmlformats.org/officeDocument/2006/relationships/hyperlink" Target="https://fbref.com/en/matches/e62e78c8/Cardiff-City-West-Bromwich-Albion-November-28-2023-Championship" TargetMode="External"/><Relationship Id="rId53" Type="http://schemas.openxmlformats.org/officeDocument/2006/relationships/hyperlink" Target="https://fbref.com/en/squads/22df8478/Preston-North-End-Stats" TargetMode="External"/><Relationship Id="rId74" Type="http://schemas.openxmlformats.org/officeDocument/2006/relationships/hyperlink" Target="https://fbref.com/en/matches/45f161d2/Ipswich-Town-Norwich-City-December-16-2023-Championship" TargetMode="External"/><Relationship Id="rId128" Type="http://schemas.openxmlformats.org/officeDocument/2006/relationships/hyperlink" Target="https://fbref.com/en/matches/125313a9/Birmingham-City-Leicester-City-December-18-2023-Championship" TargetMode="External"/><Relationship Id="rId149" Type="http://schemas.openxmlformats.org/officeDocument/2006/relationships/hyperlink" Target="https://fbref.com/en/matches/0025a68e/Cardiff-City-Millwall-December-9-2023-Championship" TargetMode="External"/><Relationship Id="rId5" Type="http://schemas.openxmlformats.org/officeDocument/2006/relationships/hyperlink" Target="https://fbref.com/en/matches/23f8d53e/Leicester-City-Millwall-December-13-2023-Championship" TargetMode="External"/><Relationship Id="rId95" Type="http://schemas.openxmlformats.org/officeDocument/2006/relationships/hyperlink" Target="https://fbref.com/en/matches/789e1600/Leeds-United-Middlesbrough-December-2-2023-Championship" TargetMode="External"/><Relationship Id="rId160" Type="http://schemas.openxmlformats.org/officeDocument/2006/relationships/hyperlink" Target="https://fbref.com/en/players/b105cebe/Lee-Nicholls" TargetMode="External"/><Relationship Id="rId181" Type="http://schemas.openxmlformats.org/officeDocument/2006/relationships/hyperlink" Target="https://fbref.com/en/players/e4a588a7/Viktor-Johansson" TargetMode="External"/><Relationship Id="rId22" Type="http://schemas.openxmlformats.org/officeDocument/2006/relationships/hyperlink" Target="https://fbref.com/en/players/6b625ac2/Illan-Meslier" TargetMode="External"/><Relationship Id="rId43" Type="http://schemas.openxmlformats.org/officeDocument/2006/relationships/hyperlink" Target="https://fbref.com/en/matches/6b14e74f/Hull-City-Cardiff-City-December-16-2023-Championship" TargetMode="External"/><Relationship Id="rId64" Type="http://schemas.openxmlformats.org/officeDocument/2006/relationships/hyperlink" Target="https://fbref.com/en/matches/a140dde9/Watford-Southampton-December-9-2023-Championship" TargetMode="External"/><Relationship Id="rId118" Type="http://schemas.openxmlformats.org/officeDocument/2006/relationships/hyperlink" Target="https://fbref.com/en/matches/72e20bb7/Leicester-City-Plymouth-Argyle-December-9-2023-Championship" TargetMode="External"/><Relationship Id="rId139" Type="http://schemas.openxmlformats.org/officeDocument/2006/relationships/hyperlink" Target="https://fbref.com/en/matches/316717de/Queens-Park-Rangers-Stoke-City-November-28-2023-Championship" TargetMode="External"/><Relationship Id="rId85" Type="http://schemas.openxmlformats.org/officeDocument/2006/relationships/hyperlink" Target="https://fbref.com/en/squads/75fae011/Cardiff-City-Stats" TargetMode="External"/><Relationship Id="rId150" Type="http://schemas.openxmlformats.org/officeDocument/2006/relationships/hyperlink" Target="https://fbref.com/en/matches/23f8d53e/Leicester-City-Millwall-December-13-2023-Championship" TargetMode="External"/><Relationship Id="rId171" Type="http://schemas.openxmlformats.org/officeDocument/2006/relationships/hyperlink" Target="https://fbref.com/en/matches/1b30c4ef/Stoke-City-Sheffield-Wednesday-December-9-2023-Championship" TargetMode="External"/><Relationship Id="rId12" Type="http://schemas.openxmlformats.org/officeDocument/2006/relationships/hyperlink" Target="https://fbref.com/en/matches/123c4733/Watford-Ipswich-Town-December-12-2023-Championship" TargetMode="External"/><Relationship Id="rId33" Type="http://schemas.openxmlformats.org/officeDocument/2006/relationships/hyperlink" Target="https://fbref.com/en/matches/dbdccdf9/West-Bromwich-Albion-Leicester-City-December-2-2023-Championship" TargetMode="External"/><Relationship Id="rId108" Type="http://schemas.openxmlformats.org/officeDocument/2006/relationships/hyperlink" Target="https://fbref.com/en/squads/f7e3dfe9/Coventry-City-Stats" TargetMode="External"/><Relationship Id="rId129" Type="http://schemas.openxmlformats.org/officeDocument/2006/relationships/hyperlink" Target="https://fbref.com/en/players/da8b19e2/John-Ruddy" TargetMode="External"/><Relationship Id="rId54" Type="http://schemas.openxmlformats.org/officeDocument/2006/relationships/hyperlink" Target="https://fbref.com/en/matches/62c0ccb0/Middlesbrough-Preston-North-End-November-28-2023-Championship" TargetMode="External"/><Relationship Id="rId75" Type="http://schemas.openxmlformats.org/officeDocument/2006/relationships/hyperlink" Target="https://fbref.com/en/players/8c12f884/Jon-Rowe" TargetMode="External"/><Relationship Id="rId96" Type="http://schemas.openxmlformats.org/officeDocument/2006/relationships/hyperlink" Target="https://fbref.com/en/matches/b7c0db39/Middlesbrough-Ipswich-Town-December-9-2023-Championship" TargetMode="External"/><Relationship Id="rId140" Type="http://schemas.openxmlformats.org/officeDocument/2006/relationships/hyperlink" Target="https://fbref.com/en/matches/870665ac/Plymouth-Argyle-Stoke-City-December-2-2023-Championship" TargetMode="External"/><Relationship Id="rId161" Type="http://schemas.openxmlformats.org/officeDocument/2006/relationships/hyperlink" Target="https://fbref.com/en/squads/a757999c/Queens-Park-Rangers-Stats" TargetMode="External"/><Relationship Id="rId182" Type="http://schemas.openxmlformats.org/officeDocument/2006/relationships/printerSettings" Target="../printerSettings/printerSettings1.bin"/><Relationship Id="rId6" Type="http://schemas.openxmlformats.org/officeDocument/2006/relationships/hyperlink" Target="https://fbref.com/en/matches/125313a9/Birmingham-City-Leicester-City-December-18-2023-Championship" TargetMode="External"/><Relationship Id="rId23" Type="http://schemas.openxmlformats.org/officeDocument/2006/relationships/hyperlink" Target="https://fbref.com/en/squads/33c895d4/Southampton-Stats" TargetMode="External"/><Relationship Id="rId119" Type="http://schemas.openxmlformats.org/officeDocument/2006/relationships/hyperlink" Target="https://fbref.com/en/matches/96460b03/Queens-Park-Rangers-Plymouth-Argyle-December-13-2023-Championship" TargetMode="External"/><Relationship Id="rId44" Type="http://schemas.openxmlformats.org/officeDocument/2006/relationships/hyperlink" Target="https://fbref.com/en/players/af615123/Ryan-Allsop" TargetMode="External"/><Relationship Id="rId65" Type="http://schemas.openxmlformats.org/officeDocument/2006/relationships/hyperlink" Target="https://fbref.com/en/matches/123c4733/Watford-Ipswich-Town-December-12-2023-Championship" TargetMode="External"/><Relationship Id="rId86" Type="http://schemas.openxmlformats.org/officeDocument/2006/relationships/hyperlink" Target="https://fbref.com/en/matches/e62e78c8/Cardiff-City-West-Bromwich-Albion-November-28-2023-Championship" TargetMode="External"/><Relationship Id="rId130" Type="http://schemas.openxmlformats.org/officeDocument/2006/relationships/hyperlink" Target="https://fbref.com/en/squads/fb10988f/Swansea-City-Stats" TargetMode="External"/><Relationship Id="rId151" Type="http://schemas.openxmlformats.org/officeDocument/2006/relationships/hyperlink" Target="https://fbref.com/en/matches/e313dfd5/Millwall-Huddersfield-Town-December-16-2023-Championship" TargetMode="External"/><Relationship Id="rId172" Type="http://schemas.openxmlformats.org/officeDocument/2006/relationships/hyperlink" Target="https://fbref.com/en/matches/1e86e0f1/Norwich-City-Sheffield-Wednesday-December-13-2023-Championship" TargetMode="External"/><Relationship Id="rId13" Type="http://schemas.openxmlformats.org/officeDocument/2006/relationships/hyperlink" Target="https://fbref.com/en/matches/45f161d2/Ipswich-Town-Norwich-City-December-16-2023-Championship" TargetMode="External"/><Relationship Id="rId18" Type="http://schemas.openxmlformats.org/officeDocument/2006/relationships/hyperlink" Target="https://fbref.com/en/matches/fd1dd311/Blackburn-Rovers-Leeds-United-December-9-2023-Championship" TargetMode="External"/><Relationship Id="rId39" Type="http://schemas.openxmlformats.org/officeDocument/2006/relationships/hyperlink" Target="https://fbref.com/en/matches/bf2e6470/Hull-City-Rotherham-United-November-28-2023-Championship" TargetMode="External"/><Relationship Id="rId109" Type="http://schemas.openxmlformats.org/officeDocument/2006/relationships/hyperlink" Target="https://fbref.com/en/matches/c52805c6/Coventry-City-Plymouth-Argyle-November-28-2023-Championship" TargetMode="External"/><Relationship Id="rId34" Type="http://schemas.openxmlformats.org/officeDocument/2006/relationships/hyperlink" Target="https://fbref.com/en/matches/c572fddd/Sunderland-West-Bromwich-Albion-December-9-2023-Championship" TargetMode="External"/><Relationship Id="rId50" Type="http://schemas.openxmlformats.org/officeDocument/2006/relationships/hyperlink" Target="https://fbref.com/en/matches/7637712f/Bristol-City-Sunderland-December-16-2023-Championship" TargetMode="External"/><Relationship Id="rId55" Type="http://schemas.openxmlformats.org/officeDocument/2006/relationships/hyperlink" Target="https://fbref.com/en/matches/ec028a69/Preston-North-End-Queens-Park-Rangers-December-1-2023-Championship" TargetMode="External"/><Relationship Id="rId76" Type="http://schemas.openxmlformats.org/officeDocument/2006/relationships/hyperlink" Target="https://fbref.com/en/players/e082af5b/Angus-Gunn" TargetMode="External"/><Relationship Id="rId97" Type="http://schemas.openxmlformats.org/officeDocument/2006/relationships/hyperlink" Target="https://fbref.com/en/matches/4a451a77/Middlesbrough-Hull-City-December-13-2023-Championship" TargetMode="External"/><Relationship Id="rId104" Type="http://schemas.openxmlformats.org/officeDocument/2006/relationships/hyperlink" Target="https://fbref.com/en/matches/4a81369b/Blackburn-Rovers-Bristol-City-December-12-2023-Championship" TargetMode="External"/><Relationship Id="rId120" Type="http://schemas.openxmlformats.org/officeDocument/2006/relationships/hyperlink" Target="https://fbref.com/en/matches/18309441/Plymouth-Argyle-Rotherham-United-December-16-2023-Championship" TargetMode="External"/><Relationship Id="rId125" Type="http://schemas.openxmlformats.org/officeDocument/2006/relationships/hyperlink" Target="https://fbref.com/en/matches/a1dcc7a2/Birmingham-City-Rotherham-United-December-2-2023-Championship" TargetMode="External"/><Relationship Id="rId141" Type="http://schemas.openxmlformats.org/officeDocument/2006/relationships/hyperlink" Target="https://fbref.com/en/matches/1b30c4ef/Stoke-City-Sheffield-Wednesday-December-9-2023-Championship" TargetMode="External"/><Relationship Id="rId146" Type="http://schemas.openxmlformats.org/officeDocument/2006/relationships/hyperlink" Target="https://fbref.com/en/squads/e3c537a1/Millwall-Stats" TargetMode="External"/><Relationship Id="rId167" Type="http://schemas.openxmlformats.org/officeDocument/2006/relationships/hyperlink" Target="https://fbref.com/en/players/7b4de647/Asmir-Begovic" TargetMode="External"/><Relationship Id="rId188" Type="http://schemas.openxmlformats.org/officeDocument/2006/relationships/queryTable" Target="../queryTables/queryTable6.xml"/><Relationship Id="rId7" Type="http://schemas.openxmlformats.org/officeDocument/2006/relationships/hyperlink" Target="https://fbref.com/en/players/c924b17d/Mads-Hermansen" TargetMode="External"/><Relationship Id="rId71" Type="http://schemas.openxmlformats.org/officeDocument/2006/relationships/hyperlink" Target="https://fbref.com/en/matches/59d10eb0/Bristol-City-Norwich-City-December-3-2023-Championship" TargetMode="External"/><Relationship Id="rId92" Type="http://schemas.openxmlformats.org/officeDocument/2006/relationships/hyperlink" Target="https://fbref.com/en/players/b0835fc0/Jak-Alnwick" TargetMode="External"/><Relationship Id="rId162" Type="http://schemas.openxmlformats.org/officeDocument/2006/relationships/hyperlink" Target="https://fbref.com/en/matches/316717de/Queens-Park-Rangers-Stoke-City-November-28-2023-Championship" TargetMode="External"/><Relationship Id="rId183" Type="http://schemas.openxmlformats.org/officeDocument/2006/relationships/queryTable" Target="../queryTables/queryTable1.xml"/><Relationship Id="rId2" Type="http://schemas.openxmlformats.org/officeDocument/2006/relationships/hyperlink" Target="https://fbref.com/en/matches/4bea4810/Sheffield-Wednesday-Leicester-City-November-29-2023-Championship" TargetMode="External"/><Relationship Id="rId29" Type="http://schemas.openxmlformats.org/officeDocument/2006/relationships/hyperlink" Target="https://fbref.com/en/players/68c720b5/Adam-Armstrong" TargetMode="External"/><Relationship Id="rId24" Type="http://schemas.openxmlformats.org/officeDocument/2006/relationships/hyperlink" Target="https://fbref.com/en/matches/7a3e7fc1/Southampton-Bristol-City-November-29-2023-Championship" TargetMode="External"/><Relationship Id="rId40" Type="http://schemas.openxmlformats.org/officeDocument/2006/relationships/hyperlink" Target="https://fbref.com/en/matches/82af1184/Hull-City-Watford-December-2-2023-Championship" TargetMode="External"/><Relationship Id="rId45" Type="http://schemas.openxmlformats.org/officeDocument/2006/relationships/hyperlink" Target="https://fbref.com/en/squads/8ef52968/Sunderland-Stats" TargetMode="External"/><Relationship Id="rId66" Type="http://schemas.openxmlformats.org/officeDocument/2006/relationships/hyperlink" Target="https://fbref.com/en/matches/da0c1a91/Preston-North-End-Watford-December-16-2023-Championship" TargetMode="External"/><Relationship Id="rId87" Type="http://schemas.openxmlformats.org/officeDocument/2006/relationships/hyperlink" Target="https://fbref.com/en/matches/3aa56639/Southampton-Cardiff-City-December-2-2023-Championship" TargetMode="External"/><Relationship Id="rId110" Type="http://schemas.openxmlformats.org/officeDocument/2006/relationships/hyperlink" Target="https://fbref.com/en/matches/b465c2ae/Ipswich-Town-Coventry-City-December-2-2023-Championship" TargetMode="External"/><Relationship Id="rId115" Type="http://schemas.openxmlformats.org/officeDocument/2006/relationships/hyperlink" Target="https://fbref.com/en/squads/32a1480e/Plymouth-Argyle-Stats" TargetMode="External"/><Relationship Id="rId131" Type="http://schemas.openxmlformats.org/officeDocument/2006/relationships/hyperlink" Target="https://fbref.com/en/matches/3fc553c1/Leeds-United-Swansea-City-November-29-2023-Championship" TargetMode="External"/><Relationship Id="rId136" Type="http://schemas.openxmlformats.org/officeDocument/2006/relationships/hyperlink" Target="https://fbref.com/en/players/637047f7/Jerry-Yates" TargetMode="External"/><Relationship Id="rId157" Type="http://schemas.openxmlformats.org/officeDocument/2006/relationships/hyperlink" Target="https://fbref.com/en/matches/9f9446e1/Huddersfield-Town-Bristol-City-December-9-2023-Championship" TargetMode="External"/><Relationship Id="rId178" Type="http://schemas.openxmlformats.org/officeDocument/2006/relationships/hyperlink" Target="https://fbref.com/en/matches/255322ba/Rotherham-United-Swansea-City-December-9-2023-Championship" TargetMode="External"/><Relationship Id="rId61" Type="http://schemas.openxmlformats.org/officeDocument/2006/relationships/hyperlink" Target="https://fbref.com/en/squads/2abfe087/Watford-Stats" TargetMode="External"/><Relationship Id="rId82" Type="http://schemas.openxmlformats.org/officeDocument/2006/relationships/hyperlink" Target="https://fbref.com/en/matches/488ad30a/Southampton-Blackburn-Rovers-December-16-2023-Championship" TargetMode="External"/><Relationship Id="rId152" Type="http://schemas.openxmlformats.org/officeDocument/2006/relationships/hyperlink" Target="https://fbref.com/en/players/9f9f2ca7/Kevin-Nisbet" TargetMode="External"/><Relationship Id="rId173" Type="http://schemas.openxmlformats.org/officeDocument/2006/relationships/hyperlink" Target="https://fbref.com/en/matches/8e6fa20c/Sheffield-Wednesday-Queens-Park-Rangers-December-16-2023-Championship" TargetMode="External"/><Relationship Id="rId19" Type="http://schemas.openxmlformats.org/officeDocument/2006/relationships/hyperlink" Target="https://fbref.com/en/matches/b0ceaa69/Sunderland-Leeds-United-December-12-2023-Championship" TargetMode="External"/><Relationship Id="rId14" Type="http://schemas.openxmlformats.org/officeDocument/2006/relationships/hyperlink" Target="https://fbref.com/en/players/6658971d/Vaclav-Hladky" TargetMode="External"/><Relationship Id="rId30" Type="http://schemas.openxmlformats.org/officeDocument/2006/relationships/hyperlink" Target="https://fbref.com/en/players/c91441dc/Gavin-Bazunu" TargetMode="External"/><Relationship Id="rId35" Type="http://schemas.openxmlformats.org/officeDocument/2006/relationships/hyperlink" Target="https://fbref.com/en/matches/6ac1c276/Rotherham-United-West-Bromwich-Albion-December-12-2023-Championship" TargetMode="External"/><Relationship Id="rId56" Type="http://schemas.openxmlformats.org/officeDocument/2006/relationships/hyperlink" Target="https://fbref.com/en/matches/14152640/Norwich-City-Preston-North-End-December-9-2023-Championship" TargetMode="External"/><Relationship Id="rId77" Type="http://schemas.openxmlformats.org/officeDocument/2006/relationships/hyperlink" Target="https://fbref.com/en/squads/e090f40b/Blackburn-Rovers-Stats" TargetMode="External"/><Relationship Id="rId100" Type="http://schemas.openxmlformats.org/officeDocument/2006/relationships/hyperlink" Target="https://fbref.com/en/squads/93493607/Bristol-City-Stats" TargetMode="External"/><Relationship Id="rId105" Type="http://schemas.openxmlformats.org/officeDocument/2006/relationships/hyperlink" Target="https://fbref.com/en/matches/7637712f/Bristol-City-Sunderland-December-16-2023-Championship" TargetMode="External"/><Relationship Id="rId126" Type="http://schemas.openxmlformats.org/officeDocument/2006/relationships/hyperlink" Target="https://fbref.com/en/matches/ca335bfb/Coventry-City-Birmingham-City-December-8-2023-Championship" TargetMode="External"/><Relationship Id="rId147" Type="http://schemas.openxmlformats.org/officeDocument/2006/relationships/hyperlink" Target="https://fbref.com/en/matches/d6b40f6f/Ipswich-Town-Millwall-November-29-2023-Championship" TargetMode="External"/><Relationship Id="rId168" Type="http://schemas.openxmlformats.org/officeDocument/2006/relationships/hyperlink" Target="https://fbref.com/en/squads/bba7d733/Sheffield-Wednesday-Stats" TargetMode="External"/><Relationship Id="rId8" Type="http://schemas.openxmlformats.org/officeDocument/2006/relationships/hyperlink" Target="https://fbref.com/en/squads/b74092de/Ipswich-Town-Stats" TargetMode="External"/><Relationship Id="rId51" Type="http://schemas.openxmlformats.org/officeDocument/2006/relationships/hyperlink" Target="https://fbref.com/en/players/e16932d8/Jack-Clarke" TargetMode="External"/><Relationship Id="rId72" Type="http://schemas.openxmlformats.org/officeDocument/2006/relationships/hyperlink" Target="https://fbref.com/en/matches/14152640/Norwich-City-Preston-North-End-December-9-2023-Championship" TargetMode="External"/><Relationship Id="rId93" Type="http://schemas.openxmlformats.org/officeDocument/2006/relationships/hyperlink" Target="https://fbref.com/en/squads/7f59c601/Middlesbrough-Stats" TargetMode="External"/><Relationship Id="rId98" Type="http://schemas.openxmlformats.org/officeDocument/2006/relationships/hyperlink" Target="https://fbref.com/en/matches/abc1b3ee/Swansea-City-Middlesbrough-December-16-2023-Championship" TargetMode="External"/><Relationship Id="rId121" Type="http://schemas.openxmlformats.org/officeDocument/2006/relationships/hyperlink" Target="https://fbref.com/en/players/d3d49142/Morgan-Whittaker" TargetMode="External"/><Relationship Id="rId142" Type="http://schemas.openxmlformats.org/officeDocument/2006/relationships/hyperlink" Target="https://fbref.com/en/matches/2b84dbda/Stoke-City-Swansea-City-December-12-2023-Championship" TargetMode="External"/><Relationship Id="rId163" Type="http://schemas.openxmlformats.org/officeDocument/2006/relationships/hyperlink" Target="https://fbref.com/en/matches/ec028a69/Preston-North-End-Queens-Park-Rangers-December-1-2023-Championship" TargetMode="External"/><Relationship Id="rId184" Type="http://schemas.openxmlformats.org/officeDocument/2006/relationships/queryTable" Target="../queryTables/queryTable2.xml"/><Relationship Id="rId189" Type="http://schemas.openxmlformats.org/officeDocument/2006/relationships/queryTable" Target="../queryTables/queryTable7.xml"/><Relationship Id="rId3" Type="http://schemas.openxmlformats.org/officeDocument/2006/relationships/hyperlink" Target="https://fbref.com/en/matches/dbdccdf9/West-Bromwich-Albion-Leicester-City-December-2-2023-Championship" TargetMode="External"/><Relationship Id="rId25" Type="http://schemas.openxmlformats.org/officeDocument/2006/relationships/hyperlink" Target="https://fbref.com/en/matches/3aa56639/Southampton-Cardiff-City-December-2-2023-Championship" TargetMode="External"/><Relationship Id="rId46" Type="http://schemas.openxmlformats.org/officeDocument/2006/relationships/hyperlink" Target="https://fbref.com/en/matches/90274f49/Sunderland-Huddersfield-Town-November-29-2023-Championship" TargetMode="External"/><Relationship Id="rId67" Type="http://schemas.openxmlformats.org/officeDocument/2006/relationships/hyperlink" Target="https://fbref.com/en/players/229da5b2/Mileta-Rajovic" TargetMode="External"/><Relationship Id="rId116" Type="http://schemas.openxmlformats.org/officeDocument/2006/relationships/hyperlink" Target="https://fbref.com/en/matches/c52805c6/Coventry-City-Plymouth-Argyle-November-28-2023-Championship" TargetMode="External"/><Relationship Id="rId137" Type="http://schemas.openxmlformats.org/officeDocument/2006/relationships/hyperlink" Target="https://fbref.com/en/players/810912d5/Carl-Rushworth" TargetMode="External"/><Relationship Id="rId158" Type="http://schemas.openxmlformats.org/officeDocument/2006/relationships/hyperlink" Target="https://fbref.com/en/matches/eb75c228/Huddersfield-Town-Preston-North-End-December-12-2023-Championship" TargetMode="External"/><Relationship Id="rId20" Type="http://schemas.openxmlformats.org/officeDocument/2006/relationships/hyperlink" Target="https://fbref.com/en/matches/2d45672e/Leeds-United-Coventry-City-December-16-2023-Championship" TargetMode="External"/><Relationship Id="rId41" Type="http://schemas.openxmlformats.org/officeDocument/2006/relationships/hyperlink" Target="https://fbref.com/en/matches/8f2d4278/Queens-Park-Rangers-Hull-City-December-9-2023-Championship" TargetMode="External"/><Relationship Id="rId62" Type="http://schemas.openxmlformats.org/officeDocument/2006/relationships/hyperlink" Target="https://fbref.com/en/matches/23239528/Watford-Norwich-City-November-28-2023-Championship" TargetMode="External"/><Relationship Id="rId83" Type="http://schemas.openxmlformats.org/officeDocument/2006/relationships/hyperlink" Target="https://fbref.com/en/players/39944392/Sammie-Szmodics" TargetMode="External"/><Relationship Id="rId88" Type="http://schemas.openxmlformats.org/officeDocument/2006/relationships/hyperlink" Target="https://fbref.com/en/matches/0025a68e/Cardiff-City-Millwall-December-9-2023-Championship" TargetMode="External"/><Relationship Id="rId111" Type="http://schemas.openxmlformats.org/officeDocument/2006/relationships/hyperlink" Target="https://fbref.com/en/matches/ca335bfb/Coventry-City-Birmingham-City-December-8-2023-Championship" TargetMode="External"/><Relationship Id="rId132" Type="http://schemas.openxmlformats.org/officeDocument/2006/relationships/hyperlink" Target="https://fbref.com/en/matches/eaef7661/Swansea-City-Huddersfield-Town-December-2-2023-Championship" TargetMode="External"/><Relationship Id="rId153" Type="http://schemas.openxmlformats.org/officeDocument/2006/relationships/hyperlink" Target="https://fbref.com/en/players/4b5e809f/Bartosz-Bialkowski" TargetMode="External"/><Relationship Id="rId174" Type="http://schemas.openxmlformats.org/officeDocument/2006/relationships/hyperlink" Target="https://fbref.com/en/players/872891bc/Cameron-Dawson" TargetMode="External"/><Relationship Id="rId179" Type="http://schemas.openxmlformats.org/officeDocument/2006/relationships/hyperlink" Target="https://fbref.com/en/matches/6ac1c276/Rotherham-United-West-Bromwich-Albion-December-12-2023-Championship" TargetMode="External"/><Relationship Id="rId190" Type="http://schemas.openxmlformats.org/officeDocument/2006/relationships/queryTable" Target="../queryTables/queryTable8.xml"/><Relationship Id="rId15" Type="http://schemas.openxmlformats.org/officeDocument/2006/relationships/hyperlink" Target="https://fbref.com/en/squads/5bfb9659/Leeds-United-Stats" TargetMode="External"/><Relationship Id="rId36" Type="http://schemas.openxmlformats.org/officeDocument/2006/relationships/hyperlink" Target="https://fbref.com/en/matches/295b1858/West-Bromwich-Albion-Stoke-City-December-17-2023-Championship" TargetMode="External"/><Relationship Id="rId57" Type="http://schemas.openxmlformats.org/officeDocument/2006/relationships/hyperlink" Target="https://fbref.com/en/matches/eb75c228/Huddersfield-Town-Preston-North-End-December-12-2023-Championship" TargetMode="External"/><Relationship Id="rId106" Type="http://schemas.openxmlformats.org/officeDocument/2006/relationships/hyperlink" Target="https://fbref.com/en/players/746a92c5/Tommy-Conway" TargetMode="External"/><Relationship Id="rId127" Type="http://schemas.openxmlformats.org/officeDocument/2006/relationships/hyperlink" Target="https://fbref.com/en/matches/56fef867/Cardiff-City-Birmingham-City-December-13-2023-Championship" TargetMode="External"/><Relationship Id="rId10" Type="http://schemas.openxmlformats.org/officeDocument/2006/relationships/hyperlink" Target="https://fbref.com/en/matches/b465c2ae/Ipswich-Town-Coventry-City-December-2-2023-Championship" TargetMode="External"/><Relationship Id="rId31" Type="http://schemas.openxmlformats.org/officeDocument/2006/relationships/hyperlink" Target="https://fbref.com/en/squads/60c6b05f/West-Bromwich-Albion-Stats" TargetMode="External"/><Relationship Id="rId52" Type="http://schemas.openxmlformats.org/officeDocument/2006/relationships/hyperlink" Target="https://fbref.com/en/players/b2470c6f/Anthony-Patterson" TargetMode="External"/><Relationship Id="rId73" Type="http://schemas.openxmlformats.org/officeDocument/2006/relationships/hyperlink" Target="https://fbref.com/en/matches/1e86e0f1/Norwich-City-Sheffield-Wednesday-December-13-2023-Championship" TargetMode="External"/><Relationship Id="rId78" Type="http://schemas.openxmlformats.org/officeDocument/2006/relationships/hyperlink" Target="https://fbref.com/en/matches/c7fa7591/Blackburn-Rovers-Birmingham-City-November-29-2023-Championship" TargetMode="External"/><Relationship Id="rId94" Type="http://schemas.openxmlformats.org/officeDocument/2006/relationships/hyperlink" Target="https://fbref.com/en/matches/62c0ccb0/Middlesbrough-Preston-North-End-November-28-2023-Championship" TargetMode="External"/><Relationship Id="rId99" Type="http://schemas.openxmlformats.org/officeDocument/2006/relationships/hyperlink" Target="https://fbref.com/en/players/c135cddd/Seny-Dieng" TargetMode="External"/><Relationship Id="rId101" Type="http://schemas.openxmlformats.org/officeDocument/2006/relationships/hyperlink" Target="https://fbref.com/en/matches/7a3e7fc1/Southampton-Bristol-City-November-29-2023-Championship" TargetMode="External"/><Relationship Id="rId122" Type="http://schemas.openxmlformats.org/officeDocument/2006/relationships/hyperlink" Target="https://fbref.com/en/players/10161491/Conor-Hazard" TargetMode="External"/><Relationship Id="rId143" Type="http://schemas.openxmlformats.org/officeDocument/2006/relationships/hyperlink" Target="https://fbref.com/en/matches/295b1858/West-Bromwich-Albion-Stoke-City-December-17-2023-Championship" TargetMode="External"/><Relationship Id="rId148" Type="http://schemas.openxmlformats.org/officeDocument/2006/relationships/hyperlink" Target="https://fbref.com/en/matches/43ce5ca3/Millwall-Sunderland-December-2-2023-Championship" TargetMode="External"/><Relationship Id="rId164" Type="http://schemas.openxmlformats.org/officeDocument/2006/relationships/hyperlink" Target="https://fbref.com/en/matches/8f2d4278/Queens-Park-Rangers-Hull-City-December-9-2023-Championship" TargetMode="External"/><Relationship Id="rId169" Type="http://schemas.openxmlformats.org/officeDocument/2006/relationships/hyperlink" Target="https://fbref.com/en/matches/4bea4810/Sheffield-Wednesday-Leicester-City-November-29-2023-Championship" TargetMode="External"/><Relationship Id="rId185" Type="http://schemas.openxmlformats.org/officeDocument/2006/relationships/queryTable" Target="../queryTables/queryTable3.xml"/><Relationship Id="rId4" Type="http://schemas.openxmlformats.org/officeDocument/2006/relationships/hyperlink" Target="https://fbref.com/en/matches/72e20bb7/Leicester-City-Plymouth-Argyle-December-9-2023-Championship" TargetMode="External"/><Relationship Id="rId9" Type="http://schemas.openxmlformats.org/officeDocument/2006/relationships/hyperlink" Target="https://fbref.com/en/matches/d6b40f6f/Ipswich-Town-Millwall-November-29-2023-Championship" TargetMode="External"/><Relationship Id="rId180" Type="http://schemas.openxmlformats.org/officeDocument/2006/relationships/hyperlink" Target="https://fbref.com/en/matches/18309441/Plymouth-Argyle-Rotherham-United-December-16-2023-Championship" TargetMode="External"/><Relationship Id="rId26" Type="http://schemas.openxmlformats.org/officeDocument/2006/relationships/hyperlink" Target="https://fbref.com/en/matches/a140dde9/Watford-Southampton-December-9-2023-Championship" TargetMode="External"/><Relationship Id="rId47" Type="http://schemas.openxmlformats.org/officeDocument/2006/relationships/hyperlink" Target="https://fbref.com/en/matches/43ce5ca3/Millwall-Sunderland-December-2-2023-Championship" TargetMode="External"/><Relationship Id="rId68" Type="http://schemas.openxmlformats.org/officeDocument/2006/relationships/hyperlink" Target="https://fbref.com/en/players/1c0eea98/Daniel-Bachmann" TargetMode="External"/><Relationship Id="rId89" Type="http://schemas.openxmlformats.org/officeDocument/2006/relationships/hyperlink" Target="https://fbref.com/en/matches/56fef867/Cardiff-City-Birmingham-City-December-13-2023-Championship" TargetMode="External"/><Relationship Id="rId112" Type="http://schemas.openxmlformats.org/officeDocument/2006/relationships/hyperlink" Target="https://fbref.com/en/matches/770ecb91/Coventry-City-Southampton-December-13-2023-Championship" TargetMode="External"/><Relationship Id="rId133" Type="http://schemas.openxmlformats.org/officeDocument/2006/relationships/hyperlink" Target="https://fbref.com/en/matches/255322ba/Rotherham-United-Swansea-City-December-9-2023-Championship" TargetMode="External"/><Relationship Id="rId154" Type="http://schemas.openxmlformats.org/officeDocument/2006/relationships/hyperlink" Target="https://fbref.com/en/squads/f5922ca5/Huddersfield-Town-Stats" TargetMode="External"/><Relationship Id="rId175" Type="http://schemas.openxmlformats.org/officeDocument/2006/relationships/hyperlink" Target="https://fbref.com/en/squads/375d66f1/Rotherham-United-Stats" TargetMode="External"/><Relationship Id="rId16" Type="http://schemas.openxmlformats.org/officeDocument/2006/relationships/hyperlink" Target="https://fbref.com/en/matches/3fc553c1/Leeds-United-Swansea-City-November-29-2023-Championship" TargetMode="External"/><Relationship Id="rId37" Type="http://schemas.openxmlformats.org/officeDocument/2006/relationships/hyperlink" Target="https://fbref.com/en/players/6ea97fd5/Alex-Palmer" TargetMode="External"/><Relationship Id="rId58" Type="http://schemas.openxmlformats.org/officeDocument/2006/relationships/hyperlink" Target="https://fbref.com/en/matches/da0c1a91/Preston-North-End-Watford-December-16-2023-Championship" TargetMode="External"/><Relationship Id="rId79" Type="http://schemas.openxmlformats.org/officeDocument/2006/relationships/hyperlink" Target="https://fbref.com/en/matches/5eaeec05/Sheffield-Wednesday-Blackburn-Rovers-December-2-2023-Championship" TargetMode="External"/><Relationship Id="rId102" Type="http://schemas.openxmlformats.org/officeDocument/2006/relationships/hyperlink" Target="https://fbref.com/en/matches/59d10eb0/Bristol-City-Norwich-City-December-3-2023-Championship" TargetMode="External"/><Relationship Id="rId123" Type="http://schemas.openxmlformats.org/officeDocument/2006/relationships/hyperlink" Target="https://fbref.com/en/squads/ec79b7c2/Birmingham-City-Stats" TargetMode="External"/><Relationship Id="rId144" Type="http://schemas.openxmlformats.org/officeDocument/2006/relationships/hyperlink" Target="https://fbref.com/en/players/3f332394/Andre-Vidigal" TargetMode="External"/><Relationship Id="rId90" Type="http://schemas.openxmlformats.org/officeDocument/2006/relationships/hyperlink" Target="https://fbref.com/en/matches/6b14e74f/Hull-City-Cardiff-City-December-16-2023-Championship" TargetMode="External"/><Relationship Id="rId165" Type="http://schemas.openxmlformats.org/officeDocument/2006/relationships/hyperlink" Target="https://fbref.com/en/matches/96460b03/Queens-Park-Rangers-Plymouth-Argyle-December-13-2023-Championship" TargetMode="External"/><Relationship Id="rId186" Type="http://schemas.openxmlformats.org/officeDocument/2006/relationships/queryTable" Target="../queryTables/queryTable4.xml"/><Relationship Id="rId27" Type="http://schemas.openxmlformats.org/officeDocument/2006/relationships/hyperlink" Target="https://fbref.com/en/matches/770ecb91/Coventry-City-Southampton-December-13-2023-Championship" TargetMode="External"/><Relationship Id="rId48" Type="http://schemas.openxmlformats.org/officeDocument/2006/relationships/hyperlink" Target="https://fbref.com/en/matches/c572fddd/Sunderland-West-Bromwich-Albion-December-9-2023-Championship" TargetMode="External"/><Relationship Id="rId69" Type="http://schemas.openxmlformats.org/officeDocument/2006/relationships/hyperlink" Target="https://fbref.com/en/squads/1c781004/Norwich-City-Stats" TargetMode="External"/><Relationship Id="rId113" Type="http://schemas.openxmlformats.org/officeDocument/2006/relationships/hyperlink" Target="https://fbref.com/en/matches/2d45672e/Leeds-United-Coventry-City-December-16-2023-Championship" TargetMode="External"/><Relationship Id="rId134" Type="http://schemas.openxmlformats.org/officeDocument/2006/relationships/hyperlink" Target="https://fbref.com/en/matches/2b84dbda/Stoke-City-Swansea-City-December-12-2023-Championship" TargetMode="External"/><Relationship Id="rId80" Type="http://schemas.openxmlformats.org/officeDocument/2006/relationships/hyperlink" Target="https://fbref.com/en/matches/fd1dd311/Blackburn-Rovers-Leeds-United-December-9-2023-Championship" TargetMode="External"/><Relationship Id="rId155" Type="http://schemas.openxmlformats.org/officeDocument/2006/relationships/hyperlink" Target="https://fbref.com/en/matches/90274f49/Sunderland-Huddersfield-Town-November-29-2023-Championship" TargetMode="External"/><Relationship Id="rId176" Type="http://schemas.openxmlformats.org/officeDocument/2006/relationships/hyperlink" Target="https://fbref.com/en/matches/bf2e6470/Hull-City-Rotherham-United-November-28-2023-Championship" TargetMode="External"/><Relationship Id="rId17" Type="http://schemas.openxmlformats.org/officeDocument/2006/relationships/hyperlink" Target="https://fbref.com/en/matches/789e1600/Leeds-United-Middlesbrough-December-2-2023-Championship" TargetMode="External"/><Relationship Id="rId38" Type="http://schemas.openxmlformats.org/officeDocument/2006/relationships/hyperlink" Target="https://fbref.com/en/squads/bd8769d1/Hull-City-Stats" TargetMode="External"/><Relationship Id="rId59" Type="http://schemas.openxmlformats.org/officeDocument/2006/relationships/hyperlink" Target="https://fbref.com/en/players/fc7f8f87/Will-Keane" TargetMode="External"/><Relationship Id="rId103" Type="http://schemas.openxmlformats.org/officeDocument/2006/relationships/hyperlink" Target="https://fbref.com/en/matches/9f9446e1/Huddersfield-Town-Bristol-City-December-9-2023-Championship" TargetMode="External"/><Relationship Id="rId124" Type="http://schemas.openxmlformats.org/officeDocument/2006/relationships/hyperlink" Target="https://fbref.com/en/matches/c7fa7591/Blackburn-Rovers-Birmingham-City-November-29-2023-Championship" TargetMode="External"/><Relationship Id="rId70" Type="http://schemas.openxmlformats.org/officeDocument/2006/relationships/hyperlink" Target="https://fbref.com/en/matches/23239528/Watford-Norwich-City-November-28-2023-Championship" TargetMode="External"/><Relationship Id="rId91" Type="http://schemas.openxmlformats.org/officeDocument/2006/relationships/hyperlink" Target="https://fbref.com/en/players/8a53d24b/Ike-Ugbo" TargetMode="External"/><Relationship Id="rId145" Type="http://schemas.openxmlformats.org/officeDocument/2006/relationships/hyperlink" Target="https://fbref.com/en/players/fe558029/Mark-Travers" TargetMode="External"/><Relationship Id="rId166" Type="http://schemas.openxmlformats.org/officeDocument/2006/relationships/hyperlink" Target="https://fbref.com/en/matches/8e6fa20c/Sheffield-Wednesday-Queens-Park-Rangers-December-16-2023-Championship" TargetMode="External"/><Relationship Id="rId187" Type="http://schemas.openxmlformats.org/officeDocument/2006/relationships/queryTable" Target="../queryTables/queryTable5.xml"/><Relationship Id="rId1" Type="http://schemas.openxmlformats.org/officeDocument/2006/relationships/hyperlink" Target="https://fbref.com/en/squads/a2d435b3/Leicester-City-Stats" TargetMode="External"/><Relationship Id="rId28" Type="http://schemas.openxmlformats.org/officeDocument/2006/relationships/hyperlink" Target="https://fbref.com/en/matches/488ad30a/Southampton-Blackburn-Rovers-December-16-2023-Championship" TargetMode="External"/><Relationship Id="rId49" Type="http://schemas.openxmlformats.org/officeDocument/2006/relationships/hyperlink" Target="https://fbref.com/en/matches/b0ceaa69/Sunderland-Leeds-United-December-12-2023-Championship" TargetMode="External"/><Relationship Id="rId114" Type="http://schemas.openxmlformats.org/officeDocument/2006/relationships/hyperlink" Target="https://fbref.com/en/players/0118dd71/Ben-Wilson" TargetMode="External"/><Relationship Id="rId60" Type="http://schemas.openxmlformats.org/officeDocument/2006/relationships/hyperlink" Target="https://fbref.com/en/players/19e50035/Freddie-Woodman" TargetMode="External"/><Relationship Id="rId81" Type="http://schemas.openxmlformats.org/officeDocument/2006/relationships/hyperlink" Target="https://fbref.com/en/matches/4a81369b/Blackburn-Rovers-Bristol-City-December-12-2023-Championship" TargetMode="External"/><Relationship Id="rId135" Type="http://schemas.openxmlformats.org/officeDocument/2006/relationships/hyperlink" Target="https://fbref.com/en/matches/abc1b3ee/Swansea-City-Middlesbrough-December-16-2023-Championship" TargetMode="External"/><Relationship Id="rId156" Type="http://schemas.openxmlformats.org/officeDocument/2006/relationships/hyperlink" Target="https://fbref.com/en/matches/eaef7661/Swansea-City-Huddersfield-Town-December-2-2023-Championship" TargetMode="External"/><Relationship Id="rId177" Type="http://schemas.openxmlformats.org/officeDocument/2006/relationships/hyperlink" Target="https://fbref.com/en/matches/a1dcc7a2/Birmingham-City-Rotherham-United-December-2-2023-Championshi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F01F-C0E7-4471-B029-2000FD813855}">
  <sheetPr codeName="Sheet1"/>
  <dimension ref="A1:BC868"/>
  <sheetViews>
    <sheetView topLeftCell="A541" workbookViewId="0">
      <selection activeCell="J563" sqref="J563"/>
    </sheetView>
  </sheetViews>
  <sheetFormatPr defaultRowHeight="15" x14ac:dyDescent="0.25"/>
  <cols>
    <col min="1" max="1" width="44.85546875" bestFit="1" customWidth="1"/>
    <col min="2" max="2" width="5.140625" bestFit="1" customWidth="1"/>
    <col min="3" max="3" width="10.7109375" bestFit="1" customWidth="1"/>
    <col min="4" max="4" width="5.5703125" bestFit="1" customWidth="1"/>
    <col min="5" max="5" width="15.85546875" bestFit="1" customWidth="1"/>
    <col min="6" max="6" width="4" bestFit="1" customWidth="1"/>
    <col min="7" max="7" width="5.85546875" bestFit="1" customWidth="1"/>
    <col min="8" max="8" width="4" bestFit="1" customWidth="1"/>
    <col min="9" max="9" width="15.85546875" bestFit="1" customWidth="1"/>
    <col min="10" max="10" width="11.28515625" bestFit="1" customWidth="1"/>
    <col min="11" max="11" width="33.140625" bestFit="1" customWidth="1"/>
    <col min="12" max="12" width="18.7109375" bestFit="1" customWidth="1"/>
    <col min="13" max="13" width="13.5703125" bestFit="1" customWidth="1"/>
    <col min="14" max="14" width="6.28515625" bestFit="1" customWidth="1"/>
    <col min="15" max="15" width="4.85546875" bestFit="1" customWidth="1"/>
    <col min="16" max="16" width="4" bestFit="1" customWidth="1"/>
    <col min="17" max="17" width="7" bestFit="1" customWidth="1"/>
    <col min="18" max="18" width="4" bestFit="1" customWidth="1"/>
    <col min="19" max="19" width="3.42578125" bestFit="1" customWidth="1"/>
    <col min="20" max="20" width="9.140625" bestFit="1" customWidth="1"/>
    <col min="21" max="21" width="6.5703125" bestFit="1" customWidth="1"/>
    <col min="22" max="22" width="4" bestFit="1" customWidth="1"/>
    <col min="23" max="23" width="5.5703125" bestFit="1" customWidth="1"/>
    <col min="24" max="24" width="4.5703125" bestFit="1" customWidth="1"/>
    <col min="25" max="25" width="6.140625" bestFit="1" customWidth="1"/>
    <col min="26" max="26" width="5" bestFit="1" customWidth="1"/>
    <col min="30" max="30" width="45.28515625" bestFit="1" customWidth="1"/>
    <col min="31" max="31" width="4.140625" bestFit="1" customWidth="1"/>
    <col min="32" max="32" width="5" bestFit="1" customWidth="1"/>
    <col min="33" max="33" width="3.85546875" bestFit="1" customWidth="1"/>
    <col min="34" max="34" width="8.28515625" bestFit="1" customWidth="1"/>
    <col min="35" max="35" width="8" bestFit="1" customWidth="1"/>
    <col min="36" max="36" width="7.42578125" bestFit="1" customWidth="1"/>
    <col min="37" max="37" width="7.7109375" bestFit="1" customWidth="1"/>
    <col min="38" max="38" width="7" bestFit="1" customWidth="1"/>
    <col min="39" max="39" width="7.5703125" bestFit="1" customWidth="1"/>
    <col min="40" max="40" width="6" bestFit="1" customWidth="1"/>
    <col min="41" max="41" width="9.28515625" bestFit="1" customWidth="1"/>
    <col min="42" max="42" width="4.85546875" bestFit="1" customWidth="1"/>
    <col min="43" max="43" width="6.42578125" bestFit="1" customWidth="1"/>
    <col min="44" max="44" width="4.7109375" bestFit="1" customWidth="1"/>
    <col min="45" max="45" width="6.28515625" bestFit="1" customWidth="1"/>
    <col min="46" max="46" width="7.140625" bestFit="1" customWidth="1"/>
    <col min="47" max="48" width="7.28515625" bestFit="1" customWidth="1"/>
    <col min="49" max="49" width="5" bestFit="1" customWidth="1"/>
    <col min="50" max="50" width="7" bestFit="1" customWidth="1"/>
    <col min="51" max="51" width="4.5703125" bestFit="1" customWidth="1"/>
    <col min="52" max="52" width="4.140625" bestFit="1" customWidth="1"/>
    <col min="53" max="53" width="4" bestFit="1" customWidth="1"/>
    <col min="54" max="54" width="9.5703125" bestFit="1" customWidth="1"/>
    <col min="55" max="55" width="5" bestFit="1" customWidth="1"/>
  </cols>
  <sheetData>
    <row r="1" spans="1:50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AD1" t="s">
        <v>377</v>
      </c>
    </row>
    <row r="2" spans="1:50" ht="1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V2" s="3" t="s">
        <v>152</v>
      </c>
      <c r="AF2" t="s">
        <v>21</v>
      </c>
      <c r="AJ2" t="s">
        <v>22</v>
      </c>
      <c r="AT2" t="s">
        <v>37</v>
      </c>
    </row>
    <row r="3" spans="1:50" ht="15" customHeight="1" x14ac:dyDescent="0.25">
      <c r="A3" s="36">
        <v>1</v>
      </c>
      <c r="B3" s="37" t="s">
        <v>305</v>
      </c>
      <c r="C3" s="35">
        <v>22</v>
      </c>
      <c r="D3" s="35">
        <v>18</v>
      </c>
      <c r="E3" s="35">
        <v>1</v>
      </c>
      <c r="F3" s="35">
        <v>3</v>
      </c>
      <c r="G3" s="35">
        <v>44</v>
      </c>
      <c r="H3" s="35">
        <v>16</v>
      </c>
      <c r="I3" s="35">
        <v>28</v>
      </c>
      <c r="J3" s="35">
        <v>55</v>
      </c>
      <c r="K3" s="35">
        <v>2.5</v>
      </c>
      <c r="L3" s="35">
        <v>39.9</v>
      </c>
      <c r="M3" s="35">
        <v>20.5</v>
      </c>
      <c r="N3" s="35">
        <v>19.399999999999999</v>
      </c>
      <c r="O3" s="35">
        <v>0.88</v>
      </c>
      <c r="P3" s="4" t="s">
        <v>5</v>
      </c>
      <c r="Q3" s="38">
        <v>31189</v>
      </c>
      <c r="R3" s="35" t="s">
        <v>306</v>
      </c>
      <c r="S3" s="37" t="s">
        <v>307</v>
      </c>
      <c r="T3" s="35"/>
      <c r="AD3" t="s">
        <v>2</v>
      </c>
      <c r="AE3" t="s">
        <v>24</v>
      </c>
      <c r="AF3" t="s">
        <v>3</v>
      </c>
      <c r="AG3" t="s">
        <v>26</v>
      </c>
      <c r="AH3" t="s">
        <v>27</v>
      </c>
      <c r="AI3" t="s">
        <v>28</v>
      </c>
      <c r="AJ3" t="s">
        <v>8</v>
      </c>
      <c r="AK3" t="s">
        <v>38</v>
      </c>
      <c r="AL3" t="s">
        <v>39</v>
      </c>
      <c r="AM3" t="s">
        <v>40</v>
      </c>
      <c r="AN3" t="s">
        <v>41</v>
      </c>
      <c r="AO3" t="s">
        <v>4</v>
      </c>
      <c r="AP3" t="s">
        <v>5</v>
      </c>
      <c r="AQ3" t="s">
        <v>6</v>
      </c>
      <c r="AR3" t="s">
        <v>42</v>
      </c>
      <c r="AS3" t="s">
        <v>43</v>
      </c>
      <c r="AT3" t="s">
        <v>32</v>
      </c>
      <c r="AU3" t="s">
        <v>44</v>
      </c>
      <c r="AV3" t="s">
        <v>45</v>
      </c>
      <c r="AW3" t="s">
        <v>46</v>
      </c>
      <c r="AX3" t="s">
        <v>41</v>
      </c>
    </row>
    <row r="4" spans="1:50" x14ac:dyDescent="0.25">
      <c r="A4" s="36"/>
      <c r="B4" s="37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4" t="s">
        <v>4</v>
      </c>
      <c r="Q4" s="38"/>
      <c r="R4" s="35"/>
      <c r="S4" s="37"/>
      <c r="T4" s="35"/>
      <c r="AD4" t="s">
        <v>378</v>
      </c>
      <c r="AE4">
        <v>1</v>
      </c>
      <c r="AF4">
        <v>22</v>
      </c>
      <c r="AG4">
        <v>22</v>
      </c>
      <c r="AH4" s="1">
        <v>1980</v>
      </c>
      <c r="AI4">
        <v>22</v>
      </c>
      <c r="AJ4">
        <v>32</v>
      </c>
      <c r="AK4">
        <v>1.45</v>
      </c>
      <c r="AL4">
        <v>105</v>
      </c>
      <c r="AM4">
        <v>75</v>
      </c>
      <c r="AN4">
        <v>69.5</v>
      </c>
      <c r="AO4">
        <v>7</v>
      </c>
      <c r="AP4">
        <v>5</v>
      </c>
      <c r="AQ4">
        <v>10</v>
      </c>
      <c r="AR4">
        <v>5</v>
      </c>
      <c r="AS4">
        <v>22.7</v>
      </c>
      <c r="AT4">
        <v>0</v>
      </c>
      <c r="AU4">
        <v>0</v>
      </c>
      <c r="AV4">
        <v>0</v>
      </c>
      <c r="AW4">
        <v>0</v>
      </c>
    </row>
    <row r="5" spans="1:50" x14ac:dyDescent="0.25">
      <c r="A5" s="36"/>
      <c r="B5" s="37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4" t="s">
        <v>4</v>
      </c>
      <c r="Q5" s="38"/>
      <c r="R5" s="35"/>
      <c r="S5" s="37"/>
      <c r="T5" s="35"/>
      <c r="AD5" t="s">
        <v>379</v>
      </c>
      <c r="AE5">
        <v>2</v>
      </c>
      <c r="AF5">
        <v>22</v>
      </c>
      <c r="AG5">
        <v>22</v>
      </c>
      <c r="AH5" s="1">
        <v>1980</v>
      </c>
      <c r="AI5">
        <v>22</v>
      </c>
      <c r="AJ5">
        <v>38</v>
      </c>
      <c r="AK5">
        <v>1.73</v>
      </c>
      <c r="AL5">
        <v>115</v>
      </c>
      <c r="AM5">
        <v>77</v>
      </c>
      <c r="AN5">
        <v>68.7</v>
      </c>
      <c r="AO5">
        <v>10</v>
      </c>
      <c r="AP5">
        <v>1</v>
      </c>
      <c r="AQ5">
        <v>11</v>
      </c>
      <c r="AR5">
        <v>4</v>
      </c>
      <c r="AS5">
        <v>18.2</v>
      </c>
      <c r="AT5">
        <v>3</v>
      </c>
      <c r="AU5">
        <v>2</v>
      </c>
      <c r="AV5">
        <v>0</v>
      </c>
      <c r="AW5">
        <v>1</v>
      </c>
      <c r="AX5">
        <v>0</v>
      </c>
    </row>
    <row r="6" spans="1:50" x14ac:dyDescent="0.25">
      <c r="A6" s="36"/>
      <c r="B6" s="37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4" t="s">
        <v>4</v>
      </c>
      <c r="Q6" s="38"/>
      <c r="R6" s="35"/>
      <c r="S6" s="37"/>
      <c r="T6" s="35"/>
      <c r="AD6" t="s">
        <v>380</v>
      </c>
      <c r="AE6">
        <v>1</v>
      </c>
      <c r="AF6">
        <v>22</v>
      </c>
      <c r="AG6">
        <v>22</v>
      </c>
      <c r="AH6" s="1">
        <v>1980</v>
      </c>
      <c r="AI6">
        <v>22</v>
      </c>
      <c r="AJ6">
        <v>24</v>
      </c>
      <c r="AK6">
        <v>1.0900000000000001</v>
      </c>
      <c r="AL6">
        <v>87</v>
      </c>
      <c r="AM6">
        <v>65</v>
      </c>
      <c r="AN6">
        <v>73.599999999999994</v>
      </c>
      <c r="AO6">
        <v>8</v>
      </c>
      <c r="AP6">
        <v>5</v>
      </c>
      <c r="AQ6">
        <v>9</v>
      </c>
      <c r="AR6">
        <v>6</v>
      </c>
      <c r="AS6">
        <v>27.3</v>
      </c>
      <c r="AT6">
        <v>1</v>
      </c>
      <c r="AU6">
        <v>1</v>
      </c>
      <c r="AV6">
        <v>0</v>
      </c>
      <c r="AW6">
        <v>0</v>
      </c>
      <c r="AX6">
        <v>0</v>
      </c>
    </row>
    <row r="7" spans="1:50" x14ac:dyDescent="0.25">
      <c r="A7" s="36"/>
      <c r="B7" s="37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4" t="s">
        <v>4</v>
      </c>
      <c r="Q7" s="38"/>
      <c r="R7" s="35"/>
      <c r="S7" s="37"/>
      <c r="T7" s="35"/>
      <c r="AD7" t="s">
        <v>381</v>
      </c>
      <c r="AE7">
        <v>2</v>
      </c>
      <c r="AF7">
        <v>22</v>
      </c>
      <c r="AG7">
        <v>22</v>
      </c>
      <c r="AH7" s="1">
        <v>1980</v>
      </c>
      <c r="AI7">
        <v>22</v>
      </c>
      <c r="AJ7">
        <v>27</v>
      </c>
      <c r="AK7">
        <v>1.23</v>
      </c>
      <c r="AL7">
        <v>81</v>
      </c>
      <c r="AM7">
        <v>55</v>
      </c>
      <c r="AN7">
        <v>66.7</v>
      </c>
      <c r="AO7">
        <v>9</v>
      </c>
      <c r="AP7">
        <v>3</v>
      </c>
      <c r="AQ7">
        <v>10</v>
      </c>
      <c r="AR7">
        <v>7</v>
      </c>
      <c r="AS7">
        <v>31.8</v>
      </c>
      <c r="AT7">
        <v>0</v>
      </c>
      <c r="AU7">
        <v>0</v>
      </c>
      <c r="AV7">
        <v>0</v>
      </c>
      <c r="AW7">
        <v>0</v>
      </c>
    </row>
    <row r="8" spans="1:50" ht="15" customHeight="1" x14ac:dyDescent="0.25">
      <c r="A8" s="36">
        <v>2</v>
      </c>
      <c r="B8" s="37" t="s">
        <v>308</v>
      </c>
      <c r="C8" s="35">
        <v>22</v>
      </c>
      <c r="D8" s="35">
        <v>16</v>
      </c>
      <c r="E8" s="35">
        <v>4</v>
      </c>
      <c r="F8" s="35">
        <v>2</v>
      </c>
      <c r="G8" s="35">
        <v>47</v>
      </c>
      <c r="H8" s="35">
        <v>28</v>
      </c>
      <c r="I8" s="35">
        <v>19</v>
      </c>
      <c r="J8" s="35">
        <v>52</v>
      </c>
      <c r="K8" s="35">
        <v>2.36</v>
      </c>
      <c r="L8" s="35">
        <v>38</v>
      </c>
      <c r="M8" s="35">
        <v>24.2</v>
      </c>
      <c r="N8" s="35">
        <v>13.8</v>
      </c>
      <c r="O8" s="35">
        <v>0.63</v>
      </c>
      <c r="P8" s="4" t="s">
        <v>4</v>
      </c>
      <c r="Q8" s="38">
        <v>28741</v>
      </c>
      <c r="R8" s="35" t="s">
        <v>309</v>
      </c>
      <c r="S8" s="37" t="s">
        <v>310</v>
      </c>
      <c r="T8" s="35"/>
      <c r="AD8" t="s">
        <v>382</v>
      </c>
      <c r="AE8">
        <v>2</v>
      </c>
      <c r="AF8">
        <v>22</v>
      </c>
      <c r="AG8">
        <v>22</v>
      </c>
      <c r="AH8" s="1">
        <v>1980</v>
      </c>
      <c r="AI8">
        <v>22</v>
      </c>
      <c r="AJ8">
        <v>25</v>
      </c>
      <c r="AK8">
        <v>1.1399999999999999</v>
      </c>
      <c r="AL8">
        <v>86</v>
      </c>
      <c r="AM8">
        <v>61</v>
      </c>
      <c r="AN8">
        <v>72.099999999999994</v>
      </c>
      <c r="AO8">
        <v>6</v>
      </c>
      <c r="AP8">
        <v>9</v>
      </c>
      <c r="AQ8">
        <v>7</v>
      </c>
      <c r="AR8">
        <v>7</v>
      </c>
      <c r="AS8">
        <v>31.8</v>
      </c>
      <c r="AT8">
        <v>1</v>
      </c>
      <c r="AU8">
        <v>1</v>
      </c>
      <c r="AV8">
        <v>0</v>
      </c>
      <c r="AW8">
        <v>0</v>
      </c>
      <c r="AX8">
        <v>0</v>
      </c>
    </row>
    <row r="9" spans="1:50" x14ac:dyDescent="0.25">
      <c r="A9" s="36"/>
      <c r="B9" s="37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4" t="s">
        <v>4</v>
      </c>
      <c r="Q9" s="38"/>
      <c r="R9" s="35"/>
      <c r="S9" s="37"/>
      <c r="T9" s="35"/>
      <c r="AD9" t="s">
        <v>383</v>
      </c>
      <c r="AE9">
        <v>2</v>
      </c>
      <c r="AF9">
        <v>22</v>
      </c>
      <c r="AG9">
        <v>22</v>
      </c>
      <c r="AH9" s="1">
        <v>1980</v>
      </c>
      <c r="AI9">
        <v>22</v>
      </c>
      <c r="AJ9">
        <v>36</v>
      </c>
      <c r="AK9">
        <v>1.64</v>
      </c>
      <c r="AL9">
        <v>103</v>
      </c>
      <c r="AM9">
        <v>68</v>
      </c>
      <c r="AN9">
        <v>66</v>
      </c>
      <c r="AO9">
        <v>4</v>
      </c>
      <c r="AP9">
        <v>10</v>
      </c>
      <c r="AQ9">
        <v>8</v>
      </c>
      <c r="AR9">
        <v>3</v>
      </c>
      <c r="AS9">
        <v>13.6</v>
      </c>
      <c r="AT9">
        <v>1</v>
      </c>
      <c r="AU9">
        <v>1</v>
      </c>
      <c r="AV9">
        <v>0</v>
      </c>
      <c r="AW9">
        <v>0</v>
      </c>
      <c r="AX9">
        <v>0</v>
      </c>
    </row>
    <row r="10" spans="1:50" x14ac:dyDescent="0.25">
      <c r="A10" s="36"/>
      <c r="B10" s="37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4" t="s">
        <v>4</v>
      </c>
      <c r="Q10" s="38"/>
      <c r="R10" s="35"/>
      <c r="S10" s="37"/>
      <c r="T10" s="35"/>
      <c r="AD10" t="s">
        <v>384</v>
      </c>
      <c r="AE10">
        <v>2</v>
      </c>
      <c r="AF10">
        <v>22</v>
      </c>
      <c r="AG10">
        <v>22</v>
      </c>
      <c r="AH10" s="1">
        <v>1980</v>
      </c>
      <c r="AI10">
        <v>22</v>
      </c>
      <c r="AJ10">
        <v>27</v>
      </c>
      <c r="AK10">
        <v>1.23</v>
      </c>
      <c r="AL10">
        <v>80</v>
      </c>
      <c r="AM10">
        <v>53</v>
      </c>
      <c r="AN10">
        <v>66.3</v>
      </c>
      <c r="AO10">
        <v>10</v>
      </c>
      <c r="AP10">
        <v>6</v>
      </c>
      <c r="AQ10">
        <v>6</v>
      </c>
      <c r="AR10">
        <v>6</v>
      </c>
      <c r="AS10">
        <v>27.3</v>
      </c>
      <c r="AT10">
        <v>0</v>
      </c>
      <c r="AU10">
        <v>0</v>
      </c>
      <c r="AV10">
        <v>0</v>
      </c>
      <c r="AW10">
        <v>0</v>
      </c>
    </row>
    <row r="11" spans="1:50" x14ac:dyDescent="0.25">
      <c r="A11" s="36"/>
      <c r="B11" s="37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4" t="s">
        <v>4</v>
      </c>
      <c r="Q11" s="38"/>
      <c r="R11" s="35"/>
      <c r="S11" s="37"/>
      <c r="T11" s="35"/>
      <c r="AD11" t="s">
        <v>385</v>
      </c>
      <c r="AE11">
        <v>1</v>
      </c>
      <c r="AF11">
        <v>22</v>
      </c>
      <c r="AG11">
        <v>22</v>
      </c>
      <c r="AH11" s="1">
        <v>1980</v>
      </c>
      <c r="AI11">
        <v>22</v>
      </c>
      <c r="AJ11">
        <v>28</v>
      </c>
      <c r="AK11">
        <v>1.27</v>
      </c>
      <c r="AL11">
        <v>82</v>
      </c>
      <c r="AM11">
        <v>57</v>
      </c>
      <c r="AN11">
        <v>65.900000000000006</v>
      </c>
      <c r="AO11">
        <v>16</v>
      </c>
      <c r="AP11">
        <v>4</v>
      </c>
      <c r="AQ11">
        <v>2</v>
      </c>
      <c r="AR11">
        <v>7</v>
      </c>
      <c r="AS11">
        <v>31.8</v>
      </c>
      <c r="AT11">
        <v>1</v>
      </c>
      <c r="AU11">
        <v>0</v>
      </c>
      <c r="AV11">
        <v>0</v>
      </c>
      <c r="AW11">
        <v>1</v>
      </c>
    </row>
    <row r="12" spans="1:50" x14ac:dyDescent="0.25">
      <c r="A12" s="36"/>
      <c r="B12" s="37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4" t="s">
        <v>5</v>
      </c>
      <c r="Q12" s="38"/>
      <c r="R12" s="35"/>
      <c r="S12" s="37"/>
      <c r="T12" s="35"/>
      <c r="AD12" t="s">
        <v>386</v>
      </c>
      <c r="AE12">
        <v>1</v>
      </c>
      <c r="AF12">
        <v>22</v>
      </c>
      <c r="AG12">
        <v>22</v>
      </c>
      <c r="AH12" s="1">
        <v>1980</v>
      </c>
      <c r="AI12">
        <v>22</v>
      </c>
      <c r="AJ12">
        <v>22</v>
      </c>
      <c r="AK12">
        <v>1</v>
      </c>
      <c r="AL12">
        <v>59</v>
      </c>
      <c r="AM12">
        <v>39</v>
      </c>
      <c r="AN12">
        <v>64.400000000000006</v>
      </c>
      <c r="AO12">
        <v>12</v>
      </c>
      <c r="AP12">
        <v>6</v>
      </c>
      <c r="AQ12">
        <v>4</v>
      </c>
      <c r="AR12">
        <v>7</v>
      </c>
      <c r="AS12">
        <v>31.8</v>
      </c>
      <c r="AT12">
        <v>1</v>
      </c>
      <c r="AU12">
        <v>1</v>
      </c>
      <c r="AV12">
        <v>0</v>
      </c>
      <c r="AW12">
        <v>0</v>
      </c>
      <c r="AX12">
        <v>0</v>
      </c>
    </row>
    <row r="13" spans="1:50" ht="15" customHeight="1" x14ac:dyDescent="0.25">
      <c r="A13" s="36">
        <v>3</v>
      </c>
      <c r="B13" s="37" t="s">
        <v>311</v>
      </c>
      <c r="C13" s="35">
        <v>22</v>
      </c>
      <c r="D13" s="35">
        <v>12</v>
      </c>
      <c r="E13" s="35">
        <v>6</v>
      </c>
      <c r="F13" s="35">
        <v>4</v>
      </c>
      <c r="G13" s="35">
        <v>37</v>
      </c>
      <c r="H13" s="35">
        <v>22</v>
      </c>
      <c r="I13" s="35">
        <v>15</v>
      </c>
      <c r="J13" s="35">
        <v>42</v>
      </c>
      <c r="K13" s="35">
        <v>1.91</v>
      </c>
      <c r="L13" s="35">
        <v>36.799999999999997</v>
      </c>
      <c r="M13" s="35">
        <v>20.100000000000001</v>
      </c>
      <c r="N13" s="35">
        <v>16.7</v>
      </c>
      <c r="O13" s="35">
        <v>0.76</v>
      </c>
      <c r="P13" s="4" t="s">
        <v>4</v>
      </c>
      <c r="Q13" s="38">
        <v>35816</v>
      </c>
      <c r="R13" s="37" t="s">
        <v>312</v>
      </c>
      <c r="S13" s="37" t="s">
        <v>313</v>
      </c>
      <c r="T13" s="35"/>
      <c r="AD13" t="s">
        <v>387</v>
      </c>
      <c r="AE13">
        <v>2</v>
      </c>
      <c r="AF13">
        <v>22</v>
      </c>
      <c r="AG13">
        <v>22</v>
      </c>
      <c r="AH13" s="1">
        <v>1980</v>
      </c>
      <c r="AI13">
        <v>22</v>
      </c>
      <c r="AJ13">
        <v>16</v>
      </c>
      <c r="AK13">
        <v>0.73</v>
      </c>
      <c r="AL13">
        <v>82</v>
      </c>
      <c r="AM13">
        <v>66</v>
      </c>
      <c r="AN13">
        <v>80.5</v>
      </c>
      <c r="AO13">
        <v>18</v>
      </c>
      <c r="AP13">
        <v>1</v>
      </c>
      <c r="AQ13">
        <v>3</v>
      </c>
      <c r="AR13">
        <v>8</v>
      </c>
      <c r="AS13">
        <v>36.4</v>
      </c>
      <c r="AT13">
        <v>0</v>
      </c>
      <c r="AU13">
        <v>0</v>
      </c>
      <c r="AV13">
        <v>0</v>
      </c>
      <c r="AW13">
        <v>0</v>
      </c>
    </row>
    <row r="14" spans="1:50" x14ac:dyDescent="0.25">
      <c r="A14" s="36"/>
      <c r="B14" s="37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" t="s">
        <v>4</v>
      </c>
      <c r="Q14" s="38"/>
      <c r="R14" s="37"/>
      <c r="S14" s="37"/>
      <c r="T14" s="35"/>
      <c r="AD14" t="s">
        <v>388</v>
      </c>
      <c r="AE14">
        <v>2</v>
      </c>
      <c r="AF14">
        <v>22</v>
      </c>
      <c r="AG14">
        <v>22</v>
      </c>
      <c r="AH14" s="1">
        <v>1980</v>
      </c>
      <c r="AI14">
        <v>22</v>
      </c>
      <c r="AJ14">
        <v>34</v>
      </c>
      <c r="AK14">
        <v>1.55</v>
      </c>
      <c r="AL14">
        <v>87</v>
      </c>
      <c r="AM14">
        <v>55</v>
      </c>
      <c r="AN14">
        <v>63.2</v>
      </c>
      <c r="AO14">
        <v>9</v>
      </c>
      <c r="AP14">
        <v>3</v>
      </c>
      <c r="AQ14">
        <v>10</v>
      </c>
      <c r="AR14">
        <v>5</v>
      </c>
      <c r="AS14">
        <v>22.7</v>
      </c>
      <c r="AT14">
        <v>2</v>
      </c>
      <c r="AU14">
        <v>2</v>
      </c>
      <c r="AV14">
        <v>0</v>
      </c>
      <c r="AW14">
        <v>0</v>
      </c>
      <c r="AX14">
        <v>0</v>
      </c>
    </row>
    <row r="15" spans="1:50" x14ac:dyDescent="0.25">
      <c r="A15" s="36"/>
      <c r="B15" s="37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4" t="s">
        <v>4</v>
      </c>
      <c r="Q15" s="38"/>
      <c r="R15" s="37"/>
      <c r="S15" s="37"/>
      <c r="T15" s="35"/>
      <c r="AD15" t="s">
        <v>389</v>
      </c>
      <c r="AE15">
        <v>2</v>
      </c>
      <c r="AF15">
        <v>22</v>
      </c>
      <c r="AG15">
        <v>22</v>
      </c>
      <c r="AH15" s="1">
        <v>1980</v>
      </c>
      <c r="AI15">
        <v>22</v>
      </c>
      <c r="AJ15">
        <v>31</v>
      </c>
      <c r="AK15">
        <v>1.41</v>
      </c>
      <c r="AL15">
        <v>88</v>
      </c>
      <c r="AM15">
        <v>56</v>
      </c>
      <c r="AN15">
        <v>68.2</v>
      </c>
      <c r="AO15">
        <v>5</v>
      </c>
      <c r="AP15">
        <v>7</v>
      </c>
      <c r="AQ15">
        <v>10</v>
      </c>
      <c r="AR15">
        <v>6</v>
      </c>
      <c r="AS15">
        <v>27.3</v>
      </c>
      <c r="AT15">
        <v>4</v>
      </c>
      <c r="AU15">
        <v>3</v>
      </c>
      <c r="AV15">
        <v>1</v>
      </c>
      <c r="AW15">
        <v>0</v>
      </c>
      <c r="AX15">
        <v>25</v>
      </c>
    </row>
    <row r="16" spans="1:50" x14ac:dyDescent="0.25">
      <c r="A16" s="36"/>
      <c r="B16" s="37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4" t="s">
        <v>6</v>
      </c>
      <c r="Q16" s="38"/>
      <c r="R16" s="37"/>
      <c r="S16" s="37"/>
      <c r="T16" s="35"/>
      <c r="AD16" t="s">
        <v>390</v>
      </c>
      <c r="AE16">
        <v>2</v>
      </c>
      <c r="AF16">
        <v>22</v>
      </c>
      <c r="AG16">
        <v>22</v>
      </c>
      <c r="AH16" s="1">
        <v>1980</v>
      </c>
      <c r="AI16">
        <v>22</v>
      </c>
      <c r="AJ16">
        <v>39</v>
      </c>
      <c r="AK16">
        <v>1.77</v>
      </c>
      <c r="AL16">
        <v>108</v>
      </c>
      <c r="AM16">
        <v>71</v>
      </c>
      <c r="AN16">
        <v>67.599999999999994</v>
      </c>
      <c r="AO16">
        <v>9</v>
      </c>
      <c r="AP16">
        <v>4</v>
      </c>
      <c r="AQ16">
        <v>9</v>
      </c>
      <c r="AR16">
        <v>5</v>
      </c>
      <c r="AS16">
        <v>22.7</v>
      </c>
      <c r="AT16">
        <v>4</v>
      </c>
      <c r="AU16">
        <v>4</v>
      </c>
      <c r="AV16">
        <v>0</v>
      </c>
      <c r="AW16">
        <v>0</v>
      </c>
      <c r="AX16">
        <v>0</v>
      </c>
    </row>
    <row r="17" spans="1:50" x14ac:dyDescent="0.25">
      <c r="A17" s="36"/>
      <c r="B17" s="37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4" t="s">
        <v>5</v>
      </c>
      <c r="Q17" s="38"/>
      <c r="R17" s="37"/>
      <c r="S17" s="37"/>
      <c r="T17" s="35"/>
      <c r="AD17" t="s">
        <v>391</v>
      </c>
      <c r="AE17">
        <v>2</v>
      </c>
      <c r="AF17">
        <v>22</v>
      </c>
      <c r="AG17">
        <v>22</v>
      </c>
      <c r="AH17" s="1">
        <v>1980</v>
      </c>
      <c r="AI17">
        <v>22</v>
      </c>
      <c r="AJ17">
        <v>35</v>
      </c>
      <c r="AK17">
        <v>1.59</v>
      </c>
      <c r="AL17">
        <v>112</v>
      </c>
      <c r="AM17">
        <v>77</v>
      </c>
      <c r="AN17">
        <v>70.5</v>
      </c>
      <c r="AO17">
        <v>7</v>
      </c>
      <c r="AP17">
        <v>5</v>
      </c>
      <c r="AQ17">
        <v>10</v>
      </c>
      <c r="AR17">
        <v>6</v>
      </c>
      <c r="AS17">
        <v>27.3</v>
      </c>
      <c r="AT17">
        <v>3</v>
      </c>
      <c r="AU17">
        <v>2</v>
      </c>
      <c r="AV17">
        <v>1</v>
      </c>
      <c r="AW17">
        <v>0</v>
      </c>
      <c r="AX17">
        <v>33.299999999999997</v>
      </c>
    </row>
    <row r="18" spans="1:50" ht="15" customHeight="1" x14ac:dyDescent="0.25">
      <c r="A18" s="36">
        <v>4</v>
      </c>
      <c r="B18" s="37" t="s">
        <v>314</v>
      </c>
      <c r="C18" s="35">
        <v>22</v>
      </c>
      <c r="D18" s="35">
        <v>12</v>
      </c>
      <c r="E18" s="35">
        <v>6</v>
      </c>
      <c r="F18" s="35">
        <v>4</v>
      </c>
      <c r="G18" s="35">
        <v>37</v>
      </c>
      <c r="H18" s="35">
        <v>29</v>
      </c>
      <c r="I18" s="35">
        <v>8</v>
      </c>
      <c r="J18" s="35">
        <v>42</v>
      </c>
      <c r="K18" s="35">
        <v>1.91</v>
      </c>
      <c r="L18" s="35">
        <v>34.5</v>
      </c>
      <c r="M18" s="35">
        <v>25.1</v>
      </c>
      <c r="N18" s="35">
        <v>9.4</v>
      </c>
      <c r="O18" s="35">
        <v>0.43</v>
      </c>
      <c r="P18" s="4" t="s">
        <v>4</v>
      </c>
      <c r="Q18" s="38">
        <v>28979</v>
      </c>
      <c r="R18" s="37" t="s">
        <v>315</v>
      </c>
      <c r="S18" s="37" t="s">
        <v>316</v>
      </c>
      <c r="T18" s="35"/>
      <c r="AD18" t="s">
        <v>392</v>
      </c>
      <c r="AE18">
        <v>1</v>
      </c>
      <c r="AF18">
        <v>22</v>
      </c>
      <c r="AG18">
        <v>22</v>
      </c>
      <c r="AH18" s="1">
        <v>1980</v>
      </c>
      <c r="AI18">
        <v>22</v>
      </c>
      <c r="AJ18">
        <v>38</v>
      </c>
      <c r="AK18">
        <v>1.73</v>
      </c>
      <c r="AL18">
        <v>98</v>
      </c>
      <c r="AM18">
        <v>61</v>
      </c>
      <c r="AN18">
        <v>62.2</v>
      </c>
      <c r="AO18">
        <v>9</v>
      </c>
      <c r="AP18">
        <v>5</v>
      </c>
      <c r="AQ18">
        <v>8</v>
      </c>
      <c r="AR18">
        <v>3</v>
      </c>
      <c r="AS18">
        <v>13.6</v>
      </c>
      <c r="AT18">
        <v>1</v>
      </c>
      <c r="AU18">
        <v>1</v>
      </c>
      <c r="AV18">
        <v>0</v>
      </c>
      <c r="AW18">
        <v>0</v>
      </c>
      <c r="AX18">
        <v>0</v>
      </c>
    </row>
    <row r="19" spans="1:50" x14ac:dyDescent="0.25">
      <c r="A19" s="36"/>
      <c r="B19" s="37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4" t="s">
        <v>4</v>
      </c>
      <c r="Q19" s="38"/>
      <c r="R19" s="37"/>
      <c r="S19" s="37"/>
      <c r="T19" s="35"/>
      <c r="AD19" t="s">
        <v>393</v>
      </c>
      <c r="AE19">
        <v>1</v>
      </c>
      <c r="AF19">
        <v>22</v>
      </c>
      <c r="AG19">
        <v>22</v>
      </c>
      <c r="AH19" s="1">
        <v>1979</v>
      </c>
      <c r="AI19">
        <v>22</v>
      </c>
      <c r="AJ19">
        <v>32</v>
      </c>
      <c r="AK19">
        <v>1.46</v>
      </c>
      <c r="AL19">
        <v>97</v>
      </c>
      <c r="AM19">
        <v>65</v>
      </c>
      <c r="AN19">
        <v>68</v>
      </c>
      <c r="AO19">
        <v>5</v>
      </c>
      <c r="AP19">
        <v>5</v>
      </c>
      <c r="AQ19">
        <v>12</v>
      </c>
      <c r="AR19">
        <v>6</v>
      </c>
      <c r="AS19">
        <v>27.3</v>
      </c>
      <c r="AT19">
        <v>1</v>
      </c>
      <c r="AU19">
        <v>1</v>
      </c>
      <c r="AV19">
        <v>0</v>
      </c>
      <c r="AW19">
        <v>0</v>
      </c>
      <c r="AX19">
        <v>0</v>
      </c>
    </row>
    <row r="20" spans="1:50" x14ac:dyDescent="0.25">
      <c r="A20" s="36"/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4" t="s">
        <v>5</v>
      </c>
      <c r="Q20" s="38"/>
      <c r="R20" s="37"/>
      <c r="S20" s="37"/>
      <c r="T20" s="35"/>
      <c r="AD20" t="s">
        <v>394</v>
      </c>
      <c r="AE20">
        <v>1</v>
      </c>
      <c r="AF20">
        <v>22</v>
      </c>
      <c r="AG20">
        <v>22</v>
      </c>
      <c r="AH20" s="1">
        <v>1980</v>
      </c>
      <c r="AI20">
        <v>22</v>
      </c>
      <c r="AJ20">
        <v>44</v>
      </c>
      <c r="AK20">
        <v>2</v>
      </c>
      <c r="AL20">
        <v>131</v>
      </c>
      <c r="AM20">
        <v>87</v>
      </c>
      <c r="AN20">
        <v>67.2</v>
      </c>
      <c r="AO20">
        <v>2</v>
      </c>
      <c r="AP20">
        <v>7</v>
      </c>
      <c r="AQ20">
        <v>13</v>
      </c>
      <c r="AR20">
        <v>2</v>
      </c>
      <c r="AS20">
        <v>9.1</v>
      </c>
      <c r="AT20">
        <v>2</v>
      </c>
      <c r="AU20">
        <v>1</v>
      </c>
      <c r="AV20">
        <v>0</v>
      </c>
      <c r="AW20">
        <v>1</v>
      </c>
      <c r="AX20">
        <v>0</v>
      </c>
    </row>
    <row r="21" spans="1:50" x14ac:dyDescent="0.25">
      <c r="A21" s="36"/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" t="s">
        <v>5</v>
      </c>
      <c r="Q21" s="38"/>
      <c r="R21" s="37"/>
      <c r="S21" s="37"/>
      <c r="T21" s="35"/>
      <c r="AD21" t="s">
        <v>395</v>
      </c>
      <c r="AE21">
        <v>2</v>
      </c>
      <c r="AF21">
        <v>22</v>
      </c>
      <c r="AG21">
        <v>22</v>
      </c>
      <c r="AH21" s="1">
        <v>1980</v>
      </c>
      <c r="AI21">
        <v>22</v>
      </c>
      <c r="AJ21">
        <v>35</v>
      </c>
      <c r="AK21">
        <v>1.59</v>
      </c>
      <c r="AL21">
        <v>87</v>
      </c>
      <c r="AM21">
        <v>52</v>
      </c>
      <c r="AN21">
        <v>64.400000000000006</v>
      </c>
      <c r="AO21">
        <v>4</v>
      </c>
      <c r="AP21">
        <v>4</v>
      </c>
      <c r="AQ21">
        <v>14</v>
      </c>
      <c r="AR21">
        <v>4</v>
      </c>
      <c r="AS21">
        <v>18.2</v>
      </c>
      <c r="AT21">
        <v>5</v>
      </c>
      <c r="AU21">
        <v>4</v>
      </c>
      <c r="AV21">
        <v>1</v>
      </c>
      <c r="AW21">
        <v>0</v>
      </c>
      <c r="AX21">
        <v>20</v>
      </c>
    </row>
    <row r="22" spans="1:50" x14ac:dyDescent="0.25">
      <c r="A22" s="36"/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4" t="s">
        <v>4</v>
      </c>
      <c r="Q22" s="38"/>
      <c r="R22" s="37"/>
      <c r="S22" s="37"/>
      <c r="T22" s="35"/>
      <c r="AD22" t="s">
        <v>396</v>
      </c>
      <c r="AE22">
        <v>1</v>
      </c>
      <c r="AF22">
        <v>22</v>
      </c>
      <c r="AG22">
        <v>22</v>
      </c>
      <c r="AH22" s="1">
        <v>1980</v>
      </c>
      <c r="AI22">
        <v>22</v>
      </c>
      <c r="AJ22">
        <v>29</v>
      </c>
      <c r="AK22">
        <v>1.32</v>
      </c>
      <c r="AL22">
        <v>79</v>
      </c>
      <c r="AM22">
        <v>50</v>
      </c>
      <c r="AN22">
        <v>64.599999999999994</v>
      </c>
      <c r="AO22">
        <v>12</v>
      </c>
      <c r="AP22">
        <v>6</v>
      </c>
      <c r="AQ22">
        <v>4</v>
      </c>
      <c r="AR22">
        <v>5</v>
      </c>
      <c r="AS22">
        <v>22.7</v>
      </c>
      <c r="AT22">
        <v>1</v>
      </c>
      <c r="AU22">
        <v>1</v>
      </c>
      <c r="AV22">
        <v>0</v>
      </c>
      <c r="AW22">
        <v>0</v>
      </c>
      <c r="AX22">
        <v>0</v>
      </c>
    </row>
    <row r="23" spans="1:50" ht="15" customHeight="1" x14ac:dyDescent="0.25">
      <c r="A23" s="36">
        <v>5</v>
      </c>
      <c r="B23" s="37" t="s">
        <v>317</v>
      </c>
      <c r="C23" s="35">
        <v>22</v>
      </c>
      <c r="D23" s="35">
        <v>10</v>
      </c>
      <c r="E23" s="35">
        <v>6</v>
      </c>
      <c r="F23" s="35">
        <v>6</v>
      </c>
      <c r="G23" s="35">
        <v>34</v>
      </c>
      <c r="H23" s="35">
        <v>22</v>
      </c>
      <c r="I23" s="35">
        <v>12</v>
      </c>
      <c r="J23" s="35">
        <v>36</v>
      </c>
      <c r="K23" s="35">
        <v>1.64</v>
      </c>
      <c r="L23" s="35">
        <v>26</v>
      </c>
      <c r="M23" s="35">
        <v>20.9</v>
      </c>
      <c r="N23" s="35">
        <v>5.0999999999999996</v>
      </c>
      <c r="O23" s="35">
        <v>0.23</v>
      </c>
      <c r="P23" s="4" t="s">
        <v>4</v>
      </c>
      <c r="Q23" s="38">
        <v>21197</v>
      </c>
      <c r="R23" s="35" t="s">
        <v>318</v>
      </c>
      <c r="S23" s="37" t="s">
        <v>319</v>
      </c>
      <c r="T23" s="35"/>
      <c r="AD23" t="s">
        <v>397</v>
      </c>
      <c r="AE23">
        <v>3</v>
      </c>
      <c r="AF23">
        <v>22</v>
      </c>
      <c r="AG23">
        <v>22</v>
      </c>
      <c r="AH23" s="1">
        <v>1980</v>
      </c>
      <c r="AI23">
        <v>22</v>
      </c>
      <c r="AJ23">
        <v>30</v>
      </c>
      <c r="AK23">
        <v>1.36</v>
      </c>
      <c r="AL23">
        <v>101</v>
      </c>
      <c r="AM23">
        <v>72</v>
      </c>
      <c r="AN23">
        <v>72.3</v>
      </c>
      <c r="AO23">
        <v>6</v>
      </c>
      <c r="AP23">
        <v>5</v>
      </c>
      <c r="AQ23">
        <v>11</v>
      </c>
      <c r="AR23">
        <v>5</v>
      </c>
      <c r="AS23">
        <v>22.7</v>
      </c>
      <c r="AT23">
        <v>3</v>
      </c>
      <c r="AU23">
        <v>2</v>
      </c>
      <c r="AV23">
        <v>0</v>
      </c>
      <c r="AW23">
        <v>1</v>
      </c>
      <c r="AX23">
        <v>0</v>
      </c>
    </row>
    <row r="24" spans="1:50" x14ac:dyDescent="0.25">
      <c r="A24" s="36"/>
      <c r="B24" s="37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4" t="s">
        <v>6</v>
      </c>
      <c r="Q24" s="38"/>
      <c r="R24" s="35"/>
      <c r="S24" s="37"/>
      <c r="T24" s="35"/>
      <c r="AD24" t="s">
        <v>398</v>
      </c>
      <c r="AE24">
        <v>1</v>
      </c>
      <c r="AF24">
        <v>22</v>
      </c>
      <c r="AG24">
        <v>22</v>
      </c>
      <c r="AH24" s="1">
        <v>1980</v>
      </c>
      <c r="AI24">
        <v>22</v>
      </c>
      <c r="AJ24">
        <v>24</v>
      </c>
      <c r="AK24">
        <v>1.0900000000000001</v>
      </c>
      <c r="AL24">
        <v>74</v>
      </c>
      <c r="AM24">
        <v>49</v>
      </c>
      <c r="AN24">
        <v>68.900000000000006</v>
      </c>
      <c r="AO24">
        <v>10</v>
      </c>
      <c r="AP24">
        <v>3</v>
      </c>
      <c r="AQ24">
        <v>9</v>
      </c>
      <c r="AR24">
        <v>6</v>
      </c>
      <c r="AS24">
        <v>27.3</v>
      </c>
      <c r="AT24">
        <v>2</v>
      </c>
      <c r="AU24">
        <v>1</v>
      </c>
      <c r="AV24">
        <v>1</v>
      </c>
      <c r="AW24">
        <v>0</v>
      </c>
      <c r="AX24">
        <v>50</v>
      </c>
    </row>
    <row r="25" spans="1:50" x14ac:dyDescent="0.25">
      <c r="A25" s="36"/>
      <c r="B25" s="37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4" t="s">
        <v>6</v>
      </c>
      <c r="Q25" s="38"/>
      <c r="R25" s="35"/>
      <c r="S25" s="37"/>
      <c r="T25" s="35"/>
      <c r="AD25" t="s">
        <v>399</v>
      </c>
      <c r="AE25">
        <v>1</v>
      </c>
      <c r="AF25">
        <v>22</v>
      </c>
      <c r="AG25">
        <v>22</v>
      </c>
      <c r="AH25" s="1">
        <v>1980</v>
      </c>
      <c r="AI25">
        <v>22</v>
      </c>
      <c r="AJ25">
        <v>31</v>
      </c>
      <c r="AK25">
        <v>1.41</v>
      </c>
      <c r="AL25">
        <v>103</v>
      </c>
      <c r="AM25">
        <v>74</v>
      </c>
      <c r="AN25">
        <v>73.8</v>
      </c>
      <c r="AO25">
        <v>6</v>
      </c>
      <c r="AP25">
        <v>7</v>
      </c>
      <c r="AQ25">
        <v>9</v>
      </c>
      <c r="AR25">
        <v>4</v>
      </c>
      <c r="AS25">
        <v>18.2</v>
      </c>
      <c r="AT25">
        <v>4</v>
      </c>
      <c r="AU25">
        <v>4</v>
      </c>
      <c r="AV25">
        <v>0</v>
      </c>
      <c r="AW25">
        <v>0</v>
      </c>
      <c r="AX25">
        <v>0</v>
      </c>
    </row>
    <row r="26" spans="1:50" x14ac:dyDescent="0.25">
      <c r="A26" s="36"/>
      <c r="B26" s="37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4" t="s">
        <v>4</v>
      </c>
      <c r="Q26" s="38"/>
      <c r="R26" s="35"/>
      <c r="S26" s="37"/>
      <c r="T26" s="35"/>
      <c r="AD26" t="s">
        <v>400</v>
      </c>
      <c r="AE26">
        <v>2</v>
      </c>
      <c r="AF26">
        <v>22</v>
      </c>
      <c r="AG26">
        <v>22</v>
      </c>
      <c r="AH26" s="1">
        <v>1979</v>
      </c>
      <c r="AI26">
        <v>22</v>
      </c>
      <c r="AJ26">
        <v>27</v>
      </c>
      <c r="AK26">
        <v>1.23</v>
      </c>
      <c r="AL26">
        <v>93</v>
      </c>
      <c r="AM26">
        <v>65</v>
      </c>
      <c r="AN26">
        <v>72</v>
      </c>
      <c r="AO26">
        <v>8</v>
      </c>
      <c r="AP26">
        <v>7</v>
      </c>
      <c r="AQ26">
        <v>7</v>
      </c>
      <c r="AR26">
        <v>7</v>
      </c>
      <c r="AS26">
        <v>31.8</v>
      </c>
      <c r="AT26">
        <v>3</v>
      </c>
      <c r="AU26">
        <v>1</v>
      </c>
      <c r="AV26">
        <v>2</v>
      </c>
      <c r="AW26">
        <v>0</v>
      </c>
      <c r="AX26">
        <v>66.7</v>
      </c>
    </row>
    <row r="27" spans="1:50" x14ac:dyDescent="0.25">
      <c r="A27" s="36"/>
      <c r="B27" s="37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4" t="s">
        <v>5</v>
      </c>
      <c r="Q27" s="38"/>
      <c r="R27" s="35"/>
      <c r="S27" s="37"/>
      <c r="T27" s="35"/>
      <c r="AD27" t="s">
        <v>401</v>
      </c>
      <c r="AE27">
        <v>1</v>
      </c>
      <c r="AF27">
        <v>22</v>
      </c>
      <c r="AG27">
        <v>22</v>
      </c>
      <c r="AH27" s="1">
        <v>1980</v>
      </c>
      <c r="AI27">
        <v>22</v>
      </c>
      <c r="AJ27">
        <v>22</v>
      </c>
      <c r="AK27">
        <v>1</v>
      </c>
      <c r="AL27">
        <v>58</v>
      </c>
      <c r="AM27">
        <v>35</v>
      </c>
      <c r="AN27">
        <v>65.5</v>
      </c>
      <c r="AO27">
        <v>10</v>
      </c>
      <c r="AP27">
        <v>6</v>
      </c>
      <c r="AQ27">
        <v>6</v>
      </c>
      <c r="AR27">
        <v>10</v>
      </c>
      <c r="AS27">
        <v>45.5</v>
      </c>
      <c r="AT27">
        <v>3</v>
      </c>
      <c r="AU27">
        <v>2</v>
      </c>
      <c r="AV27">
        <v>1</v>
      </c>
      <c r="AW27">
        <v>0</v>
      </c>
      <c r="AX27">
        <v>33.299999999999997</v>
      </c>
    </row>
    <row r="28" spans="1:50" ht="15" customHeight="1" x14ac:dyDescent="0.25">
      <c r="A28" s="36">
        <v>6</v>
      </c>
      <c r="B28" s="37" t="s">
        <v>320</v>
      </c>
      <c r="C28" s="35">
        <v>22</v>
      </c>
      <c r="D28" s="35">
        <v>10</v>
      </c>
      <c r="E28" s="35">
        <v>6</v>
      </c>
      <c r="F28" s="35">
        <v>6</v>
      </c>
      <c r="G28" s="35">
        <v>34</v>
      </c>
      <c r="H28" s="35">
        <v>27</v>
      </c>
      <c r="I28" s="35">
        <v>7</v>
      </c>
      <c r="J28" s="35">
        <v>36</v>
      </c>
      <c r="K28" s="35">
        <v>1.64</v>
      </c>
      <c r="L28" s="35">
        <v>29.7</v>
      </c>
      <c r="M28" s="35">
        <v>24.1</v>
      </c>
      <c r="N28" s="35">
        <v>5.6</v>
      </c>
      <c r="O28" s="35">
        <v>0.25</v>
      </c>
      <c r="P28" s="4" t="s">
        <v>4</v>
      </c>
      <c r="Q28" s="38">
        <v>21174</v>
      </c>
      <c r="R28" s="35" t="s">
        <v>321</v>
      </c>
      <c r="S28" s="37" t="s">
        <v>322</v>
      </c>
      <c r="T28" s="35"/>
    </row>
    <row r="29" spans="1:50" x14ac:dyDescent="0.25">
      <c r="A29" s="36"/>
      <c r="B29" s="37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4" t="s">
        <v>6</v>
      </c>
      <c r="Q29" s="38"/>
      <c r="R29" s="35"/>
      <c r="S29" s="37"/>
      <c r="T29" s="35"/>
    </row>
    <row r="30" spans="1:50" x14ac:dyDescent="0.25">
      <c r="A30" s="36"/>
      <c r="B30" s="37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4" t="s">
        <v>6</v>
      </c>
      <c r="Q30" s="38"/>
      <c r="R30" s="35"/>
      <c r="S30" s="37"/>
      <c r="T30" s="35"/>
    </row>
    <row r="31" spans="1:50" x14ac:dyDescent="0.25">
      <c r="A31" s="36"/>
      <c r="B31" s="37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4" t="s">
        <v>4</v>
      </c>
      <c r="Q31" s="38"/>
      <c r="R31" s="35"/>
      <c r="S31" s="37"/>
      <c r="T31" s="35"/>
    </row>
    <row r="32" spans="1:50" x14ac:dyDescent="0.25">
      <c r="A32" s="36"/>
      <c r="B32" s="37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4" t="s">
        <v>4</v>
      </c>
      <c r="Q32" s="38"/>
      <c r="R32" s="35"/>
      <c r="S32" s="37"/>
      <c r="T32" s="35"/>
    </row>
    <row r="33" spans="1:49" ht="15" customHeight="1" x14ac:dyDescent="0.25">
      <c r="A33" s="36">
        <v>7</v>
      </c>
      <c r="B33" s="37" t="s">
        <v>323</v>
      </c>
      <c r="C33" s="35">
        <v>22</v>
      </c>
      <c r="D33" s="35">
        <v>10</v>
      </c>
      <c r="E33" s="35">
        <v>3</v>
      </c>
      <c r="F33" s="35">
        <v>9</v>
      </c>
      <c r="G33" s="35">
        <v>32</v>
      </c>
      <c r="H33" s="35">
        <v>24</v>
      </c>
      <c r="I33" s="35">
        <v>8</v>
      </c>
      <c r="J33" s="35">
        <v>33</v>
      </c>
      <c r="K33" s="35">
        <v>1.5</v>
      </c>
      <c r="L33" s="35">
        <v>36.299999999999997</v>
      </c>
      <c r="M33" s="35">
        <v>22.8</v>
      </c>
      <c r="N33" s="35">
        <v>13.5</v>
      </c>
      <c r="O33" s="35">
        <v>0.61</v>
      </c>
      <c r="P33" s="4" t="s">
        <v>6</v>
      </c>
      <c r="Q33" s="38">
        <v>40817</v>
      </c>
      <c r="R33" s="37" t="s">
        <v>324</v>
      </c>
      <c r="S33" s="37" t="s">
        <v>325</v>
      </c>
      <c r="T33" s="35"/>
    </row>
    <row r="34" spans="1:49" x14ac:dyDescent="0.25">
      <c r="A34" s="36"/>
      <c r="B34" s="37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4" t="s">
        <v>5</v>
      </c>
      <c r="Q34" s="38"/>
      <c r="R34" s="37"/>
      <c r="S34" s="37"/>
      <c r="T34" s="35"/>
    </row>
    <row r="35" spans="1:49" x14ac:dyDescent="0.25">
      <c r="A35" s="36"/>
      <c r="B35" s="37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" t="s">
        <v>4</v>
      </c>
      <c r="Q35" s="38"/>
      <c r="R35" s="37"/>
      <c r="S35" s="37"/>
      <c r="T35" s="35"/>
    </row>
    <row r="36" spans="1:49" x14ac:dyDescent="0.25">
      <c r="A36" s="36"/>
      <c r="B36" s="37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4" t="s">
        <v>4</v>
      </c>
      <c r="Q36" s="38"/>
      <c r="R36" s="37"/>
      <c r="S36" s="37"/>
      <c r="T36" s="35"/>
      <c r="AD36" t="s">
        <v>402</v>
      </c>
    </row>
    <row r="37" spans="1:49" x14ac:dyDescent="0.25">
      <c r="A37" s="36"/>
      <c r="B37" s="37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4" t="s">
        <v>6</v>
      </c>
      <c r="Q37" s="38"/>
      <c r="R37" s="37"/>
      <c r="S37" s="37"/>
      <c r="T37" s="35"/>
      <c r="AG37" t="s">
        <v>52</v>
      </c>
      <c r="AS37" t="s">
        <v>23</v>
      </c>
    </row>
    <row r="38" spans="1:49" ht="15" customHeight="1" x14ac:dyDescent="0.25">
      <c r="A38" s="36">
        <v>8</v>
      </c>
      <c r="B38" s="37" t="s">
        <v>326</v>
      </c>
      <c r="C38" s="35">
        <v>22</v>
      </c>
      <c r="D38" s="35">
        <v>9</v>
      </c>
      <c r="E38" s="35">
        <v>5</v>
      </c>
      <c r="F38" s="35">
        <v>8</v>
      </c>
      <c r="G38" s="35">
        <v>28</v>
      </c>
      <c r="H38" s="35">
        <v>38</v>
      </c>
      <c r="I38" s="35">
        <v>-10</v>
      </c>
      <c r="J38" s="35">
        <v>32</v>
      </c>
      <c r="K38" s="35">
        <v>1.45</v>
      </c>
      <c r="L38" s="35">
        <v>19.399999999999999</v>
      </c>
      <c r="M38" s="35">
        <v>28.8</v>
      </c>
      <c r="N38" s="35">
        <v>-9.4</v>
      </c>
      <c r="O38" s="35">
        <v>-0.43</v>
      </c>
      <c r="P38" s="4" t="s">
        <v>6</v>
      </c>
      <c r="Q38" s="38">
        <v>15831</v>
      </c>
      <c r="R38" s="37" t="s">
        <v>327</v>
      </c>
      <c r="S38" s="37" t="s">
        <v>328</v>
      </c>
      <c r="T38" s="35"/>
      <c r="AD38" t="s">
        <v>2</v>
      </c>
      <c r="AE38" t="s">
        <v>24</v>
      </c>
      <c r="AF38" t="s">
        <v>28</v>
      </c>
      <c r="AG38" t="s">
        <v>29</v>
      </c>
      <c r="AH38" t="s">
        <v>53</v>
      </c>
      <c r="AI38" t="s">
        <v>54</v>
      </c>
      <c r="AJ38" t="s">
        <v>55</v>
      </c>
      <c r="AK38" t="s">
        <v>56</v>
      </c>
      <c r="AL38" t="s">
        <v>57</v>
      </c>
      <c r="AM38" t="s">
        <v>58</v>
      </c>
      <c r="AN38" t="s">
        <v>59</v>
      </c>
      <c r="AO38" t="s">
        <v>60</v>
      </c>
      <c r="AP38" t="s">
        <v>48</v>
      </c>
      <c r="AQ38" t="s">
        <v>31</v>
      </c>
      <c r="AR38" t="s">
        <v>32</v>
      </c>
      <c r="AS38" t="s">
        <v>12</v>
      </c>
      <c r="AT38" t="s">
        <v>33</v>
      </c>
      <c r="AU38" t="s">
        <v>61</v>
      </c>
      <c r="AV38" t="s">
        <v>62</v>
      </c>
      <c r="AW38" t="s">
        <v>63</v>
      </c>
    </row>
    <row r="39" spans="1:49" x14ac:dyDescent="0.25">
      <c r="A39" s="36"/>
      <c r="B39" s="37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" t="s">
        <v>6</v>
      </c>
      <c r="Q39" s="38"/>
      <c r="R39" s="37"/>
      <c r="S39" s="37"/>
      <c r="T39" s="35"/>
      <c r="AD39" t="s">
        <v>378</v>
      </c>
      <c r="AE39">
        <v>26</v>
      </c>
      <c r="AF39">
        <v>22</v>
      </c>
      <c r="AG39">
        <v>25</v>
      </c>
      <c r="AH39">
        <v>273</v>
      </c>
      <c r="AI39">
        <v>86</v>
      </c>
      <c r="AJ39">
        <v>31.5</v>
      </c>
      <c r="AK39">
        <v>12.41</v>
      </c>
      <c r="AL39">
        <v>3.91</v>
      </c>
      <c r="AM39">
        <v>0.08</v>
      </c>
      <c r="AN39">
        <v>0.27</v>
      </c>
      <c r="AO39">
        <v>18.600000000000001</v>
      </c>
      <c r="AP39">
        <v>3</v>
      </c>
      <c r="AQ39">
        <v>2</v>
      </c>
      <c r="AR39">
        <v>3</v>
      </c>
      <c r="AS39">
        <v>24.8</v>
      </c>
      <c r="AT39">
        <v>22.4</v>
      </c>
      <c r="AU39">
        <v>0.08</v>
      </c>
      <c r="AV39">
        <v>0.2</v>
      </c>
      <c r="AW39">
        <v>0.6</v>
      </c>
    </row>
    <row r="40" spans="1:49" x14ac:dyDescent="0.25">
      <c r="A40" s="36"/>
      <c r="B40" s="37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4" t="s">
        <v>5</v>
      </c>
      <c r="Q40" s="38"/>
      <c r="R40" s="37"/>
      <c r="S40" s="37"/>
      <c r="T40" s="35"/>
      <c r="AD40" t="s">
        <v>379</v>
      </c>
      <c r="AE40">
        <v>26</v>
      </c>
      <c r="AF40">
        <v>22</v>
      </c>
      <c r="AG40">
        <v>33</v>
      </c>
      <c r="AH40">
        <v>302</v>
      </c>
      <c r="AI40">
        <v>97</v>
      </c>
      <c r="AJ40">
        <v>32.1</v>
      </c>
      <c r="AK40">
        <v>13.73</v>
      </c>
      <c r="AL40">
        <v>4.41</v>
      </c>
      <c r="AM40">
        <v>0.11</v>
      </c>
      <c r="AN40">
        <v>0.34</v>
      </c>
      <c r="AO40">
        <v>16.2</v>
      </c>
      <c r="AP40">
        <v>3</v>
      </c>
      <c r="AQ40">
        <v>0</v>
      </c>
      <c r="AR40">
        <v>1</v>
      </c>
      <c r="AS40">
        <v>33.4</v>
      </c>
      <c r="AT40">
        <v>32.6</v>
      </c>
      <c r="AU40">
        <v>0.11</v>
      </c>
      <c r="AV40">
        <v>-0.4</v>
      </c>
      <c r="AW40">
        <v>0.4</v>
      </c>
    </row>
    <row r="41" spans="1:49" x14ac:dyDescent="0.25">
      <c r="A41" s="36"/>
      <c r="B41" s="37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" t="s">
        <v>4</v>
      </c>
      <c r="Q41" s="38"/>
      <c r="R41" s="37"/>
      <c r="S41" s="37"/>
      <c r="T41" s="35"/>
      <c r="AD41" t="s">
        <v>380</v>
      </c>
      <c r="AE41">
        <v>22</v>
      </c>
      <c r="AF41">
        <v>22</v>
      </c>
      <c r="AG41">
        <v>23</v>
      </c>
      <c r="AH41">
        <v>243</v>
      </c>
      <c r="AI41">
        <v>72</v>
      </c>
      <c r="AJ41">
        <v>29.6</v>
      </c>
      <c r="AK41">
        <v>11.05</v>
      </c>
      <c r="AL41">
        <v>3.27</v>
      </c>
      <c r="AM41">
        <v>0.09</v>
      </c>
      <c r="AN41">
        <v>0.28999999999999998</v>
      </c>
      <c r="AO41">
        <v>17.600000000000001</v>
      </c>
      <c r="AP41">
        <v>6</v>
      </c>
      <c r="AQ41">
        <v>2</v>
      </c>
      <c r="AR41">
        <v>2</v>
      </c>
      <c r="AS41">
        <v>24.7</v>
      </c>
      <c r="AT41">
        <v>23.2</v>
      </c>
      <c r="AU41">
        <v>0.1</v>
      </c>
      <c r="AV41">
        <v>-1.7</v>
      </c>
      <c r="AW41">
        <v>-2.2000000000000002</v>
      </c>
    </row>
    <row r="42" spans="1:49" x14ac:dyDescent="0.25">
      <c r="A42" s="36"/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4" t="s">
        <v>6</v>
      </c>
      <c r="Q42" s="38"/>
      <c r="R42" s="37"/>
      <c r="S42" s="37"/>
      <c r="T42" s="35"/>
      <c r="AD42" t="s">
        <v>381</v>
      </c>
      <c r="AE42">
        <v>25</v>
      </c>
      <c r="AF42">
        <v>22</v>
      </c>
      <c r="AG42">
        <v>27</v>
      </c>
      <c r="AH42">
        <v>233</v>
      </c>
      <c r="AI42">
        <v>81</v>
      </c>
      <c r="AJ42">
        <v>34.799999999999997</v>
      </c>
      <c r="AK42">
        <v>10.59</v>
      </c>
      <c r="AL42">
        <v>3.68</v>
      </c>
      <c r="AM42">
        <v>0.11</v>
      </c>
      <c r="AN42">
        <v>0.31</v>
      </c>
      <c r="AO42">
        <v>17.399999999999999</v>
      </c>
      <c r="AP42">
        <v>4</v>
      </c>
      <c r="AQ42">
        <v>2</v>
      </c>
      <c r="AR42">
        <v>2</v>
      </c>
      <c r="AS42">
        <v>23.8</v>
      </c>
      <c r="AT42">
        <v>22.2</v>
      </c>
      <c r="AU42">
        <v>0.1</v>
      </c>
      <c r="AV42">
        <v>3.2</v>
      </c>
      <c r="AW42">
        <v>2.8</v>
      </c>
    </row>
    <row r="43" spans="1:49" ht="15" customHeight="1" x14ac:dyDescent="0.25">
      <c r="A43" s="36">
        <v>9</v>
      </c>
      <c r="B43" s="37" t="s">
        <v>329</v>
      </c>
      <c r="C43" s="35">
        <v>22</v>
      </c>
      <c r="D43" s="35">
        <v>8</v>
      </c>
      <c r="E43" s="35">
        <v>7</v>
      </c>
      <c r="F43" s="35">
        <v>7</v>
      </c>
      <c r="G43" s="35">
        <v>35</v>
      </c>
      <c r="H43" s="35">
        <v>27</v>
      </c>
      <c r="I43" s="35">
        <v>8</v>
      </c>
      <c r="J43" s="35">
        <v>31</v>
      </c>
      <c r="K43" s="35">
        <v>1.41</v>
      </c>
      <c r="L43" s="35">
        <v>27.1</v>
      </c>
      <c r="M43" s="35">
        <v>25.1</v>
      </c>
      <c r="N43" s="35">
        <v>2</v>
      </c>
      <c r="O43" s="35">
        <v>0.09</v>
      </c>
      <c r="P43" s="4" t="s">
        <v>4</v>
      </c>
      <c r="Q43" s="38">
        <v>18430</v>
      </c>
      <c r="R43" s="37" t="s">
        <v>330</v>
      </c>
      <c r="S43" s="37" t="s">
        <v>331</v>
      </c>
      <c r="T43" s="35"/>
      <c r="AD43" t="s">
        <v>382</v>
      </c>
      <c r="AE43">
        <v>23</v>
      </c>
      <c r="AF43">
        <v>22</v>
      </c>
      <c r="AG43">
        <v>24</v>
      </c>
      <c r="AH43">
        <v>304</v>
      </c>
      <c r="AI43">
        <v>92</v>
      </c>
      <c r="AJ43">
        <v>30.3</v>
      </c>
      <c r="AK43">
        <v>13.82</v>
      </c>
      <c r="AL43">
        <v>4.18</v>
      </c>
      <c r="AM43">
        <v>0.08</v>
      </c>
      <c r="AN43">
        <v>0.26</v>
      </c>
      <c r="AO43">
        <v>18.100000000000001</v>
      </c>
      <c r="AP43">
        <v>5</v>
      </c>
      <c r="AQ43">
        <v>0</v>
      </c>
      <c r="AR43">
        <v>2</v>
      </c>
      <c r="AS43">
        <v>31.3</v>
      </c>
      <c r="AT43">
        <v>29.7</v>
      </c>
      <c r="AU43">
        <v>0.1</v>
      </c>
      <c r="AV43">
        <v>-7.3</v>
      </c>
      <c r="AW43">
        <v>-5.7</v>
      </c>
    </row>
    <row r="44" spans="1:49" x14ac:dyDescent="0.25">
      <c r="A44" s="36"/>
      <c r="B44" s="37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" t="s">
        <v>4</v>
      </c>
      <c r="Q44" s="38"/>
      <c r="R44" s="37"/>
      <c r="S44" s="37"/>
      <c r="T44" s="35"/>
      <c r="AD44" t="s">
        <v>383</v>
      </c>
      <c r="AE44">
        <v>24</v>
      </c>
      <c r="AF44">
        <v>22</v>
      </c>
      <c r="AG44">
        <v>19</v>
      </c>
      <c r="AH44">
        <v>229</v>
      </c>
      <c r="AI44">
        <v>71</v>
      </c>
      <c r="AJ44">
        <v>31</v>
      </c>
      <c r="AK44">
        <v>10.41</v>
      </c>
      <c r="AL44">
        <v>3.23</v>
      </c>
      <c r="AM44">
        <v>0.08</v>
      </c>
      <c r="AN44">
        <v>0.25</v>
      </c>
      <c r="AO44">
        <v>18</v>
      </c>
      <c r="AP44">
        <v>10</v>
      </c>
      <c r="AQ44">
        <v>1</v>
      </c>
      <c r="AR44">
        <v>1</v>
      </c>
      <c r="AS44">
        <v>22.1</v>
      </c>
      <c r="AT44">
        <v>21.3</v>
      </c>
      <c r="AU44">
        <v>0.09</v>
      </c>
      <c r="AV44">
        <v>-3.1</v>
      </c>
      <c r="AW44">
        <v>-3.3</v>
      </c>
    </row>
    <row r="45" spans="1:49" x14ac:dyDescent="0.25">
      <c r="A45" s="36"/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4" t="s">
        <v>5</v>
      </c>
      <c r="Q45" s="38"/>
      <c r="R45" s="37"/>
      <c r="S45" s="37"/>
      <c r="T45" s="35"/>
      <c r="AD45" t="s">
        <v>384</v>
      </c>
      <c r="AE45">
        <v>26</v>
      </c>
      <c r="AF45">
        <v>22</v>
      </c>
      <c r="AG45">
        <v>34</v>
      </c>
      <c r="AH45">
        <v>314</v>
      </c>
      <c r="AI45">
        <v>114</v>
      </c>
      <c r="AJ45">
        <v>36.299999999999997</v>
      </c>
      <c r="AK45">
        <v>14.27</v>
      </c>
      <c r="AL45">
        <v>5.18</v>
      </c>
      <c r="AM45">
        <v>0.11</v>
      </c>
      <c r="AN45">
        <v>0.28999999999999998</v>
      </c>
      <c r="AO45">
        <v>19.3</v>
      </c>
      <c r="AP45">
        <v>18</v>
      </c>
      <c r="AQ45">
        <v>1</v>
      </c>
      <c r="AR45">
        <v>2</v>
      </c>
      <c r="AS45">
        <v>29.7</v>
      </c>
      <c r="AT45">
        <v>28.1</v>
      </c>
      <c r="AU45">
        <v>0.09</v>
      </c>
      <c r="AV45">
        <v>4.3</v>
      </c>
      <c r="AW45">
        <v>4.9000000000000004</v>
      </c>
    </row>
    <row r="46" spans="1:49" x14ac:dyDescent="0.25">
      <c r="A46" s="36"/>
      <c r="B46" s="37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4" t="s">
        <v>6</v>
      </c>
      <c r="Q46" s="38"/>
      <c r="R46" s="37"/>
      <c r="S46" s="37"/>
      <c r="T46" s="35"/>
      <c r="AD46" t="s">
        <v>385</v>
      </c>
      <c r="AE46">
        <v>25</v>
      </c>
      <c r="AF46">
        <v>22</v>
      </c>
      <c r="AG46">
        <v>45</v>
      </c>
      <c r="AH46">
        <v>358</v>
      </c>
      <c r="AI46">
        <v>124</v>
      </c>
      <c r="AJ46">
        <v>34.6</v>
      </c>
      <c r="AK46">
        <v>16.27</v>
      </c>
      <c r="AL46">
        <v>5.64</v>
      </c>
      <c r="AM46">
        <v>0.12</v>
      </c>
      <c r="AN46">
        <v>0.35</v>
      </c>
      <c r="AO46">
        <v>17.2</v>
      </c>
      <c r="AP46">
        <v>9</v>
      </c>
      <c r="AQ46">
        <v>1</v>
      </c>
      <c r="AR46">
        <v>1</v>
      </c>
      <c r="AS46">
        <v>38</v>
      </c>
      <c r="AT46">
        <v>37.200000000000003</v>
      </c>
      <c r="AU46">
        <v>0.11</v>
      </c>
      <c r="AV46">
        <v>7</v>
      </c>
      <c r="AW46">
        <v>6.8</v>
      </c>
    </row>
    <row r="47" spans="1:49" x14ac:dyDescent="0.25">
      <c r="A47" s="36"/>
      <c r="B47" s="37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4" t="s">
        <v>4</v>
      </c>
      <c r="Q47" s="38"/>
      <c r="R47" s="37"/>
      <c r="S47" s="37"/>
      <c r="T47" s="35"/>
      <c r="AD47" t="s">
        <v>386</v>
      </c>
      <c r="AE47">
        <v>30</v>
      </c>
      <c r="AF47">
        <v>22</v>
      </c>
      <c r="AG47">
        <v>36</v>
      </c>
      <c r="AH47">
        <v>351</v>
      </c>
      <c r="AI47">
        <v>117</v>
      </c>
      <c r="AJ47">
        <v>33.299999999999997</v>
      </c>
      <c r="AK47">
        <v>15.95</v>
      </c>
      <c r="AL47">
        <v>5.32</v>
      </c>
      <c r="AM47">
        <v>0.1</v>
      </c>
      <c r="AN47">
        <v>0.3</v>
      </c>
      <c r="AO47">
        <v>16.3</v>
      </c>
      <c r="AP47">
        <v>12</v>
      </c>
      <c r="AQ47">
        <v>1</v>
      </c>
      <c r="AR47">
        <v>2</v>
      </c>
      <c r="AS47">
        <v>36.799999999999997</v>
      </c>
      <c r="AT47">
        <v>35.299999999999997</v>
      </c>
      <c r="AU47">
        <v>0.1</v>
      </c>
      <c r="AV47">
        <v>-0.8</v>
      </c>
      <c r="AW47">
        <v>-0.3</v>
      </c>
    </row>
    <row r="48" spans="1:49" ht="15" customHeight="1" x14ac:dyDescent="0.25">
      <c r="A48" s="36">
        <v>10</v>
      </c>
      <c r="B48" s="37" t="s">
        <v>332</v>
      </c>
      <c r="C48" s="35">
        <v>22</v>
      </c>
      <c r="D48" s="35">
        <v>9</v>
      </c>
      <c r="E48" s="35">
        <v>4</v>
      </c>
      <c r="F48" s="35">
        <v>9</v>
      </c>
      <c r="G48" s="35">
        <v>39</v>
      </c>
      <c r="H48" s="35">
        <v>39</v>
      </c>
      <c r="I48" s="35">
        <v>0</v>
      </c>
      <c r="J48" s="35">
        <v>31</v>
      </c>
      <c r="K48" s="35">
        <v>1.41</v>
      </c>
      <c r="L48" s="35">
        <v>31</v>
      </c>
      <c r="M48" s="35">
        <v>33.6</v>
      </c>
      <c r="N48" s="35">
        <v>-2.6</v>
      </c>
      <c r="O48" s="35">
        <v>-0.12</v>
      </c>
      <c r="P48" s="4" t="s">
        <v>6</v>
      </c>
      <c r="Q48" s="38">
        <v>25946</v>
      </c>
      <c r="R48" s="37" t="s">
        <v>333</v>
      </c>
      <c r="S48" s="37" t="s">
        <v>334</v>
      </c>
      <c r="T48" s="35"/>
      <c r="AD48" t="s">
        <v>387</v>
      </c>
      <c r="AE48">
        <v>26</v>
      </c>
      <c r="AF48">
        <v>22</v>
      </c>
      <c r="AG48">
        <v>44</v>
      </c>
      <c r="AH48">
        <v>311</v>
      </c>
      <c r="AI48">
        <v>107</v>
      </c>
      <c r="AJ48">
        <v>34.4</v>
      </c>
      <c r="AK48">
        <v>14.14</v>
      </c>
      <c r="AL48">
        <v>4.8600000000000003</v>
      </c>
      <c r="AM48">
        <v>0.13</v>
      </c>
      <c r="AN48">
        <v>0.36</v>
      </c>
      <c r="AO48">
        <v>16.600000000000001</v>
      </c>
      <c r="AP48">
        <v>6</v>
      </c>
      <c r="AQ48">
        <v>5</v>
      </c>
      <c r="AR48">
        <v>5</v>
      </c>
      <c r="AS48">
        <v>39.9</v>
      </c>
      <c r="AT48">
        <v>36</v>
      </c>
      <c r="AU48">
        <v>0.12</v>
      </c>
      <c r="AV48">
        <v>4.0999999999999996</v>
      </c>
      <c r="AW48">
        <v>3</v>
      </c>
    </row>
    <row r="49" spans="1:49" x14ac:dyDescent="0.25">
      <c r="A49" s="36"/>
      <c r="B49" s="37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4" t="s">
        <v>4</v>
      </c>
      <c r="Q49" s="38"/>
      <c r="R49" s="37"/>
      <c r="S49" s="37"/>
      <c r="T49" s="35"/>
      <c r="AD49" t="s">
        <v>388</v>
      </c>
      <c r="AE49">
        <v>27</v>
      </c>
      <c r="AF49">
        <v>22</v>
      </c>
      <c r="AG49">
        <v>33</v>
      </c>
      <c r="AH49">
        <v>301</v>
      </c>
      <c r="AI49">
        <v>117</v>
      </c>
      <c r="AJ49">
        <v>38.9</v>
      </c>
      <c r="AK49">
        <v>13.68</v>
      </c>
      <c r="AL49">
        <v>5.32</v>
      </c>
      <c r="AM49">
        <v>0.1</v>
      </c>
      <c r="AN49">
        <v>0.26</v>
      </c>
      <c r="AO49">
        <v>16.399999999999999</v>
      </c>
      <c r="AP49">
        <v>8</v>
      </c>
      <c r="AQ49">
        <v>2</v>
      </c>
      <c r="AR49">
        <v>3</v>
      </c>
      <c r="AS49">
        <v>35.299999999999997</v>
      </c>
      <c r="AT49">
        <v>32.700000000000003</v>
      </c>
      <c r="AU49">
        <v>0.11</v>
      </c>
      <c r="AV49">
        <v>-2.2999999999999998</v>
      </c>
      <c r="AW49">
        <v>-1.7</v>
      </c>
    </row>
    <row r="50" spans="1:49" x14ac:dyDescent="0.25">
      <c r="A50" s="36"/>
      <c r="B50" s="37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4" t="s">
        <v>5</v>
      </c>
      <c r="Q50" s="38"/>
      <c r="R50" s="37"/>
      <c r="S50" s="37"/>
      <c r="T50" s="35"/>
      <c r="AD50" t="s">
        <v>389</v>
      </c>
      <c r="AE50">
        <v>24</v>
      </c>
      <c r="AF50">
        <v>22</v>
      </c>
      <c r="AG50">
        <v>24</v>
      </c>
      <c r="AH50">
        <v>259</v>
      </c>
      <c r="AI50">
        <v>81</v>
      </c>
      <c r="AJ50">
        <v>31.3</v>
      </c>
      <c r="AK50">
        <v>11.77</v>
      </c>
      <c r="AL50">
        <v>3.68</v>
      </c>
      <c r="AM50">
        <v>0.09</v>
      </c>
      <c r="AN50">
        <v>0.3</v>
      </c>
      <c r="AO50">
        <v>17.600000000000001</v>
      </c>
      <c r="AP50">
        <v>10</v>
      </c>
      <c r="AQ50">
        <v>0</v>
      </c>
      <c r="AR50">
        <v>1</v>
      </c>
      <c r="AS50">
        <v>22.6</v>
      </c>
      <c r="AT50">
        <v>21.8</v>
      </c>
      <c r="AU50">
        <v>0.09</v>
      </c>
      <c r="AV50">
        <v>1.4</v>
      </c>
      <c r="AW50">
        <v>2.2000000000000002</v>
      </c>
    </row>
    <row r="51" spans="1:49" x14ac:dyDescent="0.25">
      <c r="A51" s="36"/>
      <c r="B51" s="37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4" t="s">
        <v>4</v>
      </c>
      <c r="Q51" s="38"/>
      <c r="R51" s="37"/>
      <c r="S51" s="37"/>
      <c r="T51" s="35"/>
      <c r="AD51" t="s">
        <v>390</v>
      </c>
      <c r="AE51">
        <v>26</v>
      </c>
      <c r="AF51">
        <v>22</v>
      </c>
      <c r="AG51">
        <v>37</v>
      </c>
      <c r="AH51">
        <v>311</v>
      </c>
      <c r="AI51">
        <v>90</v>
      </c>
      <c r="AJ51">
        <v>28.9</v>
      </c>
      <c r="AK51">
        <v>14.14</v>
      </c>
      <c r="AL51">
        <v>4.09</v>
      </c>
      <c r="AM51">
        <v>0.11</v>
      </c>
      <c r="AN51">
        <v>0.39</v>
      </c>
      <c r="AO51">
        <v>17</v>
      </c>
      <c r="AP51">
        <v>8</v>
      </c>
      <c r="AQ51">
        <v>2</v>
      </c>
      <c r="AR51">
        <v>2</v>
      </c>
      <c r="AS51">
        <v>31</v>
      </c>
      <c r="AT51">
        <v>29.4</v>
      </c>
      <c r="AU51">
        <v>0.1</v>
      </c>
      <c r="AV51">
        <v>6</v>
      </c>
      <c r="AW51">
        <v>5.6</v>
      </c>
    </row>
    <row r="52" spans="1:49" x14ac:dyDescent="0.25">
      <c r="A52" s="36"/>
      <c r="B52" s="37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4" t="s">
        <v>5</v>
      </c>
      <c r="Q52" s="38"/>
      <c r="R52" s="37"/>
      <c r="S52" s="37"/>
      <c r="T52" s="35"/>
      <c r="AD52" t="s">
        <v>391</v>
      </c>
      <c r="AE52">
        <v>25</v>
      </c>
      <c r="AF52">
        <v>22</v>
      </c>
      <c r="AG52">
        <v>34</v>
      </c>
      <c r="AH52">
        <v>305</v>
      </c>
      <c r="AI52">
        <v>114</v>
      </c>
      <c r="AJ52">
        <v>37.4</v>
      </c>
      <c r="AK52">
        <v>13.86</v>
      </c>
      <c r="AL52">
        <v>5.18</v>
      </c>
      <c r="AM52">
        <v>0.11</v>
      </c>
      <c r="AN52">
        <v>0.28999999999999998</v>
      </c>
      <c r="AO52">
        <v>18.399999999999999</v>
      </c>
      <c r="AP52">
        <v>7</v>
      </c>
      <c r="AQ52">
        <v>1</v>
      </c>
      <c r="AR52">
        <v>1</v>
      </c>
      <c r="AS52">
        <v>29.2</v>
      </c>
      <c r="AT52">
        <v>28.5</v>
      </c>
      <c r="AU52">
        <v>0.09</v>
      </c>
      <c r="AV52">
        <v>4.8</v>
      </c>
      <c r="AW52">
        <v>4.5</v>
      </c>
    </row>
    <row r="53" spans="1:49" ht="15" customHeight="1" x14ac:dyDescent="0.25">
      <c r="A53" s="36">
        <v>11</v>
      </c>
      <c r="B53" s="37" t="s">
        <v>335</v>
      </c>
      <c r="C53" s="35">
        <v>22</v>
      </c>
      <c r="D53" s="35">
        <v>10</v>
      </c>
      <c r="E53" s="35">
        <v>1</v>
      </c>
      <c r="F53" s="35">
        <v>11</v>
      </c>
      <c r="G53" s="35">
        <v>34</v>
      </c>
      <c r="H53" s="35">
        <v>38</v>
      </c>
      <c r="I53" s="35">
        <v>-4</v>
      </c>
      <c r="J53" s="35">
        <v>31</v>
      </c>
      <c r="K53" s="35">
        <v>1.41</v>
      </c>
      <c r="L53" s="35">
        <v>33.4</v>
      </c>
      <c r="M53" s="35">
        <v>32.1</v>
      </c>
      <c r="N53" s="35">
        <v>1.2</v>
      </c>
      <c r="O53" s="35">
        <v>0.06</v>
      </c>
      <c r="P53" s="4" t="s">
        <v>4</v>
      </c>
      <c r="Q53" s="38">
        <v>15510</v>
      </c>
      <c r="R53" s="37" t="s">
        <v>336</v>
      </c>
      <c r="S53" s="37" t="s">
        <v>337</v>
      </c>
      <c r="T53" s="35"/>
      <c r="AD53" t="s">
        <v>392</v>
      </c>
      <c r="AE53">
        <v>24</v>
      </c>
      <c r="AF53">
        <v>22</v>
      </c>
      <c r="AG53">
        <v>27</v>
      </c>
      <c r="AH53">
        <v>199</v>
      </c>
      <c r="AI53">
        <v>63</v>
      </c>
      <c r="AJ53">
        <v>31.7</v>
      </c>
      <c r="AK53">
        <v>9.0500000000000007</v>
      </c>
      <c r="AL53">
        <v>2.86</v>
      </c>
      <c r="AM53">
        <v>0.13</v>
      </c>
      <c r="AN53">
        <v>0.4</v>
      </c>
      <c r="AO53">
        <v>17.8</v>
      </c>
      <c r="AP53">
        <v>4</v>
      </c>
      <c r="AQ53">
        <v>2</v>
      </c>
      <c r="AR53">
        <v>2</v>
      </c>
      <c r="AS53">
        <v>19.399999999999999</v>
      </c>
      <c r="AT53">
        <v>17.899999999999999</v>
      </c>
      <c r="AU53">
        <v>0.09</v>
      </c>
      <c r="AV53">
        <v>7.6</v>
      </c>
      <c r="AW53">
        <v>7.1</v>
      </c>
    </row>
    <row r="54" spans="1:49" x14ac:dyDescent="0.25">
      <c r="A54" s="36"/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4" t="s">
        <v>6</v>
      </c>
      <c r="Q54" s="38"/>
      <c r="R54" s="37"/>
      <c r="S54" s="37"/>
      <c r="T54" s="35"/>
      <c r="AD54" t="s">
        <v>393</v>
      </c>
      <c r="AE54">
        <v>25</v>
      </c>
      <c r="AF54">
        <v>22</v>
      </c>
      <c r="AG54">
        <v>18</v>
      </c>
      <c r="AH54">
        <v>230</v>
      </c>
      <c r="AI54">
        <v>77</v>
      </c>
      <c r="AJ54">
        <v>33.5</v>
      </c>
      <c r="AK54">
        <v>10.45</v>
      </c>
      <c r="AL54">
        <v>3.5</v>
      </c>
      <c r="AM54">
        <v>7.0000000000000007E-2</v>
      </c>
      <c r="AN54">
        <v>0.22</v>
      </c>
      <c r="AO54">
        <v>18.100000000000001</v>
      </c>
      <c r="AP54">
        <v>4</v>
      </c>
      <c r="AQ54">
        <v>1</v>
      </c>
      <c r="AR54">
        <v>1</v>
      </c>
      <c r="AS54">
        <v>18.899999999999999</v>
      </c>
      <c r="AT54">
        <v>18.100000000000001</v>
      </c>
      <c r="AU54">
        <v>0.08</v>
      </c>
      <c r="AV54">
        <v>-0.9</v>
      </c>
      <c r="AW54">
        <v>-1.1000000000000001</v>
      </c>
    </row>
    <row r="55" spans="1:49" x14ac:dyDescent="0.25">
      <c r="A55" s="36"/>
      <c r="B55" s="37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4" t="s">
        <v>6</v>
      </c>
      <c r="Q55" s="38"/>
      <c r="R55" s="37"/>
      <c r="S55" s="37"/>
      <c r="T55" s="35"/>
      <c r="AD55" t="s">
        <v>394</v>
      </c>
      <c r="AE55">
        <v>28</v>
      </c>
      <c r="AF55">
        <v>22</v>
      </c>
      <c r="AG55">
        <v>20</v>
      </c>
      <c r="AH55">
        <v>169</v>
      </c>
      <c r="AI55">
        <v>51</v>
      </c>
      <c r="AJ55">
        <v>30.2</v>
      </c>
      <c r="AK55">
        <v>7.68</v>
      </c>
      <c r="AL55">
        <v>2.3199999999999998</v>
      </c>
      <c r="AM55">
        <v>0.12</v>
      </c>
      <c r="AN55">
        <v>0.39</v>
      </c>
      <c r="AO55">
        <v>17.3</v>
      </c>
      <c r="AP55">
        <v>8</v>
      </c>
      <c r="AQ55">
        <v>0</v>
      </c>
      <c r="AR55">
        <v>0</v>
      </c>
      <c r="AS55">
        <v>14.9</v>
      </c>
      <c r="AT55">
        <v>14.9</v>
      </c>
      <c r="AU55">
        <v>0.09</v>
      </c>
      <c r="AV55">
        <v>5.0999999999999996</v>
      </c>
      <c r="AW55">
        <v>5.0999999999999996</v>
      </c>
    </row>
    <row r="56" spans="1:49" x14ac:dyDescent="0.25">
      <c r="A56" s="36"/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4" t="s">
        <v>4</v>
      </c>
      <c r="Q56" s="38"/>
      <c r="R56" s="37"/>
      <c r="S56" s="37"/>
      <c r="T56" s="35"/>
      <c r="AD56" t="s">
        <v>395</v>
      </c>
      <c r="AE56">
        <v>28</v>
      </c>
      <c r="AF56">
        <v>22</v>
      </c>
      <c r="AG56">
        <v>16</v>
      </c>
      <c r="AH56">
        <v>219</v>
      </c>
      <c r="AI56">
        <v>61</v>
      </c>
      <c r="AJ56">
        <v>27.9</v>
      </c>
      <c r="AK56">
        <v>9.9499999999999993</v>
      </c>
      <c r="AL56">
        <v>2.77</v>
      </c>
      <c r="AM56">
        <v>7.0000000000000007E-2</v>
      </c>
      <c r="AN56">
        <v>0.26</v>
      </c>
      <c r="AO56">
        <v>17.100000000000001</v>
      </c>
      <c r="AP56">
        <v>6</v>
      </c>
      <c r="AQ56">
        <v>0</v>
      </c>
      <c r="AR56">
        <v>0</v>
      </c>
      <c r="AS56">
        <v>21.9</v>
      </c>
      <c r="AT56">
        <v>21.9</v>
      </c>
      <c r="AU56">
        <v>0.1</v>
      </c>
      <c r="AV56">
        <v>-5.9</v>
      </c>
      <c r="AW56">
        <v>-5.9</v>
      </c>
    </row>
    <row r="57" spans="1:49" x14ac:dyDescent="0.25">
      <c r="A57" s="36"/>
      <c r="B57" s="37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4" t="s">
        <v>6</v>
      </c>
      <c r="Q57" s="38"/>
      <c r="R57" s="37"/>
      <c r="S57" s="37"/>
      <c r="T57" s="35"/>
      <c r="AD57" t="s">
        <v>396</v>
      </c>
      <c r="AE57">
        <v>24</v>
      </c>
      <c r="AF57">
        <v>22</v>
      </c>
      <c r="AG57">
        <v>36</v>
      </c>
      <c r="AH57">
        <v>334</v>
      </c>
      <c r="AI57">
        <v>118</v>
      </c>
      <c r="AJ57">
        <v>35.299999999999997</v>
      </c>
      <c r="AK57">
        <v>15.18</v>
      </c>
      <c r="AL57">
        <v>5.36</v>
      </c>
      <c r="AM57">
        <v>0.1</v>
      </c>
      <c r="AN57">
        <v>0.28999999999999998</v>
      </c>
      <c r="AO57">
        <v>17.100000000000001</v>
      </c>
      <c r="AP57">
        <v>11</v>
      </c>
      <c r="AQ57">
        <v>2</v>
      </c>
      <c r="AR57">
        <v>3</v>
      </c>
      <c r="AS57">
        <v>34.5</v>
      </c>
      <c r="AT57">
        <v>32.1</v>
      </c>
      <c r="AU57">
        <v>0.1</v>
      </c>
      <c r="AV57">
        <v>1.5</v>
      </c>
      <c r="AW57">
        <v>1.9</v>
      </c>
    </row>
    <row r="58" spans="1:49" ht="15" customHeight="1" x14ac:dyDescent="0.25">
      <c r="A58" s="36">
        <v>12</v>
      </c>
      <c r="B58" s="37" t="s">
        <v>338</v>
      </c>
      <c r="C58" s="35">
        <v>22</v>
      </c>
      <c r="D58" s="35">
        <v>9</v>
      </c>
      <c r="E58" s="35">
        <v>3</v>
      </c>
      <c r="F58" s="35">
        <v>10</v>
      </c>
      <c r="G58" s="35">
        <v>28</v>
      </c>
      <c r="H58" s="35">
        <v>27</v>
      </c>
      <c r="I58" s="35">
        <v>1</v>
      </c>
      <c r="J58" s="35">
        <v>30</v>
      </c>
      <c r="K58" s="35">
        <v>1.36</v>
      </c>
      <c r="L58" s="35">
        <v>23.8</v>
      </c>
      <c r="M58" s="35">
        <v>31.3</v>
      </c>
      <c r="N58" s="35">
        <v>-7.5</v>
      </c>
      <c r="O58" s="35">
        <v>-0.34</v>
      </c>
      <c r="P58" s="4" t="s">
        <v>6</v>
      </c>
      <c r="Q58" s="38">
        <v>21054</v>
      </c>
      <c r="R58" s="37" t="s">
        <v>339</v>
      </c>
      <c r="S58" s="37" t="s">
        <v>340</v>
      </c>
      <c r="T58" s="35"/>
      <c r="AD58" t="s">
        <v>397</v>
      </c>
      <c r="AE58">
        <v>31</v>
      </c>
      <c r="AF58">
        <v>22</v>
      </c>
      <c r="AG58">
        <v>20</v>
      </c>
      <c r="AH58">
        <v>258</v>
      </c>
      <c r="AI58">
        <v>63</v>
      </c>
      <c r="AJ58">
        <v>24.4</v>
      </c>
      <c r="AK58">
        <v>11.73</v>
      </c>
      <c r="AL58">
        <v>2.86</v>
      </c>
      <c r="AM58">
        <v>7.0000000000000007E-2</v>
      </c>
      <c r="AN58">
        <v>0.3</v>
      </c>
      <c r="AO58">
        <v>16.5</v>
      </c>
      <c r="AP58">
        <v>9</v>
      </c>
      <c r="AQ58">
        <v>1</v>
      </c>
      <c r="AR58">
        <v>2</v>
      </c>
      <c r="AS58">
        <v>25.6</v>
      </c>
      <c r="AT58">
        <v>24.1</v>
      </c>
      <c r="AU58">
        <v>0.1</v>
      </c>
      <c r="AV58">
        <v>-5.6</v>
      </c>
      <c r="AW58">
        <v>-5.0999999999999996</v>
      </c>
    </row>
    <row r="59" spans="1:49" x14ac:dyDescent="0.25">
      <c r="A59" s="36"/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4" t="s">
        <v>6</v>
      </c>
      <c r="Q59" s="38"/>
      <c r="R59" s="37"/>
      <c r="S59" s="37"/>
      <c r="T59" s="35"/>
      <c r="AD59" t="s">
        <v>398</v>
      </c>
      <c r="AE59">
        <v>24</v>
      </c>
      <c r="AF59">
        <v>22</v>
      </c>
      <c r="AG59">
        <v>31</v>
      </c>
      <c r="AH59">
        <v>353</v>
      </c>
      <c r="AI59">
        <v>110</v>
      </c>
      <c r="AJ59">
        <v>31.2</v>
      </c>
      <c r="AK59">
        <v>16.05</v>
      </c>
      <c r="AL59">
        <v>5</v>
      </c>
      <c r="AM59">
        <v>7.0000000000000007E-2</v>
      </c>
      <c r="AN59">
        <v>0.24</v>
      </c>
      <c r="AO59">
        <v>18.100000000000001</v>
      </c>
      <c r="AP59">
        <v>17</v>
      </c>
      <c r="AQ59">
        <v>5</v>
      </c>
      <c r="AR59">
        <v>5</v>
      </c>
      <c r="AS59">
        <v>36.299999999999997</v>
      </c>
      <c r="AT59">
        <v>32.4</v>
      </c>
      <c r="AU59">
        <v>0.1</v>
      </c>
      <c r="AV59">
        <v>-5.3</v>
      </c>
      <c r="AW59">
        <v>-6.4</v>
      </c>
    </row>
    <row r="60" spans="1:49" x14ac:dyDescent="0.25">
      <c r="A60" s="36"/>
      <c r="B60" s="37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4" t="s">
        <v>4</v>
      </c>
      <c r="Q60" s="38"/>
      <c r="R60" s="37"/>
      <c r="S60" s="37"/>
      <c r="T60" s="35"/>
      <c r="AD60" t="s">
        <v>399</v>
      </c>
      <c r="AE60">
        <v>25</v>
      </c>
      <c r="AF60">
        <v>22</v>
      </c>
      <c r="AG60">
        <v>30</v>
      </c>
      <c r="AH60">
        <v>252</v>
      </c>
      <c r="AI60">
        <v>81</v>
      </c>
      <c r="AJ60">
        <v>32.1</v>
      </c>
      <c r="AK60">
        <v>11.45</v>
      </c>
      <c r="AL60">
        <v>3.68</v>
      </c>
      <c r="AM60">
        <v>0.11</v>
      </c>
      <c r="AN60">
        <v>0.35</v>
      </c>
      <c r="AO60">
        <v>17.2</v>
      </c>
      <c r="AP60">
        <v>3</v>
      </c>
      <c r="AQ60">
        <v>2</v>
      </c>
      <c r="AR60">
        <v>3</v>
      </c>
      <c r="AS60">
        <v>27</v>
      </c>
      <c r="AT60">
        <v>24.6</v>
      </c>
      <c r="AU60">
        <v>0.1</v>
      </c>
      <c r="AV60">
        <v>3</v>
      </c>
      <c r="AW60">
        <v>3.4</v>
      </c>
    </row>
    <row r="61" spans="1:49" x14ac:dyDescent="0.25">
      <c r="A61" s="36"/>
      <c r="B61" s="37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4" t="s">
        <v>6</v>
      </c>
      <c r="Q61" s="38"/>
      <c r="R61" s="37"/>
      <c r="S61" s="37"/>
      <c r="T61" s="35"/>
      <c r="AD61" t="s">
        <v>400</v>
      </c>
      <c r="AE61">
        <v>23</v>
      </c>
      <c r="AF61">
        <v>22</v>
      </c>
      <c r="AG61">
        <v>35</v>
      </c>
      <c r="AH61">
        <v>301</v>
      </c>
      <c r="AI61">
        <v>98</v>
      </c>
      <c r="AJ61">
        <v>32.6</v>
      </c>
      <c r="AK61">
        <v>13.68</v>
      </c>
      <c r="AL61">
        <v>4.45</v>
      </c>
      <c r="AM61">
        <v>0.12</v>
      </c>
      <c r="AN61">
        <v>0.36</v>
      </c>
      <c r="AO61">
        <v>19.100000000000001</v>
      </c>
      <c r="AP61">
        <v>8</v>
      </c>
      <c r="AQ61">
        <v>0</v>
      </c>
      <c r="AR61">
        <v>0</v>
      </c>
      <c r="AS61">
        <v>27.1</v>
      </c>
      <c r="AT61">
        <v>27.1</v>
      </c>
      <c r="AU61">
        <v>0.09</v>
      </c>
      <c r="AV61">
        <v>7.9</v>
      </c>
      <c r="AW61">
        <v>7.9</v>
      </c>
    </row>
    <row r="62" spans="1:49" x14ac:dyDescent="0.25">
      <c r="A62" s="36"/>
      <c r="B62" s="37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4" t="s">
        <v>6</v>
      </c>
      <c r="Q62" s="38"/>
      <c r="R62" s="37"/>
      <c r="S62" s="37"/>
      <c r="T62" s="35"/>
      <c r="AD62" t="s">
        <v>401</v>
      </c>
      <c r="AE62">
        <v>22</v>
      </c>
      <c r="AF62">
        <v>22</v>
      </c>
      <c r="AG62">
        <v>33</v>
      </c>
      <c r="AH62">
        <v>248</v>
      </c>
      <c r="AI62">
        <v>69</v>
      </c>
      <c r="AJ62">
        <v>27.8</v>
      </c>
      <c r="AK62">
        <v>11.27</v>
      </c>
      <c r="AL62">
        <v>3.14</v>
      </c>
      <c r="AM62">
        <v>0.13</v>
      </c>
      <c r="AN62">
        <v>0.45</v>
      </c>
      <c r="AO62">
        <v>16.899999999999999</v>
      </c>
      <c r="AP62">
        <v>10</v>
      </c>
      <c r="AQ62">
        <v>2</v>
      </c>
      <c r="AR62">
        <v>2</v>
      </c>
      <c r="AS62">
        <v>26</v>
      </c>
      <c r="AT62">
        <v>24.4</v>
      </c>
      <c r="AU62">
        <v>0.1</v>
      </c>
      <c r="AV62">
        <v>7</v>
      </c>
      <c r="AW62">
        <v>6.6</v>
      </c>
    </row>
    <row r="63" spans="1:49" ht="15" customHeight="1" x14ac:dyDescent="0.25">
      <c r="A63" s="36">
        <v>13</v>
      </c>
      <c r="B63" s="37" t="s">
        <v>341</v>
      </c>
      <c r="C63" s="35">
        <v>22</v>
      </c>
      <c r="D63" s="35">
        <v>9</v>
      </c>
      <c r="E63" s="35">
        <v>3</v>
      </c>
      <c r="F63" s="35">
        <v>10</v>
      </c>
      <c r="G63" s="35">
        <v>34</v>
      </c>
      <c r="H63" s="35">
        <v>34</v>
      </c>
      <c r="I63" s="35">
        <v>0</v>
      </c>
      <c r="J63" s="35">
        <v>30</v>
      </c>
      <c r="K63" s="35">
        <v>1.36</v>
      </c>
      <c r="L63" s="35">
        <v>35.299999999999997</v>
      </c>
      <c r="M63" s="35">
        <v>25.4</v>
      </c>
      <c r="N63" s="35">
        <v>9.9</v>
      </c>
      <c r="O63" s="35">
        <v>0.45</v>
      </c>
      <c r="P63" s="4" t="s">
        <v>4</v>
      </c>
      <c r="Q63" s="38">
        <v>26686</v>
      </c>
      <c r="R63" s="35" t="s">
        <v>342</v>
      </c>
      <c r="S63" s="37" t="s">
        <v>343</v>
      </c>
      <c r="T63" s="35"/>
    </row>
    <row r="64" spans="1:49" x14ac:dyDescent="0.25">
      <c r="A64" s="36"/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4" t="s">
        <v>6</v>
      </c>
      <c r="Q64" s="38"/>
      <c r="R64" s="35"/>
      <c r="S64" s="37"/>
      <c r="T64" s="35"/>
    </row>
    <row r="65" spans="1:55" x14ac:dyDescent="0.25">
      <c r="A65" s="36"/>
      <c r="B65" s="37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4" t="s">
        <v>6</v>
      </c>
      <c r="Q65" s="38"/>
      <c r="R65" s="35"/>
      <c r="S65" s="37"/>
      <c r="T65" s="35"/>
    </row>
    <row r="66" spans="1:55" x14ac:dyDescent="0.25">
      <c r="A66" s="36"/>
      <c r="B66" s="37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4" t="s">
        <v>6</v>
      </c>
      <c r="Q66" s="38"/>
      <c r="R66" s="35"/>
      <c r="S66" s="37"/>
      <c r="T66" s="35"/>
    </row>
    <row r="67" spans="1:55" x14ac:dyDescent="0.25">
      <c r="A67" s="36"/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4" t="s">
        <v>4</v>
      </c>
      <c r="Q67" s="38"/>
      <c r="R67" s="35"/>
      <c r="S67" s="37"/>
      <c r="T67" s="35"/>
    </row>
    <row r="68" spans="1:55" ht="15" customHeight="1" x14ac:dyDescent="0.25">
      <c r="A68" s="36">
        <v>14</v>
      </c>
      <c r="B68" s="37" t="s">
        <v>344</v>
      </c>
      <c r="C68" s="35">
        <v>22</v>
      </c>
      <c r="D68" s="35">
        <v>8</v>
      </c>
      <c r="E68" s="35">
        <v>5</v>
      </c>
      <c r="F68" s="35">
        <v>9</v>
      </c>
      <c r="G68" s="35">
        <v>23</v>
      </c>
      <c r="H68" s="35">
        <v>24</v>
      </c>
      <c r="I68" s="35">
        <v>-1</v>
      </c>
      <c r="J68" s="35">
        <v>29</v>
      </c>
      <c r="K68" s="35">
        <v>1.32</v>
      </c>
      <c r="L68" s="35">
        <v>24.7</v>
      </c>
      <c r="M68" s="35">
        <v>24.3</v>
      </c>
      <c r="N68" s="35">
        <v>0.4</v>
      </c>
      <c r="O68" s="35">
        <v>0.02</v>
      </c>
      <c r="P68" s="4" t="s">
        <v>6</v>
      </c>
      <c r="Q68" s="38">
        <v>22761</v>
      </c>
      <c r="R68" s="37" t="s">
        <v>345</v>
      </c>
      <c r="S68" s="37" t="s">
        <v>346</v>
      </c>
      <c r="T68" s="35"/>
    </row>
    <row r="69" spans="1:55" x14ac:dyDescent="0.25">
      <c r="A69" s="36"/>
      <c r="B69" s="37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4" t="s">
        <v>6</v>
      </c>
      <c r="Q69" s="38"/>
      <c r="R69" s="37"/>
      <c r="S69" s="37"/>
      <c r="T69" s="35"/>
    </row>
    <row r="70" spans="1:55" x14ac:dyDescent="0.25">
      <c r="A70" s="36"/>
      <c r="B70" s="37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4" t="s">
        <v>5</v>
      </c>
      <c r="Q70" s="38"/>
      <c r="R70" s="37"/>
      <c r="S70" s="37"/>
      <c r="T70" s="35"/>
      <c r="AD70" t="s">
        <v>403</v>
      </c>
    </row>
    <row r="71" spans="1:55" x14ac:dyDescent="0.25">
      <c r="A71" s="36"/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4" t="s">
        <v>6</v>
      </c>
      <c r="Q71" s="38"/>
      <c r="R71" s="37"/>
      <c r="S71" s="37"/>
      <c r="T71" s="35"/>
      <c r="AH71" t="s">
        <v>90</v>
      </c>
      <c r="AO71" t="s">
        <v>91</v>
      </c>
      <c r="AT71" t="s">
        <v>92</v>
      </c>
      <c r="BB71" t="s">
        <v>93</v>
      </c>
    </row>
    <row r="72" spans="1:55" x14ac:dyDescent="0.25">
      <c r="A72" s="36"/>
      <c r="B72" s="37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4" t="s">
        <v>4</v>
      </c>
      <c r="Q72" s="38"/>
      <c r="R72" s="37"/>
      <c r="S72" s="37"/>
      <c r="T72" s="35"/>
      <c r="AD72" t="s">
        <v>2</v>
      </c>
      <c r="AE72" t="s">
        <v>24</v>
      </c>
      <c r="AF72" t="s">
        <v>25</v>
      </c>
      <c r="AG72" t="s">
        <v>28</v>
      </c>
      <c r="AH72" t="s">
        <v>90</v>
      </c>
      <c r="AI72" t="s">
        <v>94</v>
      </c>
      <c r="AJ72" t="s">
        <v>80</v>
      </c>
      <c r="AK72" t="s">
        <v>81</v>
      </c>
      <c r="AL72" t="s">
        <v>82</v>
      </c>
      <c r="AM72" t="s">
        <v>95</v>
      </c>
      <c r="AN72" t="s">
        <v>96</v>
      </c>
      <c r="AO72" t="s">
        <v>50</v>
      </c>
      <c r="AP72" t="s">
        <v>97</v>
      </c>
      <c r="AQ72" t="s">
        <v>98</v>
      </c>
      <c r="AR72" t="s">
        <v>99</v>
      </c>
      <c r="AS72" t="s">
        <v>100</v>
      </c>
      <c r="AT72" t="s">
        <v>92</v>
      </c>
      <c r="AU72" t="s">
        <v>68</v>
      </c>
      <c r="AV72" t="s">
        <v>69</v>
      </c>
      <c r="AW72" t="s">
        <v>35</v>
      </c>
      <c r="AX72" s="2">
        <v>44929</v>
      </c>
      <c r="AY72" t="s">
        <v>101</v>
      </c>
      <c r="AZ72" t="s">
        <v>102</v>
      </c>
      <c r="BA72" t="s">
        <v>103</v>
      </c>
      <c r="BB72" t="s">
        <v>104</v>
      </c>
      <c r="BC72" t="s">
        <v>105</v>
      </c>
    </row>
    <row r="73" spans="1:55" ht="15" customHeight="1" x14ac:dyDescent="0.25">
      <c r="A73" s="36">
        <v>15</v>
      </c>
      <c r="B73" s="37" t="s">
        <v>347</v>
      </c>
      <c r="C73" s="35">
        <v>22</v>
      </c>
      <c r="D73" s="35">
        <v>6</v>
      </c>
      <c r="E73" s="35">
        <v>9</v>
      </c>
      <c r="F73" s="35">
        <v>7</v>
      </c>
      <c r="G73" s="35">
        <v>28</v>
      </c>
      <c r="H73" s="35">
        <v>25</v>
      </c>
      <c r="I73" s="35">
        <v>3</v>
      </c>
      <c r="J73" s="35">
        <v>27</v>
      </c>
      <c r="K73" s="35">
        <v>1.23</v>
      </c>
      <c r="L73" s="35">
        <v>31.3</v>
      </c>
      <c r="M73" s="35">
        <v>24</v>
      </c>
      <c r="N73" s="35">
        <v>7.3</v>
      </c>
      <c r="O73" s="35">
        <v>0.33</v>
      </c>
      <c r="P73" s="4" t="s">
        <v>4</v>
      </c>
      <c r="Q73" s="38">
        <v>24363</v>
      </c>
      <c r="R73" s="35" t="s">
        <v>348</v>
      </c>
      <c r="S73" s="37" t="s">
        <v>349</v>
      </c>
      <c r="T73" s="35"/>
      <c r="AD73" t="s">
        <v>404</v>
      </c>
      <c r="AE73">
        <v>26</v>
      </c>
      <c r="AF73">
        <v>55.8</v>
      </c>
      <c r="AG73">
        <v>22</v>
      </c>
      <c r="AH73">
        <v>14360</v>
      </c>
      <c r="AI73">
        <v>1512</v>
      </c>
      <c r="AJ73">
        <v>4948</v>
      </c>
      <c r="AK73">
        <v>6239</v>
      </c>
      <c r="AL73">
        <v>3297</v>
      </c>
      <c r="AM73">
        <v>521</v>
      </c>
      <c r="AN73">
        <v>14360</v>
      </c>
      <c r="AO73">
        <v>437</v>
      </c>
      <c r="AP73">
        <v>198</v>
      </c>
      <c r="AQ73">
        <v>45.3</v>
      </c>
      <c r="AR73">
        <v>201</v>
      </c>
      <c r="AS73">
        <v>46</v>
      </c>
      <c r="AT73">
        <v>8239</v>
      </c>
      <c r="AU73">
        <v>40460</v>
      </c>
      <c r="AV73">
        <v>19658</v>
      </c>
      <c r="AW73">
        <v>373</v>
      </c>
      <c r="AX73">
        <v>233</v>
      </c>
      <c r="AY73">
        <v>118</v>
      </c>
      <c r="AZ73">
        <v>357</v>
      </c>
      <c r="BA73">
        <v>208</v>
      </c>
      <c r="BB73">
        <v>9268</v>
      </c>
      <c r="BC73">
        <v>896</v>
      </c>
    </row>
    <row r="74" spans="1:55" x14ac:dyDescent="0.25">
      <c r="A74" s="36"/>
      <c r="B74" s="37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4" t="s">
        <v>6</v>
      </c>
      <c r="Q74" s="38"/>
      <c r="R74" s="35"/>
      <c r="S74" s="37"/>
      <c r="T74" s="35"/>
      <c r="AD74" t="s">
        <v>405</v>
      </c>
      <c r="AE74">
        <v>26</v>
      </c>
      <c r="AF74">
        <v>46.5</v>
      </c>
      <c r="AG74">
        <v>22</v>
      </c>
      <c r="AH74">
        <v>13547</v>
      </c>
      <c r="AI74">
        <v>1470</v>
      </c>
      <c r="AJ74">
        <v>4275</v>
      </c>
      <c r="AK74">
        <v>5865</v>
      </c>
      <c r="AL74">
        <v>3553</v>
      </c>
      <c r="AM74">
        <v>603</v>
      </c>
      <c r="AN74">
        <v>13544</v>
      </c>
      <c r="AO74">
        <v>436</v>
      </c>
      <c r="AP74">
        <v>212</v>
      </c>
      <c r="AQ74">
        <v>48.6</v>
      </c>
      <c r="AR74">
        <v>190</v>
      </c>
      <c r="AS74">
        <v>43.6</v>
      </c>
      <c r="AT74">
        <v>7498</v>
      </c>
      <c r="AU74">
        <v>41667</v>
      </c>
      <c r="AV74">
        <v>21553</v>
      </c>
      <c r="AW74">
        <v>475</v>
      </c>
      <c r="AX74">
        <v>301</v>
      </c>
      <c r="AY74">
        <v>141</v>
      </c>
      <c r="AZ74">
        <v>333</v>
      </c>
      <c r="BA74">
        <v>212</v>
      </c>
      <c r="BB74">
        <v>8541</v>
      </c>
      <c r="BC74">
        <v>869</v>
      </c>
    </row>
    <row r="75" spans="1:55" x14ac:dyDescent="0.25">
      <c r="A75" s="36"/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4" t="s">
        <v>4</v>
      </c>
      <c r="Q75" s="38"/>
      <c r="R75" s="35"/>
      <c r="S75" s="37"/>
      <c r="T75" s="35"/>
      <c r="AD75" t="s">
        <v>406</v>
      </c>
      <c r="AE75">
        <v>22</v>
      </c>
      <c r="AF75">
        <v>52.3</v>
      </c>
      <c r="AG75">
        <v>22</v>
      </c>
      <c r="AH75">
        <v>14282</v>
      </c>
      <c r="AI75">
        <v>1463</v>
      </c>
      <c r="AJ75">
        <v>4880</v>
      </c>
      <c r="AK75">
        <v>6400</v>
      </c>
      <c r="AL75">
        <v>3152</v>
      </c>
      <c r="AM75">
        <v>460</v>
      </c>
      <c r="AN75">
        <v>14281</v>
      </c>
      <c r="AO75">
        <v>442</v>
      </c>
      <c r="AP75">
        <v>201</v>
      </c>
      <c r="AQ75">
        <v>45.5</v>
      </c>
      <c r="AR75">
        <v>210</v>
      </c>
      <c r="AS75">
        <v>47.5</v>
      </c>
      <c r="AT75">
        <v>7706</v>
      </c>
      <c r="AU75">
        <v>40457</v>
      </c>
      <c r="AV75">
        <v>19755</v>
      </c>
      <c r="AW75">
        <v>366</v>
      </c>
      <c r="AX75">
        <v>261</v>
      </c>
      <c r="AY75">
        <v>117</v>
      </c>
      <c r="AZ75">
        <v>401</v>
      </c>
      <c r="BA75">
        <v>172</v>
      </c>
      <c r="BB75">
        <v>9228</v>
      </c>
      <c r="BC75">
        <v>837</v>
      </c>
    </row>
    <row r="76" spans="1:55" x14ac:dyDescent="0.25">
      <c r="A76" s="36"/>
      <c r="B76" s="37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4" t="s">
        <v>5</v>
      </c>
      <c r="Q76" s="38"/>
      <c r="R76" s="35"/>
      <c r="S76" s="37"/>
      <c r="T76" s="35"/>
      <c r="AD76" t="s">
        <v>407</v>
      </c>
      <c r="AE76">
        <v>25</v>
      </c>
      <c r="AF76">
        <v>54</v>
      </c>
      <c r="AG76">
        <v>22</v>
      </c>
      <c r="AH76">
        <v>14584</v>
      </c>
      <c r="AI76">
        <v>1333</v>
      </c>
      <c r="AJ76">
        <v>4584</v>
      </c>
      <c r="AK76">
        <v>6909</v>
      </c>
      <c r="AL76">
        <v>3201</v>
      </c>
      <c r="AM76">
        <v>439</v>
      </c>
      <c r="AN76">
        <v>14584</v>
      </c>
      <c r="AO76">
        <v>365</v>
      </c>
      <c r="AP76">
        <v>170</v>
      </c>
      <c r="AQ76">
        <v>46.6</v>
      </c>
      <c r="AR76">
        <v>176</v>
      </c>
      <c r="AS76">
        <v>48.2</v>
      </c>
      <c r="AT76">
        <v>8260</v>
      </c>
      <c r="AU76">
        <v>43980</v>
      </c>
      <c r="AV76">
        <v>21917</v>
      </c>
      <c r="AW76">
        <v>380</v>
      </c>
      <c r="AX76" s="2">
        <v>258</v>
      </c>
      <c r="AY76">
        <v>94</v>
      </c>
      <c r="AZ76">
        <v>365</v>
      </c>
      <c r="BA76">
        <v>174</v>
      </c>
      <c r="BB76">
        <v>9682</v>
      </c>
      <c r="BC76">
        <v>878</v>
      </c>
    </row>
    <row r="77" spans="1:55" x14ac:dyDescent="0.25">
      <c r="A77" s="36"/>
      <c r="B77" s="37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4" t="s">
        <v>5</v>
      </c>
      <c r="Q77" s="38"/>
      <c r="R77" s="35"/>
      <c r="S77" s="37"/>
      <c r="T77" s="35"/>
      <c r="AD77" t="s">
        <v>408</v>
      </c>
      <c r="AE77">
        <v>23</v>
      </c>
      <c r="AF77">
        <v>49.9</v>
      </c>
      <c r="AG77">
        <v>22</v>
      </c>
      <c r="AH77">
        <v>13779</v>
      </c>
      <c r="AI77">
        <v>1600</v>
      </c>
      <c r="AJ77">
        <v>4627</v>
      </c>
      <c r="AK77">
        <v>6185</v>
      </c>
      <c r="AL77">
        <v>3099</v>
      </c>
      <c r="AM77">
        <v>498</v>
      </c>
      <c r="AN77">
        <v>13778</v>
      </c>
      <c r="AO77">
        <v>392</v>
      </c>
      <c r="AP77">
        <v>165</v>
      </c>
      <c r="AQ77">
        <v>42.1</v>
      </c>
      <c r="AR77">
        <v>186</v>
      </c>
      <c r="AS77">
        <v>47.4</v>
      </c>
      <c r="AT77">
        <v>7616</v>
      </c>
      <c r="AU77">
        <v>41878</v>
      </c>
      <c r="AV77">
        <v>21446</v>
      </c>
      <c r="AW77">
        <v>472</v>
      </c>
      <c r="AX77">
        <v>294</v>
      </c>
      <c r="AY77">
        <v>127</v>
      </c>
      <c r="AZ77">
        <v>339</v>
      </c>
      <c r="BA77">
        <v>214</v>
      </c>
      <c r="BB77">
        <v>8952</v>
      </c>
      <c r="BC77">
        <v>824</v>
      </c>
    </row>
    <row r="78" spans="1:55" ht="15" customHeight="1" x14ac:dyDescent="0.25">
      <c r="A78" s="36">
        <v>16</v>
      </c>
      <c r="B78" s="37" t="s">
        <v>350</v>
      </c>
      <c r="C78" s="35">
        <v>22</v>
      </c>
      <c r="D78" s="35">
        <v>7</v>
      </c>
      <c r="E78" s="35">
        <v>5</v>
      </c>
      <c r="F78" s="35">
        <v>10</v>
      </c>
      <c r="G78" s="35">
        <v>34</v>
      </c>
      <c r="H78" s="35">
        <v>35</v>
      </c>
      <c r="I78" s="35">
        <v>-1</v>
      </c>
      <c r="J78" s="35">
        <v>26</v>
      </c>
      <c r="K78" s="35">
        <v>1.18</v>
      </c>
      <c r="L78" s="35">
        <v>29.2</v>
      </c>
      <c r="M78" s="35">
        <v>38.6</v>
      </c>
      <c r="N78" s="35">
        <v>-9.4</v>
      </c>
      <c r="O78" s="35">
        <v>-0.43</v>
      </c>
      <c r="P78" s="4" t="s">
        <v>6</v>
      </c>
      <c r="Q78" s="38">
        <v>16298</v>
      </c>
      <c r="R78" s="37" t="s">
        <v>351</v>
      </c>
      <c r="S78" s="37" t="s">
        <v>352</v>
      </c>
      <c r="T78" s="35"/>
      <c r="AD78" t="s">
        <v>409</v>
      </c>
      <c r="AE78">
        <v>24</v>
      </c>
      <c r="AF78">
        <v>61.4</v>
      </c>
      <c r="AG78">
        <v>22</v>
      </c>
      <c r="AH78">
        <v>15206</v>
      </c>
      <c r="AI78">
        <v>1337</v>
      </c>
      <c r="AJ78">
        <v>4412</v>
      </c>
      <c r="AK78">
        <v>7346</v>
      </c>
      <c r="AL78">
        <v>3572</v>
      </c>
      <c r="AM78">
        <v>554</v>
      </c>
      <c r="AN78">
        <v>15205</v>
      </c>
      <c r="AO78">
        <v>340</v>
      </c>
      <c r="AP78">
        <v>160</v>
      </c>
      <c r="AQ78">
        <v>47.1</v>
      </c>
      <c r="AR78">
        <v>148</v>
      </c>
      <c r="AS78">
        <v>43.5</v>
      </c>
      <c r="AT78">
        <v>8878</v>
      </c>
      <c r="AU78">
        <v>46617</v>
      </c>
      <c r="AV78">
        <v>24222</v>
      </c>
      <c r="AW78">
        <v>452</v>
      </c>
      <c r="AX78">
        <v>275</v>
      </c>
      <c r="AY78">
        <v>150</v>
      </c>
      <c r="AZ78">
        <v>353</v>
      </c>
      <c r="BA78">
        <v>203</v>
      </c>
      <c r="BB78">
        <v>10179</v>
      </c>
      <c r="BC78">
        <v>972</v>
      </c>
    </row>
    <row r="79" spans="1:55" x14ac:dyDescent="0.25">
      <c r="A79" s="36"/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4" t="s">
        <v>4</v>
      </c>
      <c r="Q79" s="38"/>
      <c r="R79" s="37"/>
      <c r="S79" s="37"/>
      <c r="T79" s="35"/>
      <c r="AD79" t="s">
        <v>410</v>
      </c>
      <c r="AE79">
        <v>26</v>
      </c>
      <c r="AF79">
        <v>43.7</v>
      </c>
      <c r="AG79">
        <v>22</v>
      </c>
      <c r="AH79">
        <v>12701</v>
      </c>
      <c r="AI79">
        <v>1539</v>
      </c>
      <c r="AJ79">
        <v>4809</v>
      </c>
      <c r="AK79">
        <v>5192</v>
      </c>
      <c r="AL79">
        <v>2827</v>
      </c>
      <c r="AM79">
        <v>512</v>
      </c>
      <c r="AN79">
        <v>12701</v>
      </c>
      <c r="AO79">
        <v>295</v>
      </c>
      <c r="AP79">
        <v>140</v>
      </c>
      <c r="AQ79">
        <v>47.5</v>
      </c>
      <c r="AR79">
        <v>132</v>
      </c>
      <c r="AS79">
        <v>44.7</v>
      </c>
      <c r="AT79">
        <v>7163</v>
      </c>
      <c r="AU79">
        <v>36376</v>
      </c>
      <c r="AV79">
        <v>18641</v>
      </c>
      <c r="AW79">
        <v>381</v>
      </c>
      <c r="AX79">
        <v>240</v>
      </c>
      <c r="AY79">
        <v>107</v>
      </c>
      <c r="AZ79">
        <v>285</v>
      </c>
      <c r="BA79">
        <v>117</v>
      </c>
      <c r="BB79">
        <v>8289</v>
      </c>
      <c r="BC79">
        <v>722</v>
      </c>
    </row>
    <row r="80" spans="1:55" x14ac:dyDescent="0.25">
      <c r="A80" s="36"/>
      <c r="B80" s="37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4" t="s">
        <v>6</v>
      </c>
      <c r="Q80" s="38"/>
      <c r="R80" s="37"/>
      <c r="S80" s="37"/>
      <c r="T80" s="35"/>
      <c r="AD80" t="s">
        <v>411</v>
      </c>
      <c r="AE80">
        <v>25</v>
      </c>
      <c r="AF80">
        <v>47.1</v>
      </c>
      <c r="AG80">
        <v>22</v>
      </c>
      <c r="AH80">
        <v>12923</v>
      </c>
      <c r="AI80">
        <v>1641</v>
      </c>
      <c r="AJ80">
        <v>4887</v>
      </c>
      <c r="AK80">
        <v>5459</v>
      </c>
      <c r="AL80">
        <v>2714</v>
      </c>
      <c r="AM80">
        <v>394</v>
      </c>
      <c r="AN80">
        <v>12922</v>
      </c>
      <c r="AO80">
        <v>406</v>
      </c>
      <c r="AP80">
        <v>185</v>
      </c>
      <c r="AQ80">
        <v>45.6</v>
      </c>
      <c r="AR80">
        <v>182</v>
      </c>
      <c r="AS80">
        <v>44.8</v>
      </c>
      <c r="AT80">
        <v>7129</v>
      </c>
      <c r="AU80">
        <v>35637</v>
      </c>
      <c r="AV80">
        <v>17191</v>
      </c>
      <c r="AW80">
        <v>307</v>
      </c>
      <c r="AX80">
        <v>234</v>
      </c>
      <c r="AY80">
        <v>87</v>
      </c>
      <c r="AZ80">
        <v>325</v>
      </c>
      <c r="BA80">
        <v>190</v>
      </c>
      <c r="BB80">
        <v>8001</v>
      </c>
      <c r="BC80">
        <v>735</v>
      </c>
    </row>
    <row r="81" spans="1:55" x14ac:dyDescent="0.25">
      <c r="A81" s="36"/>
      <c r="B81" s="37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4" t="s">
        <v>5</v>
      </c>
      <c r="Q81" s="38"/>
      <c r="R81" s="37"/>
      <c r="S81" s="37"/>
      <c r="T81" s="35"/>
      <c r="AD81" t="s">
        <v>412</v>
      </c>
      <c r="AE81">
        <v>30</v>
      </c>
      <c r="AF81">
        <v>43.1</v>
      </c>
      <c r="AG81">
        <v>22</v>
      </c>
      <c r="AH81">
        <v>11923</v>
      </c>
      <c r="AI81">
        <v>1618</v>
      </c>
      <c r="AJ81">
        <v>4712</v>
      </c>
      <c r="AK81">
        <v>4869</v>
      </c>
      <c r="AL81">
        <v>2441</v>
      </c>
      <c r="AM81">
        <v>374</v>
      </c>
      <c r="AN81">
        <v>11922</v>
      </c>
      <c r="AO81">
        <v>346</v>
      </c>
      <c r="AP81">
        <v>140</v>
      </c>
      <c r="AQ81">
        <v>40.5</v>
      </c>
      <c r="AR81">
        <v>178</v>
      </c>
      <c r="AS81">
        <v>51.4</v>
      </c>
      <c r="AT81">
        <v>6048</v>
      </c>
      <c r="AU81">
        <v>32809</v>
      </c>
      <c r="AV81">
        <v>16493</v>
      </c>
      <c r="AW81">
        <v>322</v>
      </c>
      <c r="AX81">
        <v>196</v>
      </c>
      <c r="AY81">
        <v>78</v>
      </c>
      <c r="AZ81">
        <v>345</v>
      </c>
      <c r="BA81">
        <v>199</v>
      </c>
      <c r="BB81">
        <v>7245</v>
      </c>
      <c r="BC81">
        <v>628</v>
      </c>
    </row>
    <row r="82" spans="1:55" x14ac:dyDescent="0.25">
      <c r="A82" s="36"/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4" t="s">
        <v>4</v>
      </c>
      <c r="Q82" s="38"/>
      <c r="R82" s="37"/>
      <c r="S82" s="37"/>
      <c r="T82" s="35"/>
      <c r="AD82" t="s">
        <v>413</v>
      </c>
      <c r="AE82">
        <v>26</v>
      </c>
      <c r="AF82">
        <v>36</v>
      </c>
      <c r="AG82">
        <v>22</v>
      </c>
      <c r="AH82">
        <v>10768</v>
      </c>
      <c r="AI82">
        <v>1487</v>
      </c>
      <c r="AJ82">
        <v>4155</v>
      </c>
      <c r="AK82">
        <v>4263</v>
      </c>
      <c r="AL82">
        <v>2483</v>
      </c>
      <c r="AM82">
        <v>384</v>
      </c>
      <c r="AN82">
        <v>10768</v>
      </c>
      <c r="AO82">
        <v>374</v>
      </c>
      <c r="AP82">
        <v>164</v>
      </c>
      <c r="AQ82">
        <v>43.9</v>
      </c>
      <c r="AR82">
        <v>187</v>
      </c>
      <c r="AS82">
        <v>50</v>
      </c>
      <c r="AT82">
        <v>5872</v>
      </c>
      <c r="AU82">
        <v>31431</v>
      </c>
      <c r="AV82">
        <v>14890</v>
      </c>
      <c r="AW82">
        <v>296</v>
      </c>
      <c r="AX82">
        <v>219</v>
      </c>
      <c r="AY82">
        <v>75</v>
      </c>
      <c r="AZ82">
        <v>317</v>
      </c>
      <c r="BA82">
        <v>201</v>
      </c>
      <c r="BB82">
        <v>6408</v>
      </c>
      <c r="BC82">
        <v>580</v>
      </c>
    </row>
    <row r="83" spans="1:55" ht="15" customHeight="1" x14ac:dyDescent="0.25">
      <c r="A83" s="36">
        <v>17</v>
      </c>
      <c r="B83" s="37" t="s">
        <v>353</v>
      </c>
      <c r="C83" s="35">
        <v>22</v>
      </c>
      <c r="D83" s="35">
        <v>7</v>
      </c>
      <c r="E83" s="35">
        <v>5</v>
      </c>
      <c r="F83" s="35">
        <v>10</v>
      </c>
      <c r="G83" s="35">
        <v>26</v>
      </c>
      <c r="H83" s="35">
        <v>32</v>
      </c>
      <c r="I83" s="35">
        <v>-6</v>
      </c>
      <c r="J83" s="35">
        <v>26</v>
      </c>
      <c r="K83" s="35">
        <v>1.18</v>
      </c>
      <c r="L83" s="35">
        <v>24.8</v>
      </c>
      <c r="M83" s="35">
        <v>30.5</v>
      </c>
      <c r="N83" s="35">
        <v>-5.7</v>
      </c>
      <c r="O83" s="35">
        <v>-0.26</v>
      </c>
      <c r="P83" s="4" t="s">
        <v>6</v>
      </c>
      <c r="Q83" s="38">
        <v>19962</v>
      </c>
      <c r="R83" s="35" t="s">
        <v>354</v>
      </c>
      <c r="S83" s="37" t="s">
        <v>355</v>
      </c>
      <c r="T83" s="35"/>
      <c r="AD83" t="s">
        <v>414</v>
      </c>
      <c r="AE83">
        <v>27</v>
      </c>
      <c r="AF83">
        <v>47.5</v>
      </c>
      <c r="AG83">
        <v>22</v>
      </c>
      <c r="AH83">
        <v>13946</v>
      </c>
      <c r="AI83">
        <v>1655</v>
      </c>
      <c r="AJ83">
        <v>5144</v>
      </c>
      <c r="AK83">
        <v>6054</v>
      </c>
      <c r="AL83">
        <v>2863</v>
      </c>
      <c r="AM83">
        <v>421</v>
      </c>
      <c r="AN83">
        <v>13944</v>
      </c>
      <c r="AO83">
        <v>371</v>
      </c>
      <c r="AP83">
        <v>178</v>
      </c>
      <c r="AQ83">
        <v>48</v>
      </c>
      <c r="AR83">
        <v>159</v>
      </c>
      <c r="AS83">
        <v>42.9</v>
      </c>
      <c r="AT83">
        <v>8174</v>
      </c>
      <c r="AU83">
        <v>41034</v>
      </c>
      <c r="AV83">
        <v>20695</v>
      </c>
      <c r="AW83">
        <v>374</v>
      </c>
      <c r="AX83">
        <v>252</v>
      </c>
      <c r="AY83">
        <v>102</v>
      </c>
      <c r="AZ83">
        <v>360</v>
      </c>
      <c r="BA83">
        <v>159</v>
      </c>
      <c r="BB83">
        <v>9300</v>
      </c>
      <c r="BC83">
        <v>786</v>
      </c>
    </row>
    <row r="84" spans="1:55" x14ac:dyDescent="0.25">
      <c r="A84" s="36"/>
      <c r="B84" s="37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4" t="s">
        <v>5</v>
      </c>
      <c r="Q84" s="38"/>
      <c r="R84" s="35"/>
      <c r="S84" s="37"/>
      <c r="T84" s="35"/>
      <c r="AD84" t="s">
        <v>415</v>
      </c>
      <c r="AE84">
        <v>24</v>
      </c>
      <c r="AF84">
        <v>57.2</v>
      </c>
      <c r="AG84">
        <v>22</v>
      </c>
      <c r="AH84">
        <v>14946</v>
      </c>
      <c r="AI84">
        <v>1411</v>
      </c>
      <c r="AJ84">
        <v>4849</v>
      </c>
      <c r="AK84">
        <v>7009</v>
      </c>
      <c r="AL84">
        <v>3215</v>
      </c>
      <c r="AM84">
        <v>480</v>
      </c>
      <c r="AN84">
        <v>14942</v>
      </c>
      <c r="AO84">
        <v>437</v>
      </c>
      <c r="AP84">
        <v>184</v>
      </c>
      <c r="AQ84">
        <v>42.1</v>
      </c>
      <c r="AR84">
        <v>206</v>
      </c>
      <c r="AS84">
        <v>47.1</v>
      </c>
      <c r="AT84">
        <v>8490</v>
      </c>
      <c r="AU84">
        <v>44290</v>
      </c>
      <c r="AV84">
        <v>22103</v>
      </c>
      <c r="AW84">
        <v>416</v>
      </c>
      <c r="AX84">
        <v>290</v>
      </c>
      <c r="AY84">
        <v>104</v>
      </c>
      <c r="AZ84">
        <v>379</v>
      </c>
      <c r="BA84">
        <v>184</v>
      </c>
      <c r="BB84">
        <v>9816</v>
      </c>
      <c r="BC84">
        <v>896</v>
      </c>
    </row>
    <row r="85" spans="1:55" x14ac:dyDescent="0.25">
      <c r="A85" s="36"/>
      <c r="B85" s="37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4" t="s">
        <v>6</v>
      </c>
      <c r="Q85" s="38"/>
      <c r="R85" s="35"/>
      <c r="S85" s="37"/>
      <c r="T85" s="35"/>
      <c r="AD85" t="s">
        <v>416</v>
      </c>
      <c r="AE85">
        <v>26</v>
      </c>
      <c r="AF85">
        <v>51.4</v>
      </c>
      <c r="AG85">
        <v>22</v>
      </c>
      <c r="AH85">
        <v>13993</v>
      </c>
      <c r="AI85">
        <v>1482</v>
      </c>
      <c r="AJ85">
        <v>4419</v>
      </c>
      <c r="AK85">
        <v>6386</v>
      </c>
      <c r="AL85">
        <v>3303</v>
      </c>
      <c r="AM85">
        <v>525</v>
      </c>
      <c r="AN85">
        <v>13989</v>
      </c>
      <c r="AO85">
        <v>382</v>
      </c>
      <c r="AP85">
        <v>196</v>
      </c>
      <c r="AQ85">
        <v>51.3</v>
      </c>
      <c r="AR85">
        <v>158</v>
      </c>
      <c r="AS85">
        <v>41.4</v>
      </c>
      <c r="AT85">
        <v>8072</v>
      </c>
      <c r="AU85">
        <v>39868</v>
      </c>
      <c r="AV85">
        <v>18965</v>
      </c>
      <c r="AW85">
        <v>404</v>
      </c>
      <c r="AX85">
        <v>265</v>
      </c>
      <c r="AY85">
        <v>122</v>
      </c>
      <c r="AZ85">
        <v>347</v>
      </c>
      <c r="BA85">
        <v>205</v>
      </c>
      <c r="BB85">
        <v>9235</v>
      </c>
      <c r="BC85">
        <v>897</v>
      </c>
    </row>
    <row r="86" spans="1:55" x14ac:dyDescent="0.25">
      <c r="A86" s="36"/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4" t="s">
        <v>4</v>
      </c>
      <c r="Q86" s="38"/>
      <c r="R86" s="35"/>
      <c r="S86" s="37"/>
      <c r="T86" s="35"/>
      <c r="AD86" t="s">
        <v>417</v>
      </c>
      <c r="AE86">
        <v>25</v>
      </c>
      <c r="AF86">
        <v>53.6</v>
      </c>
      <c r="AG86">
        <v>22</v>
      </c>
      <c r="AH86">
        <v>13965</v>
      </c>
      <c r="AI86">
        <v>1406</v>
      </c>
      <c r="AJ86">
        <v>4627</v>
      </c>
      <c r="AK86">
        <v>5915</v>
      </c>
      <c r="AL86">
        <v>3574</v>
      </c>
      <c r="AM86">
        <v>635</v>
      </c>
      <c r="AN86">
        <v>13962</v>
      </c>
      <c r="AO86">
        <v>334</v>
      </c>
      <c r="AP86">
        <v>173</v>
      </c>
      <c r="AQ86">
        <v>51.8</v>
      </c>
      <c r="AR86">
        <v>132</v>
      </c>
      <c r="AS86">
        <v>39.5</v>
      </c>
      <c r="AT86">
        <v>7848</v>
      </c>
      <c r="AU86">
        <v>43036</v>
      </c>
      <c r="AV86">
        <v>22383</v>
      </c>
      <c r="AW86">
        <v>469</v>
      </c>
      <c r="AX86">
        <v>279</v>
      </c>
      <c r="AY86">
        <v>165</v>
      </c>
      <c r="AZ86">
        <v>312</v>
      </c>
      <c r="BA86">
        <v>150</v>
      </c>
      <c r="BB86">
        <v>9027</v>
      </c>
      <c r="BC86">
        <v>967</v>
      </c>
    </row>
    <row r="87" spans="1:55" x14ac:dyDescent="0.25">
      <c r="A87" s="36"/>
      <c r="B87" s="37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4" t="s">
        <v>6</v>
      </c>
      <c r="Q87" s="38"/>
      <c r="R87" s="35"/>
      <c r="S87" s="37"/>
      <c r="T87" s="35"/>
      <c r="AD87" t="s">
        <v>418</v>
      </c>
      <c r="AE87">
        <v>24</v>
      </c>
      <c r="AF87">
        <v>57</v>
      </c>
      <c r="AG87">
        <v>22</v>
      </c>
      <c r="AH87">
        <v>14251</v>
      </c>
      <c r="AI87">
        <v>1308</v>
      </c>
      <c r="AJ87">
        <v>4410</v>
      </c>
      <c r="AK87">
        <v>6508</v>
      </c>
      <c r="AL87">
        <v>3465</v>
      </c>
      <c r="AM87">
        <v>477</v>
      </c>
      <c r="AN87">
        <v>14250</v>
      </c>
      <c r="AO87">
        <v>439</v>
      </c>
      <c r="AP87">
        <v>201</v>
      </c>
      <c r="AQ87">
        <v>45.8</v>
      </c>
      <c r="AR87">
        <v>201</v>
      </c>
      <c r="AS87">
        <v>45.8</v>
      </c>
      <c r="AT87">
        <v>7927</v>
      </c>
      <c r="AU87">
        <v>43748</v>
      </c>
      <c r="AV87">
        <v>23337</v>
      </c>
      <c r="AW87">
        <v>470</v>
      </c>
      <c r="AX87">
        <v>305</v>
      </c>
      <c r="AY87">
        <v>124</v>
      </c>
      <c r="AZ87">
        <v>360</v>
      </c>
      <c r="BA87">
        <v>181</v>
      </c>
      <c r="BB87">
        <v>9154</v>
      </c>
      <c r="BC87">
        <v>863</v>
      </c>
    </row>
    <row r="88" spans="1:55" ht="15" customHeight="1" x14ac:dyDescent="0.25">
      <c r="A88" s="36">
        <v>18</v>
      </c>
      <c r="B88" s="37" t="s">
        <v>356</v>
      </c>
      <c r="C88" s="35">
        <v>22</v>
      </c>
      <c r="D88" s="35">
        <v>6</v>
      </c>
      <c r="E88" s="35">
        <v>7</v>
      </c>
      <c r="F88" s="35">
        <v>9</v>
      </c>
      <c r="G88" s="35">
        <v>30</v>
      </c>
      <c r="H88" s="35">
        <v>31</v>
      </c>
      <c r="I88" s="35">
        <v>-1</v>
      </c>
      <c r="J88" s="35">
        <v>25</v>
      </c>
      <c r="K88" s="35">
        <v>1.1399999999999999</v>
      </c>
      <c r="L88" s="35">
        <v>27</v>
      </c>
      <c r="M88" s="35">
        <v>33.6</v>
      </c>
      <c r="N88" s="35">
        <v>-6.6</v>
      </c>
      <c r="O88" s="35">
        <v>-0.3</v>
      </c>
      <c r="P88" s="4" t="s">
        <v>6</v>
      </c>
      <c r="Q88" s="38">
        <v>16154</v>
      </c>
      <c r="R88" s="37" t="s">
        <v>357</v>
      </c>
      <c r="S88" s="37" t="s">
        <v>358</v>
      </c>
      <c r="T88" s="35"/>
      <c r="AD88" t="s">
        <v>419</v>
      </c>
      <c r="AE88">
        <v>25</v>
      </c>
      <c r="AF88">
        <v>55.9</v>
      </c>
      <c r="AG88">
        <v>22</v>
      </c>
      <c r="AH88">
        <v>14370</v>
      </c>
      <c r="AI88">
        <v>1389</v>
      </c>
      <c r="AJ88">
        <v>4587</v>
      </c>
      <c r="AK88">
        <v>6420</v>
      </c>
      <c r="AL88">
        <v>3473</v>
      </c>
      <c r="AM88">
        <v>478</v>
      </c>
      <c r="AN88">
        <v>14369</v>
      </c>
      <c r="AO88">
        <v>333</v>
      </c>
      <c r="AP88">
        <v>142</v>
      </c>
      <c r="AQ88">
        <v>42.6</v>
      </c>
      <c r="AR88">
        <v>157</v>
      </c>
      <c r="AS88">
        <v>47.1</v>
      </c>
      <c r="AT88">
        <v>8366</v>
      </c>
      <c r="AU88">
        <v>43908</v>
      </c>
      <c r="AV88">
        <v>22546</v>
      </c>
      <c r="AW88">
        <v>405</v>
      </c>
      <c r="AX88">
        <v>236</v>
      </c>
      <c r="AY88">
        <v>105</v>
      </c>
      <c r="AZ88">
        <v>343</v>
      </c>
      <c r="BA88">
        <v>192</v>
      </c>
      <c r="BB88">
        <v>9592</v>
      </c>
      <c r="BC88">
        <v>947</v>
      </c>
    </row>
    <row r="89" spans="1:55" x14ac:dyDescent="0.25">
      <c r="A89" s="36"/>
      <c r="B89" s="37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4" t="s">
        <v>5</v>
      </c>
      <c r="Q89" s="38"/>
      <c r="R89" s="37"/>
      <c r="S89" s="37"/>
      <c r="T89" s="35"/>
      <c r="AD89" t="s">
        <v>420</v>
      </c>
      <c r="AE89">
        <v>28</v>
      </c>
      <c r="AF89">
        <v>64.400000000000006</v>
      </c>
      <c r="AG89">
        <v>22</v>
      </c>
      <c r="AH89">
        <v>15565</v>
      </c>
      <c r="AI89">
        <v>1333</v>
      </c>
      <c r="AJ89">
        <v>5017</v>
      </c>
      <c r="AK89">
        <v>6944</v>
      </c>
      <c r="AL89">
        <v>3716</v>
      </c>
      <c r="AM89">
        <v>579</v>
      </c>
      <c r="AN89">
        <v>15563</v>
      </c>
      <c r="AO89">
        <v>348</v>
      </c>
      <c r="AP89">
        <v>160</v>
      </c>
      <c r="AQ89">
        <v>46</v>
      </c>
      <c r="AR89">
        <v>156</v>
      </c>
      <c r="AS89">
        <v>44.8</v>
      </c>
      <c r="AT89">
        <v>8732</v>
      </c>
      <c r="AU89">
        <v>45313</v>
      </c>
      <c r="AV89">
        <v>22925</v>
      </c>
      <c r="AW89">
        <v>434</v>
      </c>
      <c r="AX89">
        <v>267</v>
      </c>
      <c r="AY89">
        <v>115</v>
      </c>
      <c r="AZ89">
        <v>392</v>
      </c>
      <c r="BA89">
        <v>181</v>
      </c>
      <c r="BB89">
        <v>10496</v>
      </c>
      <c r="BC89">
        <v>1081</v>
      </c>
    </row>
    <row r="90" spans="1:55" x14ac:dyDescent="0.25">
      <c r="A90" s="36"/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4" t="s">
        <v>4</v>
      </c>
      <c r="Q90" s="38"/>
      <c r="R90" s="37"/>
      <c r="S90" s="37"/>
      <c r="T90" s="35"/>
      <c r="AD90" t="s">
        <v>421</v>
      </c>
      <c r="AE90">
        <v>28</v>
      </c>
      <c r="AF90">
        <v>57.6</v>
      </c>
      <c r="AG90">
        <v>22</v>
      </c>
      <c r="AH90">
        <v>14924</v>
      </c>
      <c r="AI90">
        <v>1406</v>
      </c>
      <c r="AJ90">
        <v>4697</v>
      </c>
      <c r="AK90">
        <v>6958</v>
      </c>
      <c r="AL90">
        <v>3369</v>
      </c>
      <c r="AM90">
        <v>448</v>
      </c>
      <c r="AN90">
        <v>14919</v>
      </c>
      <c r="AO90">
        <v>425</v>
      </c>
      <c r="AP90">
        <v>197</v>
      </c>
      <c r="AQ90">
        <v>46.4</v>
      </c>
      <c r="AR90">
        <v>199</v>
      </c>
      <c r="AS90">
        <v>46.8</v>
      </c>
      <c r="AT90">
        <v>7724</v>
      </c>
      <c r="AU90">
        <v>40983</v>
      </c>
      <c r="AV90">
        <v>20261</v>
      </c>
      <c r="AW90">
        <v>375</v>
      </c>
      <c r="AX90">
        <v>264</v>
      </c>
      <c r="AY90">
        <v>124</v>
      </c>
      <c r="AZ90">
        <v>358</v>
      </c>
      <c r="BA90">
        <v>172</v>
      </c>
      <c r="BB90">
        <v>10082</v>
      </c>
      <c r="BC90">
        <v>856</v>
      </c>
    </row>
    <row r="91" spans="1:55" x14ac:dyDescent="0.25">
      <c r="A91" s="36"/>
      <c r="B91" s="37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4" t="s">
        <v>5</v>
      </c>
      <c r="Q91" s="38"/>
      <c r="R91" s="37"/>
      <c r="S91" s="37"/>
      <c r="T91" s="35"/>
      <c r="AD91" t="s">
        <v>422</v>
      </c>
      <c r="AE91">
        <v>24</v>
      </c>
      <c r="AF91">
        <v>35</v>
      </c>
      <c r="AG91">
        <v>22</v>
      </c>
      <c r="AH91">
        <v>10710</v>
      </c>
      <c r="AI91">
        <v>1607</v>
      </c>
      <c r="AJ91">
        <v>4271</v>
      </c>
      <c r="AK91">
        <v>4239</v>
      </c>
      <c r="AL91">
        <v>2313</v>
      </c>
      <c r="AM91">
        <v>412</v>
      </c>
      <c r="AN91">
        <v>10709</v>
      </c>
      <c r="AO91">
        <v>330</v>
      </c>
      <c r="AP91">
        <v>143</v>
      </c>
      <c r="AQ91">
        <v>43.3</v>
      </c>
      <c r="AR91">
        <v>158</v>
      </c>
      <c r="AS91">
        <v>47.9</v>
      </c>
      <c r="AT91">
        <v>5760</v>
      </c>
      <c r="AU91">
        <v>31209</v>
      </c>
      <c r="AV91">
        <v>15652</v>
      </c>
      <c r="AW91">
        <v>360</v>
      </c>
      <c r="AX91">
        <v>214</v>
      </c>
      <c r="AY91">
        <v>99</v>
      </c>
      <c r="AZ91">
        <v>274</v>
      </c>
      <c r="BA91">
        <v>165</v>
      </c>
      <c r="BB91">
        <v>6312</v>
      </c>
      <c r="BC91">
        <v>624</v>
      </c>
    </row>
    <row r="92" spans="1:55" x14ac:dyDescent="0.25">
      <c r="A92" s="36"/>
      <c r="B92" s="37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4" t="s">
        <v>6</v>
      </c>
      <c r="Q92" s="38"/>
      <c r="R92" s="37"/>
      <c r="S92" s="37"/>
      <c r="T92" s="35"/>
      <c r="AD92" t="s">
        <v>423</v>
      </c>
      <c r="AE92">
        <v>31</v>
      </c>
      <c r="AF92">
        <v>48.6</v>
      </c>
      <c r="AG92">
        <v>22</v>
      </c>
      <c r="AH92">
        <v>12827</v>
      </c>
      <c r="AI92">
        <v>1486</v>
      </c>
      <c r="AJ92">
        <v>4640</v>
      </c>
      <c r="AK92">
        <v>5481</v>
      </c>
      <c r="AL92">
        <v>2842</v>
      </c>
      <c r="AM92">
        <v>423</v>
      </c>
      <c r="AN92">
        <v>12824</v>
      </c>
      <c r="AO92">
        <v>381</v>
      </c>
      <c r="AP92">
        <v>164</v>
      </c>
      <c r="AQ92">
        <v>43</v>
      </c>
      <c r="AR92">
        <v>179</v>
      </c>
      <c r="AS92">
        <v>47</v>
      </c>
      <c r="AT92">
        <v>6695</v>
      </c>
      <c r="AU92">
        <v>36434</v>
      </c>
      <c r="AV92">
        <v>18428</v>
      </c>
      <c r="AW92">
        <v>379</v>
      </c>
      <c r="AX92">
        <v>256</v>
      </c>
      <c r="AY92">
        <v>94</v>
      </c>
      <c r="AZ92">
        <v>386</v>
      </c>
      <c r="BA92">
        <v>216</v>
      </c>
      <c r="BB92">
        <v>7647</v>
      </c>
      <c r="BC92">
        <v>716</v>
      </c>
    </row>
    <row r="93" spans="1:55" ht="15" customHeight="1" x14ac:dyDescent="0.25">
      <c r="A93" s="36">
        <v>19</v>
      </c>
      <c r="B93" s="37" t="s">
        <v>359</v>
      </c>
      <c r="C93" s="35">
        <v>22</v>
      </c>
      <c r="D93" s="35">
        <v>6</v>
      </c>
      <c r="E93" s="35">
        <v>5</v>
      </c>
      <c r="F93" s="35">
        <v>11</v>
      </c>
      <c r="G93" s="35">
        <v>21</v>
      </c>
      <c r="H93" s="35">
        <v>30</v>
      </c>
      <c r="I93" s="35">
        <v>-9</v>
      </c>
      <c r="J93" s="35">
        <v>23</v>
      </c>
      <c r="K93" s="35">
        <v>1.05</v>
      </c>
      <c r="L93" s="35">
        <v>25.6</v>
      </c>
      <c r="M93" s="35">
        <v>29.3</v>
      </c>
      <c r="N93" s="35">
        <v>-3.7</v>
      </c>
      <c r="O93" s="35">
        <v>-0.17</v>
      </c>
      <c r="P93" s="4" t="s">
        <v>6</v>
      </c>
      <c r="Q93" s="38">
        <v>22356</v>
      </c>
      <c r="R93" s="37" t="s">
        <v>360</v>
      </c>
      <c r="S93" s="37" t="s">
        <v>361</v>
      </c>
      <c r="T93" s="35"/>
      <c r="AD93" t="s">
        <v>424</v>
      </c>
      <c r="AE93">
        <v>24</v>
      </c>
      <c r="AF93">
        <v>41.5</v>
      </c>
      <c r="AG93">
        <v>22</v>
      </c>
      <c r="AH93">
        <v>11562</v>
      </c>
      <c r="AI93">
        <v>1586</v>
      </c>
      <c r="AJ93">
        <v>4269</v>
      </c>
      <c r="AK93">
        <v>4989</v>
      </c>
      <c r="AL93">
        <v>2459</v>
      </c>
      <c r="AM93">
        <v>363</v>
      </c>
      <c r="AN93">
        <v>11560</v>
      </c>
      <c r="AO93">
        <v>385</v>
      </c>
      <c r="AP93">
        <v>180</v>
      </c>
      <c r="AQ93">
        <v>46.8</v>
      </c>
      <c r="AR93">
        <v>171</v>
      </c>
      <c r="AS93">
        <v>44.4</v>
      </c>
      <c r="AT93">
        <v>6005</v>
      </c>
      <c r="AU93">
        <v>32982</v>
      </c>
      <c r="AV93">
        <v>16026</v>
      </c>
      <c r="AW93">
        <v>292</v>
      </c>
      <c r="AX93">
        <v>216</v>
      </c>
      <c r="AY93">
        <v>80</v>
      </c>
      <c r="AZ93">
        <v>335</v>
      </c>
      <c r="BA93">
        <v>190</v>
      </c>
      <c r="BB93">
        <v>6817</v>
      </c>
      <c r="BC93">
        <v>641</v>
      </c>
    </row>
    <row r="94" spans="1:55" x14ac:dyDescent="0.25">
      <c r="A94" s="36"/>
      <c r="B94" s="37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4" t="s">
        <v>6</v>
      </c>
      <c r="Q94" s="38"/>
      <c r="R94" s="37"/>
      <c r="S94" s="37"/>
      <c r="T94" s="35"/>
      <c r="AD94" t="s">
        <v>425</v>
      </c>
      <c r="AE94">
        <v>25</v>
      </c>
      <c r="AF94">
        <v>46.2</v>
      </c>
      <c r="AG94">
        <v>22</v>
      </c>
      <c r="AH94">
        <v>12766</v>
      </c>
      <c r="AI94">
        <v>1338</v>
      </c>
      <c r="AJ94">
        <v>4256</v>
      </c>
      <c r="AK94">
        <v>5554</v>
      </c>
      <c r="AL94">
        <v>3098</v>
      </c>
      <c r="AM94">
        <v>567</v>
      </c>
      <c r="AN94">
        <v>12762</v>
      </c>
      <c r="AO94">
        <v>377</v>
      </c>
      <c r="AP94">
        <v>159</v>
      </c>
      <c r="AQ94">
        <v>42.2</v>
      </c>
      <c r="AR94">
        <v>176</v>
      </c>
      <c r="AS94">
        <v>46.7</v>
      </c>
      <c r="AT94">
        <v>6886</v>
      </c>
      <c r="AU94">
        <v>36900</v>
      </c>
      <c r="AV94">
        <v>18823</v>
      </c>
      <c r="AW94">
        <v>443</v>
      </c>
      <c r="AX94">
        <v>249</v>
      </c>
      <c r="AY94">
        <v>144</v>
      </c>
      <c r="AZ94">
        <v>342</v>
      </c>
      <c r="BA94">
        <v>162</v>
      </c>
      <c r="BB94">
        <v>7928</v>
      </c>
      <c r="BC94">
        <v>801</v>
      </c>
    </row>
    <row r="95" spans="1:55" x14ac:dyDescent="0.25">
      <c r="A95" s="36"/>
      <c r="B95" s="37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4" t="s">
        <v>6</v>
      </c>
      <c r="Q95" s="38"/>
      <c r="R95" s="37"/>
      <c r="S95" s="37"/>
      <c r="T95" s="35"/>
      <c r="AD95" t="s">
        <v>426</v>
      </c>
      <c r="AE95">
        <v>23</v>
      </c>
      <c r="AF95">
        <v>45.8</v>
      </c>
      <c r="AG95">
        <v>22</v>
      </c>
      <c r="AH95">
        <v>12618</v>
      </c>
      <c r="AI95">
        <v>1564</v>
      </c>
      <c r="AJ95">
        <v>4743</v>
      </c>
      <c r="AK95">
        <v>5355</v>
      </c>
      <c r="AL95">
        <v>2656</v>
      </c>
      <c r="AM95">
        <v>383</v>
      </c>
      <c r="AN95">
        <v>12615</v>
      </c>
      <c r="AO95">
        <v>425</v>
      </c>
      <c r="AP95">
        <v>184</v>
      </c>
      <c r="AQ95">
        <v>43.3</v>
      </c>
      <c r="AR95">
        <v>201</v>
      </c>
      <c r="AS95">
        <v>47.3</v>
      </c>
      <c r="AT95">
        <v>6455</v>
      </c>
      <c r="AU95">
        <v>32682</v>
      </c>
      <c r="AV95">
        <v>16537</v>
      </c>
      <c r="AW95">
        <v>302</v>
      </c>
      <c r="AX95">
        <v>207</v>
      </c>
      <c r="AY95">
        <v>98</v>
      </c>
      <c r="AZ95">
        <v>355</v>
      </c>
      <c r="BA95">
        <v>162</v>
      </c>
      <c r="BB95">
        <v>7761</v>
      </c>
      <c r="BC95">
        <v>640</v>
      </c>
    </row>
    <row r="96" spans="1:55" x14ac:dyDescent="0.25">
      <c r="A96" s="36"/>
      <c r="B96" s="37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4" t="s">
        <v>5</v>
      </c>
      <c r="Q96" s="38"/>
      <c r="R96" s="37"/>
      <c r="S96" s="37"/>
      <c r="T96" s="35"/>
      <c r="AD96" t="s">
        <v>427</v>
      </c>
      <c r="AE96">
        <v>22</v>
      </c>
      <c r="AF96">
        <v>48.4</v>
      </c>
      <c r="AG96">
        <v>22</v>
      </c>
      <c r="AH96">
        <v>12878</v>
      </c>
      <c r="AI96">
        <v>1399</v>
      </c>
      <c r="AJ96">
        <v>4453</v>
      </c>
      <c r="AK96">
        <v>5889</v>
      </c>
      <c r="AL96">
        <v>2651</v>
      </c>
      <c r="AM96">
        <v>407</v>
      </c>
      <c r="AN96">
        <v>12875</v>
      </c>
      <c r="AO96">
        <v>287</v>
      </c>
      <c r="AP96">
        <v>114</v>
      </c>
      <c r="AQ96">
        <v>39.700000000000003</v>
      </c>
      <c r="AR96">
        <v>154</v>
      </c>
      <c r="AS96">
        <v>53.7</v>
      </c>
      <c r="AT96">
        <v>7088</v>
      </c>
      <c r="AU96">
        <v>33846</v>
      </c>
      <c r="AV96">
        <v>16183</v>
      </c>
      <c r="AW96">
        <v>297</v>
      </c>
      <c r="AX96">
        <v>219</v>
      </c>
      <c r="AY96">
        <v>86</v>
      </c>
      <c r="AZ96">
        <v>319</v>
      </c>
      <c r="BA96">
        <v>154</v>
      </c>
      <c r="BB96">
        <v>8157</v>
      </c>
      <c r="BC96">
        <v>681</v>
      </c>
    </row>
    <row r="97" spans="1:52" x14ac:dyDescent="0.25">
      <c r="A97" s="36"/>
      <c r="B97" s="37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4" t="s">
        <v>5</v>
      </c>
      <c r="Q97" s="38"/>
      <c r="R97" s="37"/>
      <c r="S97" s="37"/>
      <c r="T97" s="35"/>
    </row>
    <row r="98" spans="1:52" ht="15" customHeight="1" x14ac:dyDescent="0.25">
      <c r="A98" s="36">
        <v>20</v>
      </c>
      <c r="B98" s="37" t="s">
        <v>362</v>
      </c>
      <c r="C98" s="35">
        <v>22</v>
      </c>
      <c r="D98" s="35">
        <v>5</v>
      </c>
      <c r="E98" s="35">
        <v>7</v>
      </c>
      <c r="F98" s="35">
        <v>10</v>
      </c>
      <c r="G98" s="35">
        <v>24</v>
      </c>
      <c r="H98" s="35">
        <v>31</v>
      </c>
      <c r="I98" s="35">
        <v>-7</v>
      </c>
      <c r="J98" s="35">
        <v>22</v>
      </c>
      <c r="K98" s="35">
        <v>1</v>
      </c>
      <c r="L98" s="35">
        <v>22.6</v>
      </c>
      <c r="M98" s="35">
        <v>30.3</v>
      </c>
      <c r="N98" s="35">
        <v>-7.7</v>
      </c>
      <c r="O98" s="35">
        <v>-0.35</v>
      </c>
      <c r="P98" s="4" t="s">
        <v>6</v>
      </c>
      <c r="Q98" s="38">
        <v>16209</v>
      </c>
      <c r="R98" s="37" t="s">
        <v>363</v>
      </c>
      <c r="S98" s="37" t="s">
        <v>364</v>
      </c>
      <c r="T98" s="35"/>
    </row>
    <row r="99" spans="1:52" x14ac:dyDescent="0.25">
      <c r="A99" s="36"/>
      <c r="B99" s="37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4" t="s">
        <v>5</v>
      </c>
      <c r="Q99" s="38"/>
      <c r="R99" s="37"/>
      <c r="S99" s="37"/>
      <c r="T99" s="35"/>
    </row>
    <row r="100" spans="1:52" x14ac:dyDescent="0.25">
      <c r="A100" s="36"/>
      <c r="B100" s="37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4" t="s">
        <v>6</v>
      </c>
      <c r="Q100" s="38"/>
      <c r="R100" s="37"/>
      <c r="S100" s="37"/>
      <c r="T100" s="35"/>
      <c r="AZ100" s="2"/>
    </row>
    <row r="101" spans="1:52" x14ac:dyDescent="0.25">
      <c r="A101" s="36"/>
      <c r="B101" s="37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4" t="s">
        <v>6</v>
      </c>
      <c r="Q101" s="38"/>
      <c r="R101" s="37"/>
      <c r="S101" s="37"/>
      <c r="T101" s="35"/>
    </row>
    <row r="102" spans="1:52" x14ac:dyDescent="0.25">
      <c r="A102" s="36"/>
      <c r="B102" s="37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4" t="s">
        <v>5</v>
      </c>
      <c r="Q102" s="38"/>
      <c r="R102" s="37"/>
      <c r="S102" s="37"/>
      <c r="T102" s="35"/>
    </row>
    <row r="103" spans="1:52" ht="15" customHeight="1" x14ac:dyDescent="0.25">
      <c r="A103" s="36">
        <v>21</v>
      </c>
      <c r="B103" s="37" t="s">
        <v>365</v>
      </c>
      <c r="C103" s="35">
        <v>22</v>
      </c>
      <c r="D103" s="35">
        <v>4</v>
      </c>
      <c r="E103" s="35">
        <v>10</v>
      </c>
      <c r="F103" s="35">
        <v>8</v>
      </c>
      <c r="G103" s="35">
        <v>21</v>
      </c>
      <c r="H103" s="35">
        <v>36</v>
      </c>
      <c r="I103" s="35">
        <v>-15</v>
      </c>
      <c r="J103" s="35">
        <v>22</v>
      </c>
      <c r="K103" s="35">
        <v>1</v>
      </c>
      <c r="L103" s="35">
        <v>22.1</v>
      </c>
      <c r="M103" s="35">
        <v>32.6</v>
      </c>
      <c r="N103" s="35">
        <v>-10.4</v>
      </c>
      <c r="O103" s="35">
        <v>-0.47</v>
      </c>
      <c r="P103" s="4" t="s">
        <v>4</v>
      </c>
      <c r="Q103" s="38">
        <v>18497</v>
      </c>
      <c r="R103" s="35" t="s">
        <v>366</v>
      </c>
      <c r="S103" s="37" t="s">
        <v>367</v>
      </c>
      <c r="T103" s="35"/>
    </row>
    <row r="104" spans="1:52" x14ac:dyDescent="0.25">
      <c r="A104" s="36"/>
      <c r="B104" s="37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4" t="s">
        <v>5</v>
      </c>
      <c r="Q104" s="38"/>
      <c r="R104" s="35"/>
      <c r="S104" s="37"/>
      <c r="T104" s="35"/>
    </row>
    <row r="105" spans="1:52" x14ac:dyDescent="0.25">
      <c r="A105" s="36"/>
      <c r="B105" s="37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4" t="s">
        <v>5</v>
      </c>
      <c r="Q105" s="38"/>
      <c r="R105" s="35"/>
      <c r="S105" s="37"/>
      <c r="T105" s="35"/>
    </row>
    <row r="106" spans="1:52" x14ac:dyDescent="0.25">
      <c r="A106" s="36"/>
      <c r="B106" s="37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4" t="s">
        <v>6</v>
      </c>
      <c r="Q106" s="38"/>
      <c r="R106" s="35"/>
      <c r="S106" s="37"/>
      <c r="T106" s="35"/>
    </row>
    <row r="107" spans="1:52" x14ac:dyDescent="0.25">
      <c r="A107" s="36"/>
      <c r="B107" s="37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4" t="s">
        <v>5</v>
      </c>
      <c r="Q107" s="38"/>
      <c r="R107" s="35"/>
      <c r="S107" s="37"/>
      <c r="T107" s="35"/>
    </row>
    <row r="108" spans="1:52" ht="15" customHeight="1" x14ac:dyDescent="0.25">
      <c r="A108" s="36">
        <v>22</v>
      </c>
      <c r="B108" s="37" t="s">
        <v>368</v>
      </c>
      <c r="C108" s="35">
        <v>22</v>
      </c>
      <c r="D108" s="35">
        <v>5</v>
      </c>
      <c r="E108" s="35">
        <v>5</v>
      </c>
      <c r="F108" s="35">
        <v>12</v>
      </c>
      <c r="G108" s="35">
        <v>20</v>
      </c>
      <c r="H108" s="35">
        <v>32</v>
      </c>
      <c r="I108" s="35">
        <v>-12</v>
      </c>
      <c r="J108" s="35">
        <v>20</v>
      </c>
      <c r="K108" s="35">
        <v>0.91</v>
      </c>
      <c r="L108" s="35">
        <v>18.899999999999999</v>
      </c>
      <c r="M108" s="35">
        <v>29</v>
      </c>
      <c r="N108" s="35">
        <v>-10</v>
      </c>
      <c r="O108" s="35">
        <v>-0.46</v>
      </c>
      <c r="P108" s="4" t="s">
        <v>4</v>
      </c>
      <c r="Q108" s="38">
        <v>16334</v>
      </c>
      <c r="R108" s="35" t="s">
        <v>369</v>
      </c>
      <c r="S108" s="37" t="s">
        <v>370</v>
      </c>
      <c r="T108" s="35"/>
    </row>
    <row r="109" spans="1:52" x14ac:dyDescent="0.25">
      <c r="A109" s="36"/>
      <c r="B109" s="37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4" t="s">
        <v>4</v>
      </c>
      <c r="Q109" s="38"/>
      <c r="R109" s="35"/>
      <c r="S109" s="37"/>
      <c r="T109" s="35"/>
    </row>
    <row r="110" spans="1:52" x14ac:dyDescent="0.25">
      <c r="A110" s="36"/>
      <c r="B110" s="37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4" t="s">
        <v>4</v>
      </c>
      <c r="Q110" s="38"/>
      <c r="R110" s="35"/>
      <c r="S110" s="37"/>
      <c r="T110" s="35"/>
    </row>
    <row r="111" spans="1:52" x14ac:dyDescent="0.25">
      <c r="A111" s="36"/>
      <c r="B111" s="37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4" t="s">
        <v>5</v>
      </c>
      <c r="Q111" s="38"/>
      <c r="R111" s="35"/>
      <c r="S111" s="37"/>
      <c r="T111" s="35"/>
    </row>
    <row r="112" spans="1:52" x14ac:dyDescent="0.25">
      <c r="A112" s="36"/>
      <c r="B112" s="37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4" t="s">
        <v>6</v>
      </c>
      <c r="Q112" s="38"/>
      <c r="R112" s="35"/>
      <c r="S112" s="37"/>
      <c r="T112" s="35"/>
    </row>
    <row r="113" spans="1:20" ht="15" customHeight="1" x14ac:dyDescent="0.25">
      <c r="A113" s="36">
        <v>23</v>
      </c>
      <c r="B113" s="37" t="s">
        <v>371</v>
      </c>
      <c r="C113" s="35">
        <v>22</v>
      </c>
      <c r="D113" s="35">
        <v>4</v>
      </c>
      <c r="E113" s="35">
        <v>4</v>
      </c>
      <c r="F113" s="35">
        <v>14</v>
      </c>
      <c r="G113" s="35">
        <v>16</v>
      </c>
      <c r="H113" s="35">
        <v>35</v>
      </c>
      <c r="I113" s="35">
        <v>-19</v>
      </c>
      <c r="J113" s="35">
        <v>16</v>
      </c>
      <c r="K113" s="35">
        <v>0.73</v>
      </c>
      <c r="L113" s="35">
        <v>21.9</v>
      </c>
      <c r="M113" s="35">
        <v>27.9</v>
      </c>
      <c r="N113" s="35">
        <v>-6</v>
      </c>
      <c r="O113" s="35">
        <v>-0.27</v>
      </c>
      <c r="P113" s="4" t="s">
        <v>5</v>
      </c>
      <c r="Q113" s="38">
        <v>25874</v>
      </c>
      <c r="R113" s="35" t="s">
        <v>372</v>
      </c>
      <c r="S113" s="37" t="s">
        <v>373</v>
      </c>
      <c r="T113" s="35"/>
    </row>
    <row r="114" spans="1:20" x14ac:dyDescent="0.25">
      <c r="A114" s="36"/>
      <c r="B114" s="37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4" t="s">
        <v>4</v>
      </c>
      <c r="Q114" s="38"/>
      <c r="R114" s="35"/>
      <c r="S114" s="37"/>
      <c r="T114" s="35"/>
    </row>
    <row r="115" spans="1:20" x14ac:dyDescent="0.25">
      <c r="A115" s="36"/>
      <c r="B115" s="37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4" t="s">
        <v>4</v>
      </c>
      <c r="Q115" s="38"/>
      <c r="R115" s="35"/>
      <c r="S115" s="37"/>
      <c r="T115" s="35"/>
    </row>
    <row r="116" spans="1:20" x14ac:dyDescent="0.25">
      <c r="A116" s="36"/>
      <c r="B116" s="37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4" t="s">
        <v>6</v>
      </c>
      <c r="Q116" s="38"/>
      <c r="R116" s="35"/>
      <c r="S116" s="37"/>
      <c r="T116" s="35"/>
    </row>
    <row r="117" spans="1:20" x14ac:dyDescent="0.25">
      <c r="A117" s="36"/>
      <c r="B117" s="37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4" t="s">
        <v>4</v>
      </c>
      <c r="Q117" s="38"/>
      <c r="R117" s="35"/>
      <c r="S117" s="37"/>
      <c r="T117" s="35"/>
    </row>
    <row r="118" spans="1:20" ht="15" customHeight="1" x14ac:dyDescent="0.25">
      <c r="A118" s="36">
        <v>24</v>
      </c>
      <c r="B118" s="37" t="s">
        <v>374</v>
      </c>
      <c r="C118" s="35">
        <v>22</v>
      </c>
      <c r="D118" s="35">
        <v>2</v>
      </c>
      <c r="E118" s="35">
        <v>7</v>
      </c>
      <c r="F118" s="35">
        <v>13</v>
      </c>
      <c r="G118" s="35">
        <v>20</v>
      </c>
      <c r="H118" s="35">
        <v>44</v>
      </c>
      <c r="I118" s="35">
        <v>-24</v>
      </c>
      <c r="J118" s="35">
        <v>13</v>
      </c>
      <c r="K118" s="35">
        <v>0.59</v>
      </c>
      <c r="L118" s="35">
        <v>14.9</v>
      </c>
      <c r="M118" s="35">
        <v>40.299999999999997</v>
      </c>
      <c r="N118" s="35">
        <v>-25.4</v>
      </c>
      <c r="O118" s="35">
        <v>-1.1499999999999999</v>
      </c>
      <c r="P118" s="4" t="s">
        <v>6</v>
      </c>
      <c r="Q118" s="38">
        <v>10538</v>
      </c>
      <c r="R118" s="35" t="s">
        <v>375</v>
      </c>
      <c r="S118" s="37" t="s">
        <v>376</v>
      </c>
      <c r="T118" s="35"/>
    </row>
    <row r="119" spans="1:20" x14ac:dyDescent="0.25">
      <c r="A119" s="36"/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4" t="s">
        <v>5</v>
      </c>
      <c r="Q119" s="38"/>
      <c r="R119" s="35"/>
      <c r="S119" s="37"/>
      <c r="T119" s="35"/>
    </row>
    <row r="120" spans="1:20" x14ac:dyDescent="0.25">
      <c r="A120" s="36"/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4" t="s">
        <v>6</v>
      </c>
      <c r="Q120" s="38"/>
      <c r="R120" s="35"/>
      <c r="S120" s="37"/>
      <c r="T120" s="35"/>
    </row>
    <row r="121" spans="1:20" x14ac:dyDescent="0.25">
      <c r="A121" s="36"/>
      <c r="B121" s="37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4" t="s">
        <v>6</v>
      </c>
      <c r="Q121" s="38"/>
      <c r="R121" s="35"/>
      <c r="S121" s="37"/>
      <c r="T121" s="35"/>
    </row>
    <row r="122" spans="1:20" x14ac:dyDescent="0.25">
      <c r="A122" s="36"/>
      <c r="B122" s="37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4" t="s">
        <v>6</v>
      </c>
      <c r="Q122" s="38"/>
      <c r="R122" s="35"/>
      <c r="S122" s="37"/>
      <c r="T122" s="35"/>
    </row>
    <row r="123" spans="1:20" x14ac:dyDescent="0.25">
      <c r="E123" s="1"/>
    </row>
    <row r="124" spans="1:20" x14ac:dyDescent="0.25">
      <c r="E124" s="1"/>
    </row>
    <row r="125" spans="1:20" x14ac:dyDescent="0.25">
      <c r="E125" s="1"/>
    </row>
    <row r="126" spans="1:20" x14ac:dyDescent="0.25">
      <c r="E126" s="1"/>
    </row>
    <row r="127" spans="1:20" x14ac:dyDescent="0.25">
      <c r="E127" s="1"/>
    </row>
    <row r="128" spans="1:20" x14ac:dyDescent="0.25">
      <c r="A128" s="32"/>
      <c r="B128" s="31"/>
      <c r="C128" s="27"/>
      <c r="D128" s="27"/>
      <c r="E128" s="2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4"/>
      <c r="Q128" s="28"/>
      <c r="R128" s="27"/>
      <c r="S128" s="31"/>
      <c r="T128" s="27"/>
    </row>
    <row r="129" spans="1:20" x14ac:dyDescent="0.25">
      <c r="A129" s="32"/>
      <c r="B129" s="31"/>
      <c r="C129" s="27"/>
      <c r="D129" s="27"/>
      <c r="E129" s="2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4"/>
      <c r="Q129" s="28"/>
      <c r="R129" s="27"/>
      <c r="S129" s="31"/>
      <c r="T129" s="27"/>
    </row>
    <row r="130" spans="1:20" x14ac:dyDescent="0.25">
      <c r="A130" s="32"/>
      <c r="B130" s="31"/>
      <c r="C130" s="27"/>
      <c r="D130" s="27"/>
      <c r="E130" s="2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4"/>
      <c r="Q130" s="28"/>
      <c r="R130" s="27"/>
      <c r="S130" s="31"/>
      <c r="T130" s="27"/>
    </row>
    <row r="131" spans="1:20" x14ac:dyDescent="0.25">
      <c r="A131" s="32"/>
      <c r="B131" s="31"/>
      <c r="C131" s="27"/>
      <c r="D131" s="27"/>
      <c r="E131" s="2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4"/>
      <c r="Q131" s="28"/>
      <c r="R131" s="27"/>
      <c r="S131" s="31"/>
      <c r="T131" s="27"/>
    </row>
    <row r="153" spans="1:26" x14ac:dyDescent="0.25">
      <c r="A153" t="s">
        <v>403</v>
      </c>
    </row>
    <row r="154" spans="1:26" x14ac:dyDescent="0.25">
      <c r="E154" t="s">
        <v>90</v>
      </c>
      <c r="L154" t="s">
        <v>91</v>
      </c>
      <c r="Q154" t="s">
        <v>92</v>
      </c>
      <c r="Y154" t="s">
        <v>93</v>
      </c>
    </row>
    <row r="155" spans="1:26" x14ac:dyDescent="0.25">
      <c r="A155" t="s">
        <v>2</v>
      </c>
      <c r="B155" t="s">
        <v>24</v>
      </c>
      <c r="C155" t="s">
        <v>25</v>
      </c>
      <c r="D155" t="s">
        <v>28</v>
      </c>
      <c r="E155" t="s">
        <v>90</v>
      </c>
      <c r="F155" t="s">
        <v>94</v>
      </c>
      <c r="G155" t="s">
        <v>80</v>
      </c>
      <c r="H155" t="s">
        <v>81</v>
      </c>
      <c r="I155" t="s">
        <v>82</v>
      </c>
      <c r="J155" t="s">
        <v>95</v>
      </c>
      <c r="K155" t="s">
        <v>96</v>
      </c>
      <c r="L155" t="s">
        <v>50</v>
      </c>
      <c r="M155" t="s">
        <v>97</v>
      </c>
      <c r="N155" t="s">
        <v>98</v>
      </c>
      <c r="O155" t="s">
        <v>99</v>
      </c>
      <c r="P155" t="s">
        <v>100</v>
      </c>
      <c r="Q155" t="s">
        <v>92</v>
      </c>
      <c r="R155" t="s">
        <v>68</v>
      </c>
      <c r="S155" t="s">
        <v>69</v>
      </c>
      <c r="T155" t="s">
        <v>35</v>
      </c>
      <c r="U155" s="2">
        <v>44929</v>
      </c>
      <c r="V155" t="s">
        <v>101</v>
      </c>
      <c r="W155" t="s">
        <v>102</v>
      </c>
      <c r="X155" t="s">
        <v>103</v>
      </c>
      <c r="Y155" t="s">
        <v>104</v>
      </c>
      <c r="Z155" t="s">
        <v>105</v>
      </c>
    </row>
    <row r="156" spans="1:26" x14ac:dyDescent="0.25">
      <c r="A156" t="s">
        <v>378</v>
      </c>
      <c r="B156">
        <v>26</v>
      </c>
      <c r="C156">
        <v>44.2</v>
      </c>
      <c r="D156">
        <v>22</v>
      </c>
      <c r="E156">
        <v>11777</v>
      </c>
      <c r="F156">
        <v>1549</v>
      </c>
      <c r="G156">
        <v>4552</v>
      </c>
      <c r="H156">
        <v>4927</v>
      </c>
      <c r="I156">
        <v>2449</v>
      </c>
      <c r="J156">
        <v>417</v>
      </c>
      <c r="K156">
        <v>11774</v>
      </c>
      <c r="L156">
        <v>468</v>
      </c>
      <c r="M156">
        <v>220</v>
      </c>
      <c r="N156">
        <v>47</v>
      </c>
      <c r="O156">
        <v>217</v>
      </c>
      <c r="P156">
        <v>46.4</v>
      </c>
      <c r="Q156">
        <v>5966</v>
      </c>
      <c r="R156">
        <v>34688</v>
      </c>
      <c r="S156">
        <v>16227</v>
      </c>
      <c r="T156">
        <v>369</v>
      </c>
      <c r="U156">
        <v>218</v>
      </c>
      <c r="V156">
        <v>112</v>
      </c>
      <c r="W156">
        <v>381</v>
      </c>
      <c r="X156">
        <v>211</v>
      </c>
      <c r="Y156">
        <v>6709</v>
      </c>
      <c r="Z156">
        <v>643</v>
      </c>
    </row>
    <row r="157" spans="1:26" x14ac:dyDescent="0.25">
      <c r="A157" t="s">
        <v>379</v>
      </c>
      <c r="B157">
        <v>26</v>
      </c>
      <c r="C157">
        <v>53.5</v>
      </c>
      <c r="D157">
        <v>22</v>
      </c>
      <c r="E157">
        <v>14942</v>
      </c>
      <c r="F157">
        <v>1824</v>
      </c>
      <c r="G157">
        <v>5652</v>
      </c>
      <c r="H157">
        <v>5758</v>
      </c>
      <c r="I157">
        <v>3656</v>
      </c>
      <c r="J157">
        <v>585</v>
      </c>
      <c r="K157">
        <v>14941</v>
      </c>
      <c r="L157">
        <v>352</v>
      </c>
      <c r="M157">
        <v>173</v>
      </c>
      <c r="N157">
        <v>49.1</v>
      </c>
      <c r="O157">
        <v>155</v>
      </c>
      <c r="P157">
        <v>44</v>
      </c>
      <c r="Q157">
        <v>8607</v>
      </c>
      <c r="R157">
        <v>40278</v>
      </c>
      <c r="S157">
        <v>20647</v>
      </c>
      <c r="T157">
        <v>365</v>
      </c>
      <c r="U157">
        <v>225</v>
      </c>
      <c r="V157">
        <v>112</v>
      </c>
      <c r="W157">
        <v>346</v>
      </c>
      <c r="X157">
        <v>212</v>
      </c>
      <c r="Y157">
        <v>10046</v>
      </c>
      <c r="Z157">
        <v>1101</v>
      </c>
    </row>
    <row r="158" spans="1:26" x14ac:dyDescent="0.25">
      <c r="A158" t="s">
        <v>380</v>
      </c>
      <c r="B158">
        <v>22</v>
      </c>
      <c r="C158">
        <v>47.7</v>
      </c>
      <c r="D158">
        <v>22</v>
      </c>
      <c r="E158">
        <v>13039</v>
      </c>
      <c r="F158">
        <v>1523</v>
      </c>
      <c r="G158">
        <v>4462</v>
      </c>
      <c r="H158">
        <v>6077</v>
      </c>
      <c r="I158">
        <v>2629</v>
      </c>
      <c r="J158">
        <v>403</v>
      </c>
      <c r="K158">
        <v>13037</v>
      </c>
      <c r="L158">
        <v>332</v>
      </c>
      <c r="M158">
        <v>141</v>
      </c>
      <c r="N158">
        <v>42.5</v>
      </c>
      <c r="O158">
        <v>159</v>
      </c>
      <c r="P158">
        <v>47.9</v>
      </c>
      <c r="Q158">
        <v>6891</v>
      </c>
      <c r="R158">
        <v>36213</v>
      </c>
      <c r="S158">
        <v>18332</v>
      </c>
      <c r="T158">
        <v>356</v>
      </c>
      <c r="U158">
        <v>233</v>
      </c>
      <c r="V158">
        <v>89</v>
      </c>
      <c r="W158">
        <v>334</v>
      </c>
      <c r="X158">
        <v>156</v>
      </c>
      <c r="Y158">
        <v>8036</v>
      </c>
      <c r="Z158">
        <v>699</v>
      </c>
    </row>
    <row r="159" spans="1:26" x14ac:dyDescent="0.25">
      <c r="A159" t="s">
        <v>381</v>
      </c>
      <c r="B159">
        <v>25</v>
      </c>
      <c r="C159">
        <v>46</v>
      </c>
      <c r="D159">
        <v>22</v>
      </c>
      <c r="E159">
        <v>12767</v>
      </c>
      <c r="F159">
        <v>1517</v>
      </c>
      <c r="G159">
        <v>4792</v>
      </c>
      <c r="H159">
        <v>5524</v>
      </c>
      <c r="I159">
        <v>2578</v>
      </c>
      <c r="J159">
        <v>366</v>
      </c>
      <c r="K159">
        <v>12765</v>
      </c>
      <c r="L159">
        <v>375</v>
      </c>
      <c r="M159">
        <v>169</v>
      </c>
      <c r="N159">
        <v>45.1</v>
      </c>
      <c r="O159">
        <v>172</v>
      </c>
      <c r="P159">
        <v>45.9</v>
      </c>
      <c r="Q159">
        <v>6887</v>
      </c>
      <c r="R159">
        <v>32169</v>
      </c>
      <c r="S159">
        <v>15191</v>
      </c>
      <c r="T159">
        <v>305</v>
      </c>
      <c r="U159">
        <v>215</v>
      </c>
      <c r="V159">
        <v>85</v>
      </c>
      <c r="W159">
        <v>361</v>
      </c>
      <c r="X159">
        <v>164</v>
      </c>
      <c r="Y159">
        <v>7750</v>
      </c>
      <c r="Z159">
        <v>655</v>
      </c>
    </row>
    <row r="160" spans="1:26" x14ac:dyDescent="0.25">
      <c r="A160" t="s">
        <v>382</v>
      </c>
      <c r="B160">
        <v>23</v>
      </c>
      <c r="C160">
        <v>50.1</v>
      </c>
      <c r="D160">
        <v>22</v>
      </c>
      <c r="E160">
        <v>13522</v>
      </c>
      <c r="F160">
        <v>1535</v>
      </c>
      <c r="G160">
        <v>4636</v>
      </c>
      <c r="H160">
        <v>5750</v>
      </c>
      <c r="I160">
        <v>3255</v>
      </c>
      <c r="J160">
        <v>508</v>
      </c>
      <c r="K160">
        <v>13520</v>
      </c>
      <c r="L160">
        <v>361</v>
      </c>
      <c r="M160">
        <v>166</v>
      </c>
      <c r="N160">
        <v>46</v>
      </c>
      <c r="O160">
        <v>158</v>
      </c>
      <c r="P160">
        <v>43.8</v>
      </c>
      <c r="Q160">
        <v>7663</v>
      </c>
      <c r="R160">
        <v>38972</v>
      </c>
      <c r="S160">
        <v>20433</v>
      </c>
      <c r="T160">
        <v>398</v>
      </c>
      <c r="U160">
        <v>276</v>
      </c>
      <c r="V160">
        <v>109</v>
      </c>
      <c r="W160">
        <v>367</v>
      </c>
      <c r="X160">
        <v>212</v>
      </c>
      <c r="Y160">
        <v>8783</v>
      </c>
      <c r="Z160">
        <v>966</v>
      </c>
    </row>
    <row r="161" spans="1:26" x14ac:dyDescent="0.25">
      <c r="A161" t="s">
        <v>383</v>
      </c>
      <c r="B161">
        <v>24</v>
      </c>
      <c r="C161">
        <v>38.6</v>
      </c>
      <c r="D161">
        <v>22</v>
      </c>
      <c r="E161">
        <v>10295</v>
      </c>
      <c r="F161">
        <v>1319</v>
      </c>
      <c r="G161">
        <v>3577</v>
      </c>
      <c r="H161">
        <v>4493</v>
      </c>
      <c r="I161">
        <v>2342</v>
      </c>
      <c r="J161">
        <v>379</v>
      </c>
      <c r="K161">
        <v>10294</v>
      </c>
      <c r="L161">
        <v>298</v>
      </c>
      <c r="M161">
        <v>129</v>
      </c>
      <c r="N161">
        <v>43.3</v>
      </c>
      <c r="O161">
        <v>132</v>
      </c>
      <c r="P161">
        <v>44.3</v>
      </c>
      <c r="Q161">
        <v>4706</v>
      </c>
      <c r="R161">
        <v>26919</v>
      </c>
      <c r="S161">
        <v>13229</v>
      </c>
      <c r="T161">
        <v>297</v>
      </c>
      <c r="U161">
        <v>181</v>
      </c>
      <c r="V161">
        <v>65</v>
      </c>
      <c r="W161">
        <v>335</v>
      </c>
      <c r="X161">
        <v>143</v>
      </c>
      <c r="Y161">
        <v>5234</v>
      </c>
      <c r="Z161">
        <v>609</v>
      </c>
    </row>
    <row r="162" spans="1:26" x14ac:dyDescent="0.25">
      <c r="A162" t="s">
        <v>384</v>
      </c>
      <c r="B162">
        <v>26</v>
      </c>
      <c r="C162">
        <v>56.3</v>
      </c>
      <c r="D162">
        <v>22</v>
      </c>
      <c r="E162">
        <v>15677</v>
      </c>
      <c r="F162">
        <v>1842</v>
      </c>
      <c r="G162">
        <v>5849</v>
      </c>
      <c r="H162">
        <v>6892</v>
      </c>
      <c r="I162">
        <v>3054</v>
      </c>
      <c r="J162">
        <v>473</v>
      </c>
      <c r="K162">
        <v>15675</v>
      </c>
      <c r="L162">
        <v>403</v>
      </c>
      <c r="M162">
        <v>186</v>
      </c>
      <c r="N162">
        <v>46.2</v>
      </c>
      <c r="O162">
        <v>174</v>
      </c>
      <c r="P162">
        <v>43.2</v>
      </c>
      <c r="Q162">
        <v>9665</v>
      </c>
      <c r="R162">
        <v>45391</v>
      </c>
      <c r="S162">
        <v>22784</v>
      </c>
      <c r="T162">
        <v>417</v>
      </c>
      <c r="U162">
        <v>254</v>
      </c>
      <c r="V162">
        <v>153</v>
      </c>
      <c r="W162">
        <v>337</v>
      </c>
      <c r="X162">
        <v>199</v>
      </c>
      <c r="Y162">
        <v>11327</v>
      </c>
      <c r="Z162">
        <v>822</v>
      </c>
    </row>
    <row r="163" spans="1:26" x14ac:dyDescent="0.25">
      <c r="A163" t="s">
        <v>385</v>
      </c>
      <c r="B163">
        <v>25</v>
      </c>
      <c r="C163">
        <v>52.9</v>
      </c>
      <c r="D163">
        <v>22</v>
      </c>
      <c r="E163">
        <v>14110</v>
      </c>
      <c r="F163">
        <v>1535</v>
      </c>
      <c r="G163">
        <v>4922</v>
      </c>
      <c r="H163">
        <v>6029</v>
      </c>
      <c r="I163">
        <v>3287</v>
      </c>
      <c r="J163">
        <v>576</v>
      </c>
      <c r="K163">
        <v>14109</v>
      </c>
      <c r="L163">
        <v>326</v>
      </c>
      <c r="M163">
        <v>133</v>
      </c>
      <c r="N163">
        <v>40.799999999999997</v>
      </c>
      <c r="O163">
        <v>158</v>
      </c>
      <c r="P163">
        <v>48.5</v>
      </c>
      <c r="Q163">
        <v>8041</v>
      </c>
      <c r="R163">
        <v>42834</v>
      </c>
      <c r="S163">
        <v>21471</v>
      </c>
      <c r="T163">
        <v>413</v>
      </c>
      <c r="U163">
        <v>252</v>
      </c>
      <c r="V163">
        <v>120</v>
      </c>
      <c r="W163">
        <v>352</v>
      </c>
      <c r="X163">
        <v>167</v>
      </c>
      <c r="Y163">
        <v>9105</v>
      </c>
      <c r="Z163">
        <v>899</v>
      </c>
    </row>
    <row r="164" spans="1:26" x14ac:dyDescent="0.25">
      <c r="A164" t="s">
        <v>386</v>
      </c>
      <c r="B164">
        <v>30</v>
      </c>
      <c r="C164">
        <v>56.9</v>
      </c>
      <c r="D164">
        <v>22</v>
      </c>
      <c r="E164">
        <v>15034</v>
      </c>
      <c r="F164">
        <v>1259</v>
      </c>
      <c r="G164">
        <v>4617</v>
      </c>
      <c r="H164">
        <v>6797</v>
      </c>
      <c r="I164">
        <v>3775</v>
      </c>
      <c r="J164">
        <v>630</v>
      </c>
      <c r="K164">
        <v>15032</v>
      </c>
      <c r="L164">
        <v>526</v>
      </c>
      <c r="M164">
        <v>239</v>
      </c>
      <c r="N164">
        <v>45.4</v>
      </c>
      <c r="O164">
        <v>248</v>
      </c>
      <c r="P164">
        <v>47.1</v>
      </c>
      <c r="Q164">
        <v>8850</v>
      </c>
      <c r="R164">
        <v>51575</v>
      </c>
      <c r="S164">
        <v>27225</v>
      </c>
      <c r="T164">
        <v>512</v>
      </c>
      <c r="U164">
        <v>315</v>
      </c>
      <c r="V164">
        <v>190</v>
      </c>
      <c r="W164">
        <v>363</v>
      </c>
      <c r="X164">
        <v>218</v>
      </c>
      <c r="Y164">
        <v>10334</v>
      </c>
      <c r="Z164">
        <v>968</v>
      </c>
    </row>
    <row r="165" spans="1:26" x14ac:dyDescent="0.25">
      <c r="A165" t="s">
        <v>387</v>
      </c>
      <c r="B165">
        <v>26</v>
      </c>
      <c r="C165">
        <v>64</v>
      </c>
      <c r="D165">
        <v>22</v>
      </c>
      <c r="E165">
        <v>17644</v>
      </c>
      <c r="F165">
        <v>1526</v>
      </c>
      <c r="G165">
        <v>5417</v>
      </c>
      <c r="H165">
        <v>8725</v>
      </c>
      <c r="I165">
        <v>3641</v>
      </c>
      <c r="J165">
        <v>598</v>
      </c>
      <c r="K165">
        <v>17639</v>
      </c>
      <c r="L165">
        <v>443</v>
      </c>
      <c r="M165">
        <v>204</v>
      </c>
      <c r="N165">
        <v>46</v>
      </c>
      <c r="O165">
        <v>194</v>
      </c>
      <c r="P165">
        <v>43.8</v>
      </c>
      <c r="Q165">
        <v>10586</v>
      </c>
      <c r="R165">
        <v>54500</v>
      </c>
      <c r="S165">
        <v>29466</v>
      </c>
      <c r="T165">
        <v>537</v>
      </c>
      <c r="U165">
        <v>352</v>
      </c>
      <c r="V165">
        <v>168</v>
      </c>
      <c r="W165">
        <v>359</v>
      </c>
      <c r="X165">
        <v>180</v>
      </c>
      <c r="Y165">
        <v>13188</v>
      </c>
      <c r="Z165">
        <v>1001</v>
      </c>
    </row>
    <row r="166" spans="1:26" x14ac:dyDescent="0.25">
      <c r="A166" t="s">
        <v>388</v>
      </c>
      <c r="B166">
        <v>27</v>
      </c>
      <c r="C166">
        <v>52.5</v>
      </c>
      <c r="D166">
        <v>22</v>
      </c>
      <c r="E166">
        <v>14954</v>
      </c>
      <c r="F166">
        <v>1349</v>
      </c>
      <c r="G166">
        <v>4745</v>
      </c>
      <c r="H166">
        <v>6816</v>
      </c>
      <c r="I166">
        <v>3511</v>
      </c>
      <c r="J166">
        <v>548</v>
      </c>
      <c r="K166">
        <v>14951</v>
      </c>
      <c r="L166">
        <v>390</v>
      </c>
      <c r="M166">
        <v>164</v>
      </c>
      <c r="N166">
        <v>42.1</v>
      </c>
      <c r="O166">
        <v>197</v>
      </c>
      <c r="P166">
        <v>50.5</v>
      </c>
      <c r="Q166">
        <v>9116</v>
      </c>
      <c r="R166">
        <v>45009</v>
      </c>
      <c r="S166">
        <v>23329</v>
      </c>
      <c r="T166">
        <v>467</v>
      </c>
      <c r="U166">
        <v>300</v>
      </c>
      <c r="V166">
        <v>132</v>
      </c>
      <c r="W166">
        <v>302</v>
      </c>
      <c r="X166">
        <v>211</v>
      </c>
      <c r="Y166">
        <v>10405</v>
      </c>
      <c r="Z166">
        <v>984</v>
      </c>
    </row>
    <row r="167" spans="1:26" x14ac:dyDescent="0.25">
      <c r="A167" t="s">
        <v>389</v>
      </c>
      <c r="B167">
        <v>24</v>
      </c>
      <c r="C167">
        <v>42.8</v>
      </c>
      <c r="D167">
        <v>22</v>
      </c>
      <c r="E167">
        <v>11700</v>
      </c>
      <c r="F167">
        <v>1156</v>
      </c>
      <c r="G167">
        <v>3720</v>
      </c>
      <c r="H167">
        <v>5422</v>
      </c>
      <c r="I167">
        <v>2678</v>
      </c>
      <c r="J167">
        <v>439</v>
      </c>
      <c r="K167">
        <v>11699</v>
      </c>
      <c r="L167">
        <v>351</v>
      </c>
      <c r="M167">
        <v>164</v>
      </c>
      <c r="N167">
        <v>46.7</v>
      </c>
      <c r="O167">
        <v>162</v>
      </c>
      <c r="P167">
        <v>46.2</v>
      </c>
      <c r="Q167">
        <v>5515</v>
      </c>
      <c r="R167">
        <v>28966</v>
      </c>
      <c r="S167">
        <v>12917</v>
      </c>
      <c r="T167">
        <v>280</v>
      </c>
      <c r="U167">
        <v>208</v>
      </c>
      <c r="V167">
        <v>73</v>
      </c>
      <c r="W167">
        <v>348</v>
      </c>
      <c r="X167">
        <v>190</v>
      </c>
      <c r="Y167">
        <v>6521</v>
      </c>
      <c r="Z167">
        <v>665</v>
      </c>
    </row>
    <row r="168" spans="1:26" x14ac:dyDescent="0.25">
      <c r="A168" t="s">
        <v>390</v>
      </c>
      <c r="B168">
        <v>26</v>
      </c>
      <c r="C168">
        <v>48.6</v>
      </c>
      <c r="D168">
        <v>22</v>
      </c>
      <c r="E168">
        <v>13338</v>
      </c>
      <c r="F168">
        <v>1715</v>
      </c>
      <c r="G168">
        <v>5423</v>
      </c>
      <c r="H168">
        <v>5297</v>
      </c>
      <c r="I168">
        <v>2753</v>
      </c>
      <c r="J168">
        <v>474</v>
      </c>
      <c r="K168">
        <v>13336</v>
      </c>
      <c r="L168">
        <v>364</v>
      </c>
      <c r="M168">
        <v>160</v>
      </c>
      <c r="N168">
        <v>44</v>
      </c>
      <c r="O168">
        <v>174</v>
      </c>
      <c r="P168">
        <v>47.8</v>
      </c>
      <c r="Q168">
        <v>7696</v>
      </c>
      <c r="R168">
        <v>40477</v>
      </c>
      <c r="S168">
        <v>21512</v>
      </c>
      <c r="T168">
        <v>423</v>
      </c>
      <c r="U168">
        <v>240</v>
      </c>
      <c r="V168">
        <v>98</v>
      </c>
      <c r="W168">
        <v>355</v>
      </c>
      <c r="X168">
        <v>145</v>
      </c>
      <c r="Y168">
        <v>8513</v>
      </c>
      <c r="Z168">
        <v>769</v>
      </c>
    </row>
    <row r="169" spans="1:26" x14ac:dyDescent="0.25">
      <c r="A169" t="s">
        <v>391</v>
      </c>
      <c r="B169">
        <v>25</v>
      </c>
      <c r="C169">
        <v>46.4</v>
      </c>
      <c r="D169">
        <v>22</v>
      </c>
      <c r="E169">
        <v>12380</v>
      </c>
      <c r="F169">
        <v>1859</v>
      </c>
      <c r="G169">
        <v>4860</v>
      </c>
      <c r="H169">
        <v>5039</v>
      </c>
      <c r="I169">
        <v>2594</v>
      </c>
      <c r="J169">
        <v>427</v>
      </c>
      <c r="K169">
        <v>12379</v>
      </c>
      <c r="L169">
        <v>369</v>
      </c>
      <c r="M169">
        <v>166</v>
      </c>
      <c r="N169">
        <v>45</v>
      </c>
      <c r="O169">
        <v>161</v>
      </c>
      <c r="P169">
        <v>43.6</v>
      </c>
      <c r="Q169">
        <v>6599</v>
      </c>
      <c r="R169">
        <v>37418</v>
      </c>
      <c r="S169">
        <v>18721</v>
      </c>
      <c r="T169">
        <v>389</v>
      </c>
      <c r="U169">
        <v>247</v>
      </c>
      <c r="V169">
        <v>130</v>
      </c>
      <c r="W169">
        <v>297</v>
      </c>
      <c r="X169">
        <v>176</v>
      </c>
      <c r="Y169">
        <v>7538</v>
      </c>
      <c r="Z169">
        <v>736</v>
      </c>
    </row>
    <row r="170" spans="1:26" x14ac:dyDescent="0.25">
      <c r="A170" t="s">
        <v>392</v>
      </c>
      <c r="B170">
        <v>24</v>
      </c>
      <c r="C170">
        <v>43</v>
      </c>
      <c r="D170">
        <v>22</v>
      </c>
      <c r="E170">
        <v>11483</v>
      </c>
      <c r="F170">
        <v>1250</v>
      </c>
      <c r="G170">
        <v>3687</v>
      </c>
      <c r="H170">
        <v>5461</v>
      </c>
      <c r="I170">
        <v>2463</v>
      </c>
      <c r="J170">
        <v>347</v>
      </c>
      <c r="K170">
        <v>11481</v>
      </c>
      <c r="L170">
        <v>309</v>
      </c>
      <c r="M170">
        <v>139</v>
      </c>
      <c r="N170">
        <v>45</v>
      </c>
      <c r="O170">
        <v>137</v>
      </c>
      <c r="P170">
        <v>44.3</v>
      </c>
      <c r="Q170">
        <v>5329</v>
      </c>
      <c r="R170">
        <v>28232</v>
      </c>
      <c r="S170">
        <v>12743</v>
      </c>
      <c r="T170">
        <v>273</v>
      </c>
      <c r="U170">
        <v>183</v>
      </c>
      <c r="V170">
        <v>73</v>
      </c>
      <c r="W170">
        <v>333</v>
      </c>
      <c r="X170">
        <v>161</v>
      </c>
      <c r="Y170">
        <v>6245</v>
      </c>
      <c r="Z170">
        <v>592</v>
      </c>
    </row>
    <row r="171" spans="1:26" x14ac:dyDescent="0.25">
      <c r="A171" t="s">
        <v>393</v>
      </c>
      <c r="B171">
        <v>25</v>
      </c>
      <c r="C171">
        <v>44.1</v>
      </c>
      <c r="D171">
        <v>22</v>
      </c>
      <c r="E171">
        <v>11614</v>
      </c>
      <c r="F171">
        <v>1438</v>
      </c>
      <c r="G171">
        <v>4382</v>
      </c>
      <c r="H171">
        <v>4639</v>
      </c>
      <c r="I171">
        <v>2705</v>
      </c>
      <c r="J171">
        <v>389</v>
      </c>
      <c r="K171">
        <v>11613</v>
      </c>
      <c r="L171">
        <v>353</v>
      </c>
      <c r="M171">
        <v>180</v>
      </c>
      <c r="N171">
        <v>51</v>
      </c>
      <c r="O171">
        <v>151</v>
      </c>
      <c r="P171">
        <v>42.8</v>
      </c>
      <c r="Q171">
        <v>5688</v>
      </c>
      <c r="R171">
        <v>30942</v>
      </c>
      <c r="S171">
        <v>14680</v>
      </c>
      <c r="T171">
        <v>327</v>
      </c>
      <c r="U171">
        <v>202</v>
      </c>
      <c r="V171">
        <v>96</v>
      </c>
      <c r="W171">
        <v>304</v>
      </c>
      <c r="X171">
        <v>160</v>
      </c>
      <c r="Y171">
        <v>6849</v>
      </c>
      <c r="Z171">
        <v>605</v>
      </c>
    </row>
    <row r="172" spans="1:26" x14ac:dyDescent="0.25">
      <c r="A172" t="s">
        <v>394</v>
      </c>
      <c r="B172">
        <v>28</v>
      </c>
      <c r="C172">
        <v>35.6</v>
      </c>
      <c r="D172">
        <v>22</v>
      </c>
      <c r="E172">
        <v>9507</v>
      </c>
      <c r="F172">
        <v>1343</v>
      </c>
      <c r="G172">
        <v>3325</v>
      </c>
      <c r="H172">
        <v>3856</v>
      </c>
      <c r="I172">
        <v>2450</v>
      </c>
      <c r="J172">
        <v>314</v>
      </c>
      <c r="K172">
        <v>9507</v>
      </c>
      <c r="L172">
        <v>292</v>
      </c>
      <c r="M172">
        <v>123</v>
      </c>
      <c r="N172">
        <v>42.1</v>
      </c>
      <c r="O172">
        <v>150</v>
      </c>
      <c r="P172">
        <v>51.4</v>
      </c>
      <c r="Q172">
        <v>4336</v>
      </c>
      <c r="R172">
        <v>24626</v>
      </c>
      <c r="S172">
        <v>10745</v>
      </c>
      <c r="T172">
        <v>235</v>
      </c>
      <c r="U172">
        <v>177</v>
      </c>
      <c r="V172">
        <v>46</v>
      </c>
      <c r="W172">
        <v>364</v>
      </c>
      <c r="X172">
        <v>156</v>
      </c>
      <c r="Y172">
        <v>4468</v>
      </c>
      <c r="Z172">
        <v>420</v>
      </c>
    </row>
    <row r="173" spans="1:26" x14ac:dyDescent="0.25">
      <c r="A173" t="s">
        <v>395</v>
      </c>
      <c r="B173">
        <v>28</v>
      </c>
      <c r="C173">
        <v>42.4</v>
      </c>
      <c r="D173">
        <v>22</v>
      </c>
      <c r="E173">
        <v>11295</v>
      </c>
      <c r="F173">
        <v>1487</v>
      </c>
      <c r="G173">
        <v>4326</v>
      </c>
      <c r="H173">
        <v>4615</v>
      </c>
      <c r="I173">
        <v>2464</v>
      </c>
      <c r="J173">
        <v>368</v>
      </c>
      <c r="K173">
        <v>11295</v>
      </c>
      <c r="L173">
        <v>351</v>
      </c>
      <c r="M173">
        <v>159</v>
      </c>
      <c r="N173">
        <v>45.3</v>
      </c>
      <c r="O173">
        <v>163</v>
      </c>
      <c r="P173">
        <v>46.4</v>
      </c>
      <c r="Q173">
        <v>5586</v>
      </c>
      <c r="R173">
        <v>28283</v>
      </c>
      <c r="S173">
        <v>13307</v>
      </c>
      <c r="T173">
        <v>271</v>
      </c>
      <c r="U173">
        <v>194</v>
      </c>
      <c r="V173">
        <v>67</v>
      </c>
      <c r="W173">
        <v>366</v>
      </c>
      <c r="X173">
        <v>162</v>
      </c>
      <c r="Y173">
        <v>6383</v>
      </c>
      <c r="Z173">
        <v>609</v>
      </c>
    </row>
    <row r="174" spans="1:26" x14ac:dyDescent="0.25">
      <c r="A174" t="s">
        <v>396</v>
      </c>
      <c r="B174">
        <v>24</v>
      </c>
      <c r="C174">
        <v>65</v>
      </c>
      <c r="D174">
        <v>22</v>
      </c>
      <c r="E174">
        <v>17881</v>
      </c>
      <c r="F174">
        <v>1438</v>
      </c>
      <c r="G174">
        <v>4618</v>
      </c>
      <c r="H174">
        <v>8798</v>
      </c>
      <c r="I174">
        <v>4613</v>
      </c>
      <c r="J174">
        <v>673</v>
      </c>
      <c r="K174">
        <v>17878</v>
      </c>
      <c r="L174">
        <v>489</v>
      </c>
      <c r="M174">
        <v>227</v>
      </c>
      <c r="N174">
        <v>46.4</v>
      </c>
      <c r="O174">
        <v>216</v>
      </c>
      <c r="P174">
        <v>44.2</v>
      </c>
      <c r="Q174">
        <v>11131</v>
      </c>
      <c r="R174">
        <v>57245</v>
      </c>
      <c r="S174">
        <v>30866</v>
      </c>
      <c r="T174">
        <v>563</v>
      </c>
      <c r="U174">
        <v>386</v>
      </c>
      <c r="V174">
        <v>158</v>
      </c>
      <c r="W174">
        <v>316</v>
      </c>
      <c r="X174">
        <v>200</v>
      </c>
      <c r="Y174">
        <v>13553</v>
      </c>
      <c r="Z174">
        <v>1200</v>
      </c>
    </row>
    <row r="175" spans="1:26" x14ac:dyDescent="0.25">
      <c r="A175" t="s">
        <v>397</v>
      </c>
      <c r="B175">
        <v>31</v>
      </c>
      <c r="C175">
        <v>51.4</v>
      </c>
      <c r="D175">
        <v>22</v>
      </c>
      <c r="E175">
        <v>13019</v>
      </c>
      <c r="F175">
        <v>1374</v>
      </c>
      <c r="G175">
        <v>4173</v>
      </c>
      <c r="H175">
        <v>5730</v>
      </c>
      <c r="I175">
        <v>3244</v>
      </c>
      <c r="J175">
        <v>471</v>
      </c>
      <c r="K175">
        <v>13017</v>
      </c>
      <c r="L175">
        <v>300</v>
      </c>
      <c r="M175">
        <v>135</v>
      </c>
      <c r="N175">
        <v>45</v>
      </c>
      <c r="O175">
        <v>135</v>
      </c>
      <c r="P175">
        <v>45</v>
      </c>
      <c r="Q175">
        <v>7057</v>
      </c>
      <c r="R175">
        <v>35034</v>
      </c>
      <c r="S175">
        <v>16357</v>
      </c>
      <c r="T175">
        <v>334</v>
      </c>
      <c r="U175">
        <v>222</v>
      </c>
      <c r="V175">
        <v>88</v>
      </c>
      <c r="W175">
        <v>357</v>
      </c>
      <c r="X175">
        <v>202</v>
      </c>
      <c r="Y175">
        <v>7852</v>
      </c>
      <c r="Z175">
        <v>883</v>
      </c>
    </row>
    <row r="176" spans="1:26" x14ac:dyDescent="0.25">
      <c r="A176" t="s">
        <v>398</v>
      </c>
      <c r="B176">
        <v>24</v>
      </c>
      <c r="C176">
        <v>58.5</v>
      </c>
      <c r="D176">
        <v>22</v>
      </c>
      <c r="E176">
        <v>15271</v>
      </c>
      <c r="F176">
        <v>1364</v>
      </c>
      <c r="G176">
        <v>4814</v>
      </c>
      <c r="H176">
        <v>6760</v>
      </c>
      <c r="I176">
        <v>3836</v>
      </c>
      <c r="J176">
        <v>650</v>
      </c>
      <c r="K176">
        <v>15266</v>
      </c>
      <c r="L176">
        <v>519</v>
      </c>
      <c r="M176">
        <v>250</v>
      </c>
      <c r="N176">
        <v>48.2</v>
      </c>
      <c r="O176">
        <v>235</v>
      </c>
      <c r="P176">
        <v>45.3</v>
      </c>
      <c r="Q176">
        <v>9200</v>
      </c>
      <c r="R176">
        <v>53257</v>
      </c>
      <c r="S176">
        <v>27987</v>
      </c>
      <c r="T176">
        <v>580</v>
      </c>
      <c r="U176">
        <v>362</v>
      </c>
      <c r="V176">
        <v>207</v>
      </c>
      <c r="W176">
        <v>358</v>
      </c>
      <c r="X176">
        <v>203</v>
      </c>
      <c r="Y176">
        <v>10594</v>
      </c>
      <c r="Z176">
        <v>1034</v>
      </c>
    </row>
    <row r="177" spans="1:26" x14ac:dyDescent="0.25">
      <c r="A177" t="s">
        <v>399</v>
      </c>
      <c r="B177">
        <v>25</v>
      </c>
      <c r="C177">
        <v>53.8</v>
      </c>
      <c r="D177">
        <v>22</v>
      </c>
      <c r="E177">
        <v>14484</v>
      </c>
      <c r="F177">
        <v>1540</v>
      </c>
      <c r="G177">
        <v>5085</v>
      </c>
      <c r="H177">
        <v>6671</v>
      </c>
      <c r="I177">
        <v>2840</v>
      </c>
      <c r="J177">
        <v>426</v>
      </c>
      <c r="K177">
        <v>14481</v>
      </c>
      <c r="L177">
        <v>325</v>
      </c>
      <c r="M177">
        <v>129</v>
      </c>
      <c r="N177">
        <v>39.700000000000003</v>
      </c>
      <c r="O177">
        <v>171</v>
      </c>
      <c r="P177">
        <v>52.6</v>
      </c>
      <c r="Q177">
        <v>8025</v>
      </c>
      <c r="R177">
        <v>40925</v>
      </c>
      <c r="S177">
        <v>20155</v>
      </c>
      <c r="T177">
        <v>338</v>
      </c>
      <c r="U177">
        <v>226</v>
      </c>
      <c r="V177">
        <v>82</v>
      </c>
      <c r="W177">
        <v>337</v>
      </c>
      <c r="X177">
        <v>151</v>
      </c>
      <c r="Y177">
        <v>9617</v>
      </c>
      <c r="Z177">
        <v>767</v>
      </c>
    </row>
    <row r="178" spans="1:26" x14ac:dyDescent="0.25">
      <c r="A178" t="s">
        <v>400</v>
      </c>
      <c r="B178">
        <v>23</v>
      </c>
      <c r="C178">
        <v>54.2</v>
      </c>
      <c r="D178">
        <v>22</v>
      </c>
      <c r="E178">
        <v>14269</v>
      </c>
      <c r="F178">
        <v>1308</v>
      </c>
      <c r="G178">
        <v>4546</v>
      </c>
      <c r="H178">
        <v>6541</v>
      </c>
      <c r="I178">
        <v>3301</v>
      </c>
      <c r="J178">
        <v>450</v>
      </c>
      <c r="K178">
        <v>14269</v>
      </c>
      <c r="L178">
        <v>402</v>
      </c>
      <c r="M178">
        <v>185</v>
      </c>
      <c r="N178">
        <v>46</v>
      </c>
      <c r="O178">
        <v>188</v>
      </c>
      <c r="P178">
        <v>46.8</v>
      </c>
      <c r="Q178">
        <v>8254</v>
      </c>
      <c r="R178">
        <v>44421</v>
      </c>
      <c r="S178">
        <v>22453</v>
      </c>
      <c r="T178">
        <v>407</v>
      </c>
      <c r="U178">
        <v>293</v>
      </c>
      <c r="V178">
        <v>115</v>
      </c>
      <c r="W178">
        <v>356</v>
      </c>
      <c r="X178">
        <v>187</v>
      </c>
      <c r="Y178">
        <v>9406</v>
      </c>
      <c r="Z178">
        <v>921</v>
      </c>
    </row>
    <row r="179" spans="1:26" x14ac:dyDescent="0.25">
      <c r="A179" t="s">
        <v>401</v>
      </c>
      <c r="B179">
        <v>22</v>
      </c>
      <c r="C179">
        <v>51.6</v>
      </c>
      <c r="D179">
        <v>22</v>
      </c>
      <c r="E179">
        <v>13392</v>
      </c>
      <c r="F179">
        <v>1320</v>
      </c>
      <c r="G179">
        <v>4491</v>
      </c>
      <c r="H179">
        <v>5811</v>
      </c>
      <c r="I179">
        <v>3218</v>
      </c>
      <c r="J179">
        <v>426</v>
      </c>
      <c r="K179">
        <v>13390</v>
      </c>
      <c r="L179">
        <v>389</v>
      </c>
      <c r="M179">
        <v>169</v>
      </c>
      <c r="N179">
        <v>43.4</v>
      </c>
      <c r="O179">
        <v>190</v>
      </c>
      <c r="P179">
        <v>48.8</v>
      </c>
      <c r="Q179">
        <v>7237</v>
      </c>
      <c r="R179">
        <v>39171</v>
      </c>
      <c r="S179">
        <v>19853</v>
      </c>
      <c r="T179">
        <v>388</v>
      </c>
      <c r="U179">
        <v>269</v>
      </c>
      <c r="V179">
        <v>88</v>
      </c>
      <c r="W179">
        <v>354</v>
      </c>
      <c r="X179">
        <v>197</v>
      </c>
      <c r="Y179">
        <v>8661</v>
      </c>
      <c r="Z179">
        <v>789</v>
      </c>
    </row>
    <row r="189" spans="1:26" x14ac:dyDescent="0.25">
      <c r="A189" t="s">
        <v>428</v>
      </c>
    </row>
    <row r="190" spans="1:26" x14ac:dyDescent="0.25">
      <c r="D190" t="s">
        <v>64</v>
      </c>
      <c r="I190" t="s">
        <v>65</v>
      </c>
      <c r="L190" t="s">
        <v>66</v>
      </c>
      <c r="O190" t="s">
        <v>67</v>
      </c>
      <c r="T190" t="s">
        <v>23</v>
      </c>
    </row>
    <row r="191" spans="1:26" x14ac:dyDescent="0.25">
      <c r="A191" t="s">
        <v>2</v>
      </c>
      <c r="B191" t="s">
        <v>24</v>
      </c>
      <c r="C191" t="s">
        <v>28</v>
      </c>
      <c r="D191" t="s">
        <v>49</v>
      </c>
      <c r="E191" t="s">
        <v>50</v>
      </c>
      <c r="F191" t="s">
        <v>51</v>
      </c>
      <c r="G191" t="s">
        <v>68</v>
      </c>
      <c r="H191" t="s">
        <v>69</v>
      </c>
      <c r="I191" t="s">
        <v>49</v>
      </c>
      <c r="J191" t="s">
        <v>50</v>
      </c>
      <c r="K191" t="s">
        <v>51</v>
      </c>
      <c r="L191" t="s">
        <v>49</v>
      </c>
      <c r="M191" t="s">
        <v>50</v>
      </c>
      <c r="N191" t="s">
        <v>51</v>
      </c>
      <c r="O191" t="s">
        <v>49</v>
      </c>
      <c r="P191" t="s">
        <v>50</v>
      </c>
      <c r="Q191" t="s">
        <v>51</v>
      </c>
      <c r="R191" t="s">
        <v>30</v>
      </c>
      <c r="S191" t="s">
        <v>34</v>
      </c>
      <c r="T191" t="s">
        <v>70</v>
      </c>
      <c r="U191" t="s">
        <v>71</v>
      </c>
      <c r="V191" t="s">
        <v>72</v>
      </c>
      <c r="W191" s="2">
        <v>44929</v>
      </c>
      <c r="X191" t="s">
        <v>73</v>
      </c>
      <c r="Y191" t="s">
        <v>74</v>
      </c>
      <c r="Z191" t="s">
        <v>36</v>
      </c>
    </row>
    <row r="192" spans="1:26" x14ac:dyDescent="0.25">
      <c r="A192" t="s">
        <v>378</v>
      </c>
      <c r="B192">
        <v>26</v>
      </c>
      <c r="C192">
        <v>22</v>
      </c>
      <c r="D192">
        <v>6763</v>
      </c>
      <c r="E192">
        <v>9084</v>
      </c>
      <c r="F192">
        <v>74.400000000000006</v>
      </c>
      <c r="G192">
        <v>131526</v>
      </c>
      <c r="H192">
        <v>50831</v>
      </c>
      <c r="I192">
        <v>2669</v>
      </c>
      <c r="J192">
        <v>3127</v>
      </c>
      <c r="K192">
        <v>85.4</v>
      </c>
      <c r="L192">
        <v>3040</v>
      </c>
      <c r="M192">
        <v>3654</v>
      </c>
      <c r="N192">
        <v>83.2</v>
      </c>
      <c r="O192">
        <v>925</v>
      </c>
      <c r="P192">
        <v>1831</v>
      </c>
      <c r="Q192">
        <v>50.5</v>
      </c>
      <c r="R192">
        <v>17</v>
      </c>
      <c r="S192">
        <v>18.100000000000001</v>
      </c>
      <c r="T192">
        <v>15.6</v>
      </c>
      <c r="U192">
        <v>-1.1000000000000001</v>
      </c>
      <c r="V192">
        <v>215</v>
      </c>
      <c r="W192">
        <v>490</v>
      </c>
      <c r="X192">
        <v>115</v>
      </c>
      <c r="Y192">
        <v>23</v>
      </c>
      <c r="Z192">
        <v>648</v>
      </c>
    </row>
    <row r="193" spans="1:26" x14ac:dyDescent="0.25">
      <c r="A193" t="s">
        <v>379</v>
      </c>
      <c r="B193">
        <v>26</v>
      </c>
      <c r="C193">
        <v>22</v>
      </c>
      <c r="D193">
        <v>10092</v>
      </c>
      <c r="E193">
        <v>12390</v>
      </c>
      <c r="F193">
        <v>81.5</v>
      </c>
      <c r="G193">
        <v>176320</v>
      </c>
      <c r="H193">
        <v>65115</v>
      </c>
      <c r="I193">
        <v>4582</v>
      </c>
      <c r="J193">
        <v>5113</v>
      </c>
      <c r="K193">
        <v>89.6</v>
      </c>
      <c r="L193">
        <v>4358</v>
      </c>
      <c r="M193">
        <v>5005</v>
      </c>
      <c r="N193">
        <v>87.1</v>
      </c>
      <c r="O193">
        <v>929</v>
      </c>
      <c r="P193">
        <v>1625</v>
      </c>
      <c r="Q193">
        <v>57.2</v>
      </c>
      <c r="R193">
        <v>27</v>
      </c>
      <c r="S193">
        <v>26.1</v>
      </c>
      <c r="T193">
        <v>25.8</v>
      </c>
      <c r="U193">
        <v>0.9</v>
      </c>
      <c r="V193">
        <v>234</v>
      </c>
      <c r="W193">
        <v>765</v>
      </c>
      <c r="X193">
        <v>269</v>
      </c>
      <c r="Y193">
        <v>41</v>
      </c>
      <c r="Z193">
        <v>1107</v>
      </c>
    </row>
    <row r="194" spans="1:26" x14ac:dyDescent="0.25">
      <c r="A194" t="s">
        <v>380</v>
      </c>
      <c r="B194">
        <v>22</v>
      </c>
      <c r="C194">
        <v>22</v>
      </c>
      <c r="D194">
        <v>8092</v>
      </c>
      <c r="E194">
        <v>10723</v>
      </c>
      <c r="F194">
        <v>75.5</v>
      </c>
      <c r="G194">
        <v>147897</v>
      </c>
      <c r="H194">
        <v>50661</v>
      </c>
      <c r="I194">
        <v>3428</v>
      </c>
      <c r="J194">
        <v>3904</v>
      </c>
      <c r="K194">
        <v>87.8</v>
      </c>
      <c r="L194">
        <v>3745</v>
      </c>
      <c r="M194">
        <v>4504</v>
      </c>
      <c r="N194">
        <v>83.1</v>
      </c>
      <c r="O194">
        <v>809</v>
      </c>
      <c r="P194">
        <v>1871</v>
      </c>
      <c r="Q194">
        <v>43.2</v>
      </c>
      <c r="R194">
        <v>13</v>
      </c>
      <c r="S194">
        <v>16</v>
      </c>
      <c r="T194">
        <v>16.7</v>
      </c>
      <c r="U194">
        <v>-3</v>
      </c>
      <c r="V194">
        <v>175</v>
      </c>
      <c r="W194">
        <v>571</v>
      </c>
      <c r="X194">
        <v>136</v>
      </c>
      <c r="Y194">
        <v>42</v>
      </c>
      <c r="Z194">
        <v>704</v>
      </c>
    </row>
    <row r="195" spans="1:26" x14ac:dyDescent="0.25">
      <c r="A195" t="s">
        <v>381</v>
      </c>
      <c r="B195">
        <v>25</v>
      </c>
      <c r="C195">
        <v>22</v>
      </c>
      <c r="D195">
        <v>7831</v>
      </c>
      <c r="E195">
        <v>10288</v>
      </c>
      <c r="F195">
        <v>76.099999999999994</v>
      </c>
      <c r="G195">
        <v>146511</v>
      </c>
      <c r="H195">
        <v>53563</v>
      </c>
      <c r="I195">
        <v>3241</v>
      </c>
      <c r="J195">
        <v>3787</v>
      </c>
      <c r="K195">
        <v>85.6</v>
      </c>
      <c r="L195">
        <v>3469</v>
      </c>
      <c r="M195">
        <v>4167</v>
      </c>
      <c r="N195">
        <v>83.2</v>
      </c>
      <c r="O195">
        <v>950</v>
      </c>
      <c r="P195">
        <v>1815</v>
      </c>
      <c r="Q195">
        <v>52.3</v>
      </c>
      <c r="R195">
        <v>18</v>
      </c>
      <c r="S195">
        <v>17.8</v>
      </c>
      <c r="T195">
        <v>17.2</v>
      </c>
      <c r="U195">
        <v>0.2</v>
      </c>
      <c r="V195">
        <v>174</v>
      </c>
      <c r="W195">
        <v>511</v>
      </c>
      <c r="X195">
        <v>124</v>
      </c>
      <c r="Y195">
        <v>43</v>
      </c>
      <c r="Z195">
        <v>663</v>
      </c>
    </row>
    <row r="196" spans="1:26" x14ac:dyDescent="0.25">
      <c r="A196" t="s">
        <v>382</v>
      </c>
      <c r="B196">
        <v>23</v>
      </c>
      <c r="C196">
        <v>22</v>
      </c>
      <c r="D196">
        <v>8846</v>
      </c>
      <c r="E196">
        <v>11131</v>
      </c>
      <c r="F196">
        <v>79.5</v>
      </c>
      <c r="G196">
        <v>155488</v>
      </c>
      <c r="H196">
        <v>60594</v>
      </c>
      <c r="I196">
        <v>3962</v>
      </c>
      <c r="J196">
        <v>4468</v>
      </c>
      <c r="K196">
        <v>88.7</v>
      </c>
      <c r="L196">
        <v>3881</v>
      </c>
      <c r="M196">
        <v>4529</v>
      </c>
      <c r="N196">
        <v>85.7</v>
      </c>
      <c r="O196">
        <v>806</v>
      </c>
      <c r="P196">
        <v>1607</v>
      </c>
      <c r="Q196">
        <v>50.2</v>
      </c>
      <c r="R196">
        <v>14</v>
      </c>
      <c r="S196">
        <v>21.8</v>
      </c>
      <c r="T196">
        <v>22.2</v>
      </c>
      <c r="U196">
        <v>-7.8</v>
      </c>
      <c r="V196">
        <v>227</v>
      </c>
      <c r="W196">
        <v>726</v>
      </c>
      <c r="X196">
        <v>207</v>
      </c>
      <c r="Y196">
        <v>45</v>
      </c>
      <c r="Z196">
        <v>973</v>
      </c>
    </row>
    <row r="197" spans="1:26" x14ac:dyDescent="0.25">
      <c r="A197" t="s">
        <v>383</v>
      </c>
      <c r="B197">
        <v>24</v>
      </c>
      <c r="C197">
        <v>22</v>
      </c>
      <c r="D197">
        <v>5300</v>
      </c>
      <c r="E197">
        <v>7842</v>
      </c>
      <c r="F197">
        <v>67.599999999999994</v>
      </c>
      <c r="G197">
        <v>104016</v>
      </c>
      <c r="H197">
        <v>43530</v>
      </c>
      <c r="I197">
        <v>2071</v>
      </c>
      <c r="J197">
        <v>2535</v>
      </c>
      <c r="K197">
        <v>81.7</v>
      </c>
      <c r="L197">
        <v>2342</v>
      </c>
      <c r="M197">
        <v>3077</v>
      </c>
      <c r="N197">
        <v>76.099999999999994</v>
      </c>
      <c r="O197">
        <v>774</v>
      </c>
      <c r="P197">
        <v>1812</v>
      </c>
      <c r="Q197">
        <v>42.7</v>
      </c>
      <c r="R197">
        <v>14</v>
      </c>
      <c r="S197">
        <v>17.2</v>
      </c>
      <c r="T197">
        <v>18</v>
      </c>
      <c r="U197">
        <v>-3.2</v>
      </c>
      <c r="V197">
        <v>176</v>
      </c>
      <c r="W197">
        <v>487</v>
      </c>
      <c r="X197">
        <v>138</v>
      </c>
      <c r="Y197">
        <v>50</v>
      </c>
      <c r="Z197">
        <v>619</v>
      </c>
    </row>
    <row r="198" spans="1:26" x14ac:dyDescent="0.25">
      <c r="A198" t="s">
        <v>384</v>
      </c>
      <c r="B198">
        <v>26</v>
      </c>
      <c r="C198">
        <v>22</v>
      </c>
      <c r="D198">
        <v>11417</v>
      </c>
      <c r="E198">
        <v>13409</v>
      </c>
      <c r="F198">
        <v>85.1</v>
      </c>
      <c r="G198">
        <v>198747</v>
      </c>
      <c r="H198">
        <v>65995</v>
      </c>
      <c r="I198">
        <v>5117</v>
      </c>
      <c r="J198">
        <v>5546</v>
      </c>
      <c r="K198">
        <v>92.3</v>
      </c>
      <c r="L198">
        <v>5259</v>
      </c>
      <c r="M198">
        <v>5797</v>
      </c>
      <c r="N198">
        <v>90.7</v>
      </c>
      <c r="O198">
        <v>869</v>
      </c>
      <c r="P198">
        <v>1577</v>
      </c>
      <c r="Q198">
        <v>55.1</v>
      </c>
      <c r="R198">
        <v>23</v>
      </c>
      <c r="S198">
        <v>21.1</v>
      </c>
      <c r="T198">
        <v>21.6</v>
      </c>
      <c r="U198">
        <v>1.9</v>
      </c>
      <c r="V198">
        <v>244</v>
      </c>
      <c r="W198">
        <v>731</v>
      </c>
      <c r="X198">
        <v>150</v>
      </c>
      <c r="Y198">
        <v>32</v>
      </c>
      <c r="Z198">
        <v>836</v>
      </c>
    </row>
    <row r="199" spans="1:26" x14ac:dyDescent="0.25">
      <c r="A199" t="s">
        <v>385</v>
      </c>
      <c r="B199">
        <v>25</v>
      </c>
      <c r="C199">
        <v>22</v>
      </c>
      <c r="D199">
        <v>9216</v>
      </c>
      <c r="E199">
        <v>11655</v>
      </c>
      <c r="F199">
        <v>79.099999999999994</v>
      </c>
      <c r="G199">
        <v>165026</v>
      </c>
      <c r="H199">
        <v>61132</v>
      </c>
      <c r="I199">
        <v>4025</v>
      </c>
      <c r="J199">
        <v>4588</v>
      </c>
      <c r="K199">
        <v>87.7</v>
      </c>
      <c r="L199">
        <v>4161</v>
      </c>
      <c r="M199">
        <v>4882</v>
      </c>
      <c r="N199">
        <v>85.2</v>
      </c>
      <c r="O199">
        <v>868</v>
      </c>
      <c r="P199">
        <v>1664</v>
      </c>
      <c r="Q199">
        <v>52.2</v>
      </c>
      <c r="R199">
        <v>30</v>
      </c>
      <c r="S199">
        <v>28.3</v>
      </c>
      <c r="T199">
        <v>25.1</v>
      </c>
      <c r="U199">
        <v>1.7</v>
      </c>
      <c r="V199">
        <v>274</v>
      </c>
      <c r="W199">
        <v>732</v>
      </c>
      <c r="X199">
        <v>196</v>
      </c>
      <c r="Y199">
        <v>49</v>
      </c>
      <c r="Z199">
        <v>913</v>
      </c>
    </row>
    <row r="200" spans="1:26" x14ac:dyDescent="0.25">
      <c r="A200" t="s">
        <v>386</v>
      </c>
      <c r="B200">
        <v>30</v>
      </c>
      <c r="C200">
        <v>22</v>
      </c>
      <c r="D200">
        <v>10443</v>
      </c>
      <c r="E200">
        <v>12469</v>
      </c>
      <c r="F200">
        <v>83.8</v>
      </c>
      <c r="G200">
        <v>179063</v>
      </c>
      <c r="H200">
        <v>59187</v>
      </c>
      <c r="I200">
        <v>4631</v>
      </c>
      <c r="J200">
        <v>5176</v>
      </c>
      <c r="K200">
        <v>89.5</v>
      </c>
      <c r="L200">
        <v>4917</v>
      </c>
      <c r="M200">
        <v>5480</v>
      </c>
      <c r="N200">
        <v>89.7</v>
      </c>
      <c r="O200">
        <v>689</v>
      </c>
      <c r="P200">
        <v>1259</v>
      </c>
      <c r="Q200">
        <v>54.7</v>
      </c>
      <c r="R200">
        <v>28</v>
      </c>
      <c r="S200">
        <v>27.9</v>
      </c>
      <c r="T200">
        <v>27.3</v>
      </c>
      <c r="U200">
        <v>0.1</v>
      </c>
      <c r="V200">
        <v>278</v>
      </c>
      <c r="W200">
        <v>772</v>
      </c>
      <c r="X200">
        <v>180</v>
      </c>
      <c r="Y200">
        <v>21</v>
      </c>
      <c r="Z200">
        <v>981</v>
      </c>
    </row>
    <row r="201" spans="1:26" x14ac:dyDescent="0.25">
      <c r="A201" t="s">
        <v>387</v>
      </c>
      <c r="B201">
        <v>26</v>
      </c>
      <c r="C201">
        <v>22</v>
      </c>
      <c r="D201">
        <v>13340</v>
      </c>
      <c r="E201">
        <v>15263</v>
      </c>
      <c r="F201">
        <v>87.4</v>
      </c>
      <c r="G201">
        <v>225246</v>
      </c>
      <c r="H201">
        <v>72553</v>
      </c>
      <c r="I201">
        <v>6456</v>
      </c>
      <c r="J201">
        <v>6885</v>
      </c>
      <c r="K201">
        <v>93.8</v>
      </c>
      <c r="L201">
        <v>5740</v>
      </c>
      <c r="M201">
        <v>6304</v>
      </c>
      <c r="N201">
        <v>91.1</v>
      </c>
      <c r="O201">
        <v>945</v>
      </c>
      <c r="P201">
        <v>1557</v>
      </c>
      <c r="Q201">
        <v>60.7</v>
      </c>
      <c r="R201">
        <v>30</v>
      </c>
      <c r="S201">
        <v>30</v>
      </c>
      <c r="T201">
        <v>30.3</v>
      </c>
      <c r="U201">
        <v>0</v>
      </c>
      <c r="V201">
        <v>258</v>
      </c>
      <c r="W201">
        <v>894</v>
      </c>
      <c r="X201">
        <v>208</v>
      </c>
      <c r="Y201">
        <v>44</v>
      </c>
      <c r="Z201">
        <v>1008</v>
      </c>
    </row>
    <row r="202" spans="1:26" x14ac:dyDescent="0.25">
      <c r="A202" t="s">
        <v>388</v>
      </c>
      <c r="B202">
        <v>27</v>
      </c>
      <c r="C202">
        <v>22</v>
      </c>
      <c r="D202">
        <v>10509</v>
      </c>
      <c r="E202">
        <v>12665</v>
      </c>
      <c r="F202">
        <v>83</v>
      </c>
      <c r="G202">
        <v>176057</v>
      </c>
      <c r="H202">
        <v>62187</v>
      </c>
      <c r="I202">
        <v>5013</v>
      </c>
      <c r="J202">
        <v>5550</v>
      </c>
      <c r="K202">
        <v>90.3</v>
      </c>
      <c r="L202">
        <v>4360</v>
      </c>
      <c r="M202">
        <v>4956</v>
      </c>
      <c r="N202">
        <v>88</v>
      </c>
      <c r="O202">
        <v>828</v>
      </c>
      <c r="P202">
        <v>1477</v>
      </c>
      <c r="Q202">
        <v>56.1</v>
      </c>
      <c r="R202">
        <v>24</v>
      </c>
      <c r="S202">
        <v>27.2</v>
      </c>
      <c r="T202">
        <v>26.1</v>
      </c>
      <c r="U202">
        <v>-3.2</v>
      </c>
      <c r="V202">
        <v>231</v>
      </c>
      <c r="W202">
        <v>749</v>
      </c>
      <c r="X202">
        <v>210</v>
      </c>
      <c r="Y202">
        <v>24</v>
      </c>
      <c r="Z202">
        <v>993</v>
      </c>
    </row>
    <row r="203" spans="1:26" x14ac:dyDescent="0.25">
      <c r="A203" t="s">
        <v>389</v>
      </c>
      <c r="B203">
        <v>24</v>
      </c>
      <c r="C203">
        <v>22</v>
      </c>
      <c r="D203">
        <v>6579</v>
      </c>
      <c r="E203">
        <v>9136</v>
      </c>
      <c r="F203">
        <v>72</v>
      </c>
      <c r="G203">
        <v>124447</v>
      </c>
      <c r="H203">
        <v>48185</v>
      </c>
      <c r="I203">
        <v>2803</v>
      </c>
      <c r="J203">
        <v>3379</v>
      </c>
      <c r="K203">
        <v>83</v>
      </c>
      <c r="L203">
        <v>2803</v>
      </c>
      <c r="M203">
        <v>3528</v>
      </c>
      <c r="N203">
        <v>79.5</v>
      </c>
      <c r="O203">
        <v>847</v>
      </c>
      <c r="P203">
        <v>1797</v>
      </c>
      <c r="Q203">
        <v>47.1</v>
      </c>
      <c r="R203">
        <v>15</v>
      </c>
      <c r="S203">
        <v>15.8</v>
      </c>
      <c r="T203">
        <v>18.7</v>
      </c>
      <c r="U203">
        <v>-0.8</v>
      </c>
      <c r="V203">
        <v>183</v>
      </c>
      <c r="W203">
        <v>560</v>
      </c>
      <c r="X203">
        <v>133</v>
      </c>
      <c r="Y203">
        <v>36</v>
      </c>
      <c r="Z203">
        <v>670</v>
      </c>
    </row>
    <row r="204" spans="1:26" x14ac:dyDescent="0.25">
      <c r="A204" t="s">
        <v>390</v>
      </c>
      <c r="B204">
        <v>26</v>
      </c>
      <c r="C204">
        <v>22</v>
      </c>
      <c r="D204">
        <v>8629</v>
      </c>
      <c r="E204">
        <v>10848</v>
      </c>
      <c r="F204">
        <v>79.5</v>
      </c>
      <c r="G204">
        <v>157351</v>
      </c>
      <c r="H204">
        <v>55637</v>
      </c>
      <c r="I204">
        <v>3587</v>
      </c>
      <c r="J204">
        <v>4014</v>
      </c>
      <c r="K204">
        <v>89.4</v>
      </c>
      <c r="L204">
        <v>3924</v>
      </c>
      <c r="M204">
        <v>4542</v>
      </c>
      <c r="N204">
        <v>86.4</v>
      </c>
      <c r="O204">
        <v>919</v>
      </c>
      <c r="P204">
        <v>1713</v>
      </c>
      <c r="Q204">
        <v>53.6</v>
      </c>
      <c r="R204">
        <v>25</v>
      </c>
      <c r="S204">
        <v>22.6</v>
      </c>
      <c r="T204">
        <v>22.2</v>
      </c>
      <c r="U204">
        <v>2.4</v>
      </c>
      <c r="V204">
        <v>233</v>
      </c>
      <c r="W204">
        <v>596</v>
      </c>
      <c r="X204">
        <v>175</v>
      </c>
      <c r="Y204">
        <v>56</v>
      </c>
      <c r="Z204">
        <v>777</v>
      </c>
    </row>
    <row r="205" spans="1:26" x14ac:dyDescent="0.25">
      <c r="A205" t="s">
        <v>391</v>
      </c>
      <c r="B205">
        <v>25</v>
      </c>
      <c r="C205">
        <v>22</v>
      </c>
      <c r="D205">
        <v>7664</v>
      </c>
      <c r="E205">
        <v>9994</v>
      </c>
      <c r="F205">
        <v>76.7</v>
      </c>
      <c r="G205">
        <v>142997</v>
      </c>
      <c r="H205">
        <v>52514</v>
      </c>
      <c r="I205">
        <v>2983</v>
      </c>
      <c r="J205">
        <v>3493</v>
      </c>
      <c r="K205">
        <v>85.4</v>
      </c>
      <c r="L205">
        <v>3744</v>
      </c>
      <c r="M205">
        <v>4347</v>
      </c>
      <c r="N205">
        <v>86.1</v>
      </c>
      <c r="O205">
        <v>817</v>
      </c>
      <c r="P205">
        <v>1706</v>
      </c>
      <c r="Q205">
        <v>47.9</v>
      </c>
      <c r="R205">
        <v>22</v>
      </c>
      <c r="S205">
        <v>21.6</v>
      </c>
      <c r="T205">
        <v>18.899999999999999</v>
      </c>
      <c r="U205">
        <v>0.4</v>
      </c>
      <c r="V205">
        <v>232</v>
      </c>
      <c r="W205">
        <v>548</v>
      </c>
      <c r="X205">
        <v>146</v>
      </c>
      <c r="Y205">
        <v>19</v>
      </c>
      <c r="Z205">
        <v>767</v>
      </c>
    </row>
    <row r="206" spans="1:26" x14ac:dyDescent="0.25">
      <c r="A206" t="s">
        <v>392</v>
      </c>
      <c r="B206">
        <v>24</v>
      </c>
      <c r="C206">
        <v>22</v>
      </c>
      <c r="D206">
        <v>6310</v>
      </c>
      <c r="E206">
        <v>8972</v>
      </c>
      <c r="F206">
        <v>70.3</v>
      </c>
      <c r="G206">
        <v>120837</v>
      </c>
      <c r="H206">
        <v>45282</v>
      </c>
      <c r="I206">
        <v>2636</v>
      </c>
      <c r="J206">
        <v>3156</v>
      </c>
      <c r="K206">
        <v>83.5</v>
      </c>
      <c r="L206">
        <v>2713</v>
      </c>
      <c r="M206">
        <v>3415</v>
      </c>
      <c r="N206">
        <v>79.400000000000006</v>
      </c>
      <c r="O206">
        <v>837</v>
      </c>
      <c r="P206">
        <v>1953</v>
      </c>
      <c r="Q206">
        <v>42.9</v>
      </c>
      <c r="R206">
        <v>19</v>
      </c>
      <c r="S206">
        <v>12.6</v>
      </c>
      <c r="T206">
        <v>14.4</v>
      </c>
      <c r="U206">
        <v>6.4</v>
      </c>
      <c r="V206">
        <v>134</v>
      </c>
      <c r="W206">
        <v>543</v>
      </c>
      <c r="X206">
        <v>110</v>
      </c>
      <c r="Y206">
        <v>31</v>
      </c>
      <c r="Z206">
        <v>605</v>
      </c>
    </row>
    <row r="207" spans="1:26" x14ac:dyDescent="0.25">
      <c r="A207" t="s">
        <v>393</v>
      </c>
      <c r="B207">
        <v>25</v>
      </c>
      <c r="C207">
        <v>22</v>
      </c>
      <c r="D207">
        <v>6926</v>
      </c>
      <c r="E207">
        <v>9422</v>
      </c>
      <c r="F207">
        <v>73.5</v>
      </c>
      <c r="G207">
        <v>129207</v>
      </c>
      <c r="H207">
        <v>49206</v>
      </c>
      <c r="I207">
        <v>2942</v>
      </c>
      <c r="J207">
        <v>3408</v>
      </c>
      <c r="K207">
        <v>86.3</v>
      </c>
      <c r="L207">
        <v>3022</v>
      </c>
      <c r="M207">
        <v>3718</v>
      </c>
      <c r="N207">
        <v>81.3</v>
      </c>
      <c r="O207">
        <v>837</v>
      </c>
      <c r="P207">
        <v>1851</v>
      </c>
      <c r="Q207">
        <v>45.2</v>
      </c>
      <c r="R207">
        <v>12</v>
      </c>
      <c r="S207">
        <v>13.6</v>
      </c>
      <c r="T207">
        <v>15.1</v>
      </c>
      <c r="U207">
        <v>-1.6</v>
      </c>
      <c r="V207">
        <v>167</v>
      </c>
      <c r="W207">
        <v>531</v>
      </c>
      <c r="X207">
        <v>117</v>
      </c>
      <c r="Y207">
        <v>43</v>
      </c>
      <c r="Z207">
        <v>618</v>
      </c>
    </row>
    <row r="208" spans="1:26" x14ac:dyDescent="0.25">
      <c r="A208" t="s">
        <v>394</v>
      </c>
      <c r="B208">
        <v>28</v>
      </c>
      <c r="C208">
        <v>22</v>
      </c>
      <c r="D208">
        <v>4520</v>
      </c>
      <c r="E208">
        <v>7115</v>
      </c>
      <c r="F208">
        <v>63.5</v>
      </c>
      <c r="G208">
        <v>88199</v>
      </c>
      <c r="H208">
        <v>43057</v>
      </c>
      <c r="I208">
        <v>2094</v>
      </c>
      <c r="J208">
        <v>2639</v>
      </c>
      <c r="K208">
        <v>79.3</v>
      </c>
      <c r="L208">
        <v>1585</v>
      </c>
      <c r="M208">
        <v>2245</v>
      </c>
      <c r="N208">
        <v>70.599999999999994</v>
      </c>
      <c r="O208">
        <v>697</v>
      </c>
      <c r="P208">
        <v>1762</v>
      </c>
      <c r="Q208">
        <v>39.6</v>
      </c>
      <c r="R208">
        <v>12</v>
      </c>
      <c r="S208">
        <v>10.5</v>
      </c>
      <c r="T208">
        <v>11.6</v>
      </c>
      <c r="U208">
        <v>1.5</v>
      </c>
      <c r="V208">
        <v>113</v>
      </c>
      <c r="W208">
        <v>424</v>
      </c>
      <c r="X208">
        <v>89</v>
      </c>
      <c r="Y208">
        <v>34</v>
      </c>
      <c r="Z208">
        <v>433</v>
      </c>
    </row>
    <row r="209" spans="1:26" x14ac:dyDescent="0.25">
      <c r="A209" t="s">
        <v>395</v>
      </c>
      <c r="B209">
        <v>28</v>
      </c>
      <c r="C209">
        <v>22</v>
      </c>
      <c r="D209">
        <v>6462</v>
      </c>
      <c r="E209">
        <v>8885</v>
      </c>
      <c r="F209">
        <v>72.7</v>
      </c>
      <c r="G209">
        <v>123301</v>
      </c>
      <c r="H209">
        <v>50429</v>
      </c>
      <c r="I209">
        <v>2673</v>
      </c>
      <c r="J209">
        <v>3140</v>
      </c>
      <c r="K209">
        <v>85.1</v>
      </c>
      <c r="L209">
        <v>2793</v>
      </c>
      <c r="M209">
        <v>3477</v>
      </c>
      <c r="N209">
        <v>80.3</v>
      </c>
      <c r="O209">
        <v>836</v>
      </c>
      <c r="P209">
        <v>1791</v>
      </c>
      <c r="Q209">
        <v>46.7</v>
      </c>
      <c r="R209">
        <v>13</v>
      </c>
      <c r="S209">
        <v>17</v>
      </c>
      <c r="T209">
        <v>15.9</v>
      </c>
      <c r="U209">
        <v>-4</v>
      </c>
      <c r="V209">
        <v>161</v>
      </c>
      <c r="W209">
        <v>500</v>
      </c>
      <c r="X209">
        <v>121</v>
      </c>
      <c r="Y209">
        <v>50</v>
      </c>
      <c r="Z209">
        <v>622</v>
      </c>
    </row>
    <row r="210" spans="1:26" x14ac:dyDescent="0.25">
      <c r="A210" t="s">
        <v>396</v>
      </c>
      <c r="B210">
        <v>24</v>
      </c>
      <c r="C210">
        <v>22</v>
      </c>
      <c r="D210">
        <v>13692</v>
      </c>
      <c r="E210">
        <v>15567</v>
      </c>
      <c r="F210">
        <v>88</v>
      </c>
      <c r="G210">
        <v>217936</v>
      </c>
      <c r="H210">
        <v>70356</v>
      </c>
      <c r="I210">
        <v>7117</v>
      </c>
      <c r="J210">
        <v>7583</v>
      </c>
      <c r="K210">
        <v>93.9</v>
      </c>
      <c r="L210">
        <v>5437</v>
      </c>
      <c r="M210">
        <v>5983</v>
      </c>
      <c r="N210">
        <v>90.9</v>
      </c>
      <c r="O210">
        <v>817</v>
      </c>
      <c r="P210">
        <v>1361</v>
      </c>
      <c r="Q210">
        <v>60</v>
      </c>
      <c r="R210">
        <v>25</v>
      </c>
      <c r="S210">
        <v>24.2</v>
      </c>
      <c r="T210">
        <v>32.1</v>
      </c>
      <c r="U210">
        <v>0.8</v>
      </c>
      <c r="V210">
        <v>256</v>
      </c>
      <c r="W210">
        <v>1021</v>
      </c>
      <c r="X210">
        <v>263</v>
      </c>
      <c r="Y210">
        <v>42</v>
      </c>
      <c r="Z210">
        <v>1204</v>
      </c>
    </row>
    <row r="211" spans="1:26" x14ac:dyDescent="0.25">
      <c r="A211" t="s">
        <v>397</v>
      </c>
      <c r="B211">
        <v>31</v>
      </c>
      <c r="C211">
        <v>22</v>
      </c>
      <c r="D211">
        <v>7932</v>
      </c>
      <c r="E211">
        <v>10630</v>
      </c>
      <c r="F211">
        <v>74.599999999999994</v>
      </c>
      <c r="G211">
        <v>151935</v>
      </c>
      <c r="H211">
        <v>58071</v>
      </c>
      <c r="I211">
        <v>3270</v>
      </c>
      <c r="J211">
        <v>3878</v>
      </c>
      <c r="K211">
        <v>84.3</v>
      </c>
      <c r="L211">
        <v>3515</v>
      </c>
      <c r="M211">
        <v>4277</v>
      </c>
      <c r="N211">
        <v>82.2</v>
      </c>
      <c r="O211">
        <v>1012</v>
      </c>
      <c r="P211">
        <v>1965</v>
      </c>
      <c r="Q211">
        <v>51.5</v>
      </c>
      <c r="R211">
        <v>16</v>
      </c>
      <c r="S211">
        <v>19.5</v>
      </c>
      <c r="T211">
        <v>24.9</v>
      </c>
      <c r="U211">
        <v>-3.5</v>
      </c>
      <c r="V211">
        <v>194</v>
      </c>
      <c r="W211">
        <v>707</v>
      </c>
      <c r="X211">
        <v>205</v>
      </c>
      <c r="Y211">
        <v>46</v>
      </c>
      <c r="Z211">
        <v>892</v>
      </c>
    </row>
    <row r="212" spans="1:26" x14ac:dyDescent="0.25">
      <c r="A212" t="s">
        <v>398</v>
      </c>
      <c r="B212">
        <v>24</v>
      </c>
      <c r="C212">
        <v>22</v>
      </c>
      <c r="D212">
        <v>10703</v>
      </c>
      <c r="E212">
        <v>12792</v>
      </c>
      <c r="F212">
        <v>83.7</v>
      </c>
      <c r="G212">
        <v>183929</v>
      </c>
      <c r="H212">
        <v>59857</v>
      </c>
      <c r="I212">
        <v>4960</v>
      </c>
      <c r="J212">
        <v>5452</v>
      </c>
      <c r="K212">
        <v>91</v>
      </c>
      <c r="L212">
        <v>4653</v>
      </c>
      <c r="M212">
        <v>5260</v>
      </c>
      <c r="N212">
        <v>88.5</v>
      </c>
      <c r="O212">
        <v>868</v>
      </c>
      <c r="P212">
        <v>1498</v>
      </c>
      <c r="Q212">
        <v>57.9</v>
      </c>
      <c r="R212">
        <v>20</v>
      </c>
      <c r="S212">
        <v>24.6</v>
      </c>
      <c r="T212">
        <v>25.5</v>
      </c>
      <c r="U212">
        <v>-4.5999999999999996</v>
      </c>
      <c r="V212">
        <v>267</v>
      </c>
      <c r="W212">
        <v>796</v>
      </c>
      <c r="X212">
        <v>189</v>
      </c>
      <c r="Y212">
        <v>33</v>
      </c>
      <c r="Z212">
        <v>1046</v>
      </c>
    </row>
    <row r="213" spans="1:26" x14ac:dyDescent="0.25">
      <c r="A213" t="s">
        <v>399</v>
      </c>
      <c r="B213">
        <v>25</v>
      </c>
      <c r="C213">
        <v>22</v>
      </c>
      <c r="D213">
        <v>9717</v>
      </c>
      <c r="E213">
        <v>12127</v>
      </c>
      <c r="F213">
        <v>80.099999999999994</v>
      </c>
      <c r="G213">
        <v>166229</v>
      </c>
      <c r="H213">
        <v>58870</v>
      </c>
      <c r="I213">
        <v>4582</v>
      </c>
      <c r="J213">
        <v>5106</v>
      </c>
      <c r="K213">
        <v>89.7</v>
      </c>
      <c r="L213">
        <v>4146</v>
      </c>
      <c r="M213">
        <v>4785</v>
      </c>
      <c r="N213">
        <v>86.6</v>
      </c>
      <c r="O213">
        <v>777</v>
      </c>
      <c r="P213">
        <v>1706</v>
      </c>
      <c r="Q213">
        <v>45.5</v>
      </c>
      <c r="R213">
        <v>21</v>
      </c>
      <c r="S213">
        <v>18.899999999999999</v>
      </c>
      <c r="T213">
        <v>21.4</v>
      </c>
      <c r="U213">
        <v>2.1</v>
      </c>
      <c r="V213">
        <v>193</v>
      </c>
      <c r="W213">
        <v>648</v>
      </c>
      <c r="X213">
        <v>155</v>
      </c>
      <c r="Y213">
        <v>37</v>
      </c>
      <c r="Z213">
        <v>782</v>
      </c>
    </row>
    <row r="214" spans="1:26" x14ac:dyDescent="0.25">
      <c r="A214" t="s">
        <v>400</v>
      </c>
      <c r="B214">
        <v>23</v>
      </c>
      <c r="C214">
        <v>22</v>
      </c>
      <c r="D214">
        <v>9511</v>
      </c>
      <c r="E214">
        <v>11853</v>
      </c>
      <c r="F214">
        <v>80.2</v>
      </c>
      <c r="G214">
        <v>176421</v>
      </c>
      <c r="H214">
        <v>59708</v>
      </c>
      <c r="I214">
        <v>3786</v>
      </c>
      <c r="J214">
        <v>4289</v>
      </c>
      <c r="K214">
        <v>88.3</v>
      </c>
      <c r="L214">
        <v>4396</v>
      </c>
      <c r="M214">
        <v>5076</v>
      </c>
      <c r="N214">
        <v>86.6</v>
      </c>
      <c r="O214">
        <v>1087</v>
      </c>
      <c r="P214">
        <v>1911</v>
      </c>
      <c r="Q214">
        <v>56.9</v>
      </c>
      <c r="R214">
        <v>27</v>
      </c>
      <c r="S214">
        <v>22.1</v>
      </c>
      <c r="T214">
        <v>19.600000000000001</v>
      </c>
      <c r="U214">
        <v>4.9000000000000004</v>
      </c>
      <c r="V214">
        <v>238</v>
      </c>
      <c r="W214">
        <v>764</v>
      </c>
      <c r="X214">
        <v>176</v>
      </c>
      <c r="Y214">
        <v>44</v>
      </c>
      <c r="Z214">
        <v>934</v>
      </c>
    </row>
    <row r="215" spans="1:26" x14ac:dyDescent="0.25">
      <c r="A215" t="s">
        <v>401</v>
      </c>
      <c r="B215">
        <v>22</v>
      </c>
      <c r="C215">
        <v>22</v>
      </c>
      <c r="D215">
        <v>8787</v>
      </c>
      <c r="E215">
        <v>11042</v>
      </c>
      <c r="F215">
        <v>79.599999999999994</v>
      </c>
      <c r="G215">
        <v>155399</v>
      </c>
      <c r="H215">
        <v>54080</v>
      </c>
      <c r="I215">
        <v>3978</v>
      </c>
      <c r="J215">
        <v>4465</v>
      </c>
      <c r="K215">
        <v>89.1</v>
      </c>
      <c r="L215">
        <v>3885</v>
      </c>
      <c r="M215">
        <v>4570</v>
      </c>
      <c r="N215">
        <v>85</v>
      </c>
      <c r="O215">
        <v>778</v>
      </c>
      <c r="P215">
        <v>1527</v>
      </c>
      <c r="Q215">
        <v>50.9</v>
      </c>
      <c r="R215">
        <v>20</v>
      </c>
      <c r="S215">
        <v>16.899999999999999</v>
      </c>
      <c r="T215">
        <v>17.899999999999999</v>
      </c>
      <c r="U215">
        <v>3.1</v>
      </c>
      <c r="V215">
        <v>184</v>
      </c>
      <c r="W215">
        <v>613</v>
      </c>
      <c r="X215">
        <v>162</v>
      </c>
      <c r="Y215">
        <v>57</v>
      </c>
      <c r="Z215">
        <v>799</v>
      </c>
    </row>
    <row r="218" spans="1:26" x14ac:dyDescent="0.25">
      <c r="A218" t="s">
        <v>429</v>
      </c>
    </row>
    <row r="219" spans="1:26" x14ac:dyDescent="0.25">
      <c r="D219" t="s">
        <v>75</v>
      </c>
      <c r="I219" t="s">
        <v>76</v>
      </c>
      <c r="M219" t="s">
        <v>77</v>
      </c>
    </row>
    <row r="220" spans="1:26" x14ac:dyDescent="0.25">
      <c r="A220" t="s">
        <v>2</v>
      </c>
      <c r="B220" t="s">
        <v>24</v>
      </c>
      <c r="C220" t="s">
        <v>28</v>
      </c>
      <c r="D220" t="s">
        <v>78</v>
      </c>
      <c r="E220" t="s">
        <v>79</v>
      </c>
      <c r="F220" t="s">
        <v>80</v>
      </c>
      <c r="G220" t="s">
        <v>81</v>
      </c>
      <c r="H220" t="s">
        <v>82</v>
      </c>
      <c r="I220" t="s">
        <v>78</v>
      </c>
      <c r="J220" t="s">
        <v>50</v>
      </c>
      <c r="K220" t="s">
        <v>83</v>
      </c>
      <c r="L220" t="s">
        <v>84</v>
      </c>
      <c r="M220" t="s">
        <v>77</v>
      </c>
      <c r="N220" t="s">
        <v>53</v>
      </c>
      <c r="O220" t="s">
        <v>85</v>
      </c>
      <c r="P220" t="s">
        <v>86</v>
      </c>
      <c r="Q220" t="s">
        <v>87</v>
      </c>
      <c r="R220" t="s">
        <v>88</v>
      </c>
      <c r="S220" t="s">
        <v>89</v>
      </c>
    </row>
    <row r="221" spans="1:26" x14ac:dyDescent="0.25">
      <c r="A221" t="s">
        <v>378</v>
      </c>
      <c r="B221">
        <v>26</v>
      </c>
      <c r="C221">
        <v>22</v>
      </c>
      <c r="D221">
        <v>409</v>
      </c>
      <c r="E221">
        <v>249</v>
      </c>
      <c r="F221">
        <v>193</v>
      </c>
      <c r="G221">
        <v>168</v>
      </c>
      <c r="H221">
        <v>48</v>
      </c>
      <c r="I221">
        <v>201</v>
      </c>
      <c r="J221">
        <v>399</v>
      </c>
      <c r="K221">
        <v>50.4</v>
      </c>
      <c r="L221">
        <v>198</v>
      </c>
      <c r="M221">
        <v>295</v>
      </c>
      <c r="N221">
        <v>85</v>
      </c>
      <c r="O221">
        <v>210</v>
      </c>
      <c r="P221">
        <v>237</v>
      </c>
      <c r="Q221">
        <v>646</v>
      </c>
      <c r="R221">
        <v>476</v>
      </c>
      <c r="S221">
        <v>10</v>
      </c>
    </row>
    <row r="222" spans="1:26" x14ac:dyDescent="0.25">
      <c r="A222" t="s">
        <v>379</v>
      </c>
      <c r="B222">
        <v>26</v>
      </c>
      <c r="C222">
        <v>22</v>
      </c>
      <c r="D222">
        <v>402</v>
      </c>
      <c r="E222">
        <v>243</v>
      </c>
      <c r="F222">
        <v>202</v>
      </c>
      <c r="G222">
        <v>144</v>
      </c>
      <c r="H222">
        <v>56</v>
      </c>
      <c r="I222">
        <v>190</v>
      </c>
      <c r="J222">
        <v>402</v>
      </c>
      <c r="K222">
        <v>47.3</v>
      </c>
      <c r="L222">
        <v>212</v>
      </c>
      <c r="M222">
        <v>314</v>
      </c>
      <c r="N222">
        <v>105</v>
      </c>
      <c r="O222">
        <v>209</v>
      </c>
      <c r="P222">
        <v>219</v>
      </c>
      <c r="Q222">
        <v>621</v>
      </c>
      <c r="R222">
        <v>438</v>
      </c>
      <c r="S222">
        <v>7</v>
      </c>
    </row>
    <row r="223" spans="1:26" x14ac:dyDescent="0.25">
      <c r="A223" t="s">
        <v>380</v>
      </c>
      <c r="B223">
        <v>22</v>
      </c>
      <c r="C223">
        <v>22</v>
      </c>
      <c r="D223">
        <v>380</v>
      </c>
      <c r="E223">
        <v>235</v>
      </c>
      <c r="F223">
        <v>190</v>
      </c>
      <c r="G223">
        <v>151</v>
      </c>
      <c r="H223">
        <v>39</v>
      </c>
      <c r="I223">
        <v>208</v>
      </c>
      <c r="J223">
        <v>408</v>
      </c>
      <c r="K223">
        <v>51</v>
      </c>
      <c r="L223">
        <v>200</v>
      </c>
      <c r="M223">
        <v>229</v>
      </c>
      <c r="N223">
        <v>83</v>
      </c>
      <c r="O223">
        <v>146</v>
      </c>
      <c r="P223">
        <v>220</v>
      </c>
      <c r="Q223">
        <v>600</v>
      </c>
      <c r="R223">
        <v>403</v>
      </c>
      <c r="S223">
        <v>2</v>
      </c>
    </row>
    <row r="224" spans="1:26" x14ac:dyDescent="0.25">
      <c r="A224" t="s">
        <v>381</v>
      </c>
      <c r="B224">
        <v>25</v>
      </c>
      <c r="C224">
        <v>22</v>
      </c>
      <c r="D224">
        <v>351</v>
      </c>
      <c r="E224">
        <v>228</v>
      </c>
      <c r="F224">
        <v>176</v>
      </c>
      <c r="G224">
        <v>144</v>
      </c>
      <c r="H224">
        <v>31</v>
      </c>
      <c r="I224">
        <v>176</v>
      </c>
      <c r="J224">
        <v>346</v>
      </c>
      <c r="K224">
        <v>50.9</v>
      </c>
      <c r="L224">
        <v>170</v>
      </c>
      <c r="M224">
        <v>247</v>
      </c>
      <c r="N224">
        <v>74</v>
      </c>
      <c r="O224">
        <v>173</v>
      </c>
      <c r="P224">
        <v>260</v>
      </c>
      <c r="Q224">
        <v>611</v>
      </c>
      <c r="R224">
        <v>448</v>
      </c>
      <c r="S224">
        <v>8</v>
      </c>
    </row>
    <row r="225" spans="1:19" x14ac:dyDescent="0.25">
      <c r="A225" t="s">
        <v>382</v>
      </c>
      <c r="B225">
        <v>23</v>
      </c>
      <c r="C225">
        <v>22</v>
      </c>
      <c r="D225">
        <v>400</v>
      </c>
      <c r="E225">
        <v>241</v>
      </c>
      <c r="F225">
        <v>193</v>
      </c>
      <c r="G225">
        <v>159</v>
      </c>
      <c r="H225">
        <v>48</v>
      </c>
      <c r="I225">
        <v>186</v>
      </c>
      <c r="J225">
        <v>351</v>
      </c>
      <c r="K225">
        <v>53</v>
      </c>
      <c r="L225">
        <v>165</v>
      </c>
      <c r="M225">
        <v>226</v>
      </c>
      <c r="N225">
        <v>77</v>
      </c>
      <c r="O225">
        <v>149</v>
      </c>
      <c r="P225">
        <v>207</v>
      </c>
      <c r="Q225">
        <v>607</v>
      </c>
      <c r="R225">
        <v>378</v>
      </c>
      <c r="S225">
        <v>5</v>
      </c>
    </row>
    <row r="226" spans="1:19" x14ac:dyDescent="0.25">
      <c r="A226" t="s">
        <v>383</v>
      </c>
      <c r="B226">
        <v>24</v>
      </c>
      <c r="C226">
        <v>22</v>
      </c>
      <c r="D226">
        <v>351</v>
      </c>
      <c r="E226">
        <v>206</v>
      </c>
      <c r="F226">
        <v>170</v>
      </c>
      <c r="G226">
        <v>154</v>
      </c>
      <c r="H226">
        <v>27</v>
      </c>
      <c r="I226">
        <v>148</v>
      </c>
      <c r="J226">
        <v>308</v>
      </c>
      <c r="K226">
        <v>48.1</v>
      </c>
      <c r="L226">
        <v>160</v>
      </c>
      <c r="M226">
        <v>262</v>
      </c>
      <c r="N226">
        <v>109</v>
      </c>
      <c r="O226">
        <v>153</v>
      </c>
      <c r="P226">
        <v>201</v>
      </c>
      <c r="Q226">
        <v>552</v>
      </c>
      <c r="R226">
        <v>524</v>
      </c>
      <c r="S226">
        <v>2</v>
      </c>
    </row>
    <row r="227" spans="1:19" x14ac:dyDescent="0.25">
      <c r="A227" t="s">
        <v>384</v>
      </c>
      <c r="B227">
        <v>26</v>
      </c>
      <c r="C227">
        <v>22</v>
      </c>
      <c r="D227">
        <v>249</v>
      </c>
      <c r="E227">
        <v>149</v>
      </c>
      <c r="F227">
        <v>106</v>
      </c>
      <c r="G227">
        <v>110</v>
      </c>
      <c r="H227">
        <v>33</v>
      </c>
      <c r="I227">
        <v>132</v>
      </c>
      <c r="J227">
        <v>272</v>
      </c>
      <c r="K227">
        <v>48.5</v>
      </c>
      <c r="L227">
        <v>140</v>
      </c>
      <c r="M227">
        <v>252</v>
      </c>
      <c r="N227">
        <v>81</v>
      </c>
      <c r="O227">
        <v>171</v>
      </c>
      <c r="P227">
        <v>160</v>
      </c>
      <c r="Q227">
        <v>409</v>
      </c>
      <c r="R227">
        <v>411</v>
      </c>
      <c r="S227">
        <v>7</v>
      </c>
    </row>
    <row r="228" spans="1:19" x14ac:dyDescent="0.25">
      <c r="A228" t="s">
        <v>385</v>
      </c>
      <c r="B228">
        <v>25</v>
      </c>
      <c r="C228">
        <v>22</v>
      </c>
      <c r="D228">
        <v>376</v>
      </c>
      <c r="E228">
        <v>246</v>
      </c>
      <c r="F228">
        <v>161</v>
      </c>
      <c r="G228">
        <v>146</v>
      </c>
      <c r="H228">
        <v>69</v>
      </c>
      <c r="I228">
        <v>183</v>
      </c>
      <c r="J228">
        <v>369</v>
      </c>
      <c r="K228">
        <v>49.6</v>
      </c>
      <c r="L228">
        <v>186</v>
      </c>
      <c r="M228">
        <v>261</v>
      </c>
      <c r="N228">
        <v>72</v>
      </c>
      <c r="O228">
        <v>189</v>
      </c>
      <c r="P228">
        <v>196</v>
      </c>
      <c r="Q228">
        <v>572</v>
      </c>
      <c r="R228">
        <v>373</v>
      </c>
      <c r="S228">
        <v>6</v>
      </c>
    </row>
    <row r="229" spans="1:19" x14ac:dyDescent="0.25">
      <c r="A229" t="s">
        <v>386</v>
      </c>
      <c r="B229">
        <v>30</v>
      </c>
      <c r="C229">
        <v>22</v>
      </c>
      <c r="D229">
        <v>377</v>
      </c>
      <c r="E229">
        <v>257</v>
      </c>
      <c r="F229">
        <v>168</v>
      </c>
      <c r="G229">
        <v>145</v>
      </c>
      <c r="H229">
        <v>64</v>
      </c>
      <c r="I229">
        <v>178</v>
      </c>
      <c r="J229">
        <v>318</v>
      </c>
      <c r="K229">
        <v>56</v>
      </c>
      <c r="L229">
        <v>140</v>
      </c>
      <c r="M229">
        <v>258</v>
      </c>
      <c r="N229">
        <v>77</v>
      </c>
      <c r="O229">
        <v>181</v>
      </c>
      <c r="P229">
        <v>202</v>
      </c>
      <c r="Q229">
        <v>579</v>
      </c>
      <c r="R229">
        <v>367</v>
      </c>
      <c r="S229">
        <v>4</v>
      </c>
    </row>
    <row r="230" spans="1:19" x14ac:dyDescent="0.25">
      <c r="A230" t="s">
        <v>387</v>
      </c>
      <c r="B230">
        <v>26</v>
      </c>
      <c r="C230">
        <v>22</v>
      </c>
      <c r="D230">
        <v>389</v>
      </c>
      <c r="E230">
        <v>252</v>
      </c>
      <c r="F230">
        <v>175</v>
      </c>
      <c r="G230">
        <v>170</v>
      </c>
      <c r="H230">
        <v>44</v>
      </c>
      <c r="I230">
        <v>188</v>
      </c>
      <c r="J230">
        <v>352</v>
      </c>
      <c r="K230">
        <v>53.4</v>
      </c>
      <c r="L230">
        <v>164</v>
      </c>
      <c r="M230">
        <v>232</v>
      </c>
      <c r="N230">
        <v>74</v>
      </c>
      <c r="O230">
        <v>158</v>
      </c>
      <c r="P230">
        <v>186</v>
      </c>
      <c r="Q230">
        <v>575</v>
      </c>
      <c r="R230">
        <v>381</v>
      </c>
      <c r="S230">
        <v>12</v>
      </c>
    </row>
    <row r="231" spans="1:19" x14ac:dyDescent="0.25">
      <c r="A231" t="s">
        <v>388</v>
      </c>
      <c r="B231">
        <v>27</v>
      </c>
      <c r="C231">
        <v>22</v>
      </c>
      <c r="D231">
        <v>318</v>
      </c>
      <c r="E231">
        <v>194</v>
      </c>
      <c r="F231">
        <v>142</v>
      </c>
      <c r="G231">
        <v>132</v>
      </c>
      <c r="H231">
        <v>44</v>
      </c>
      <c r="I231">
        <v>159</v>
      </c>
      <c r="J231">
        <v>337</v>
      </c>
      <c r="K231">
        <v>47.2</v>
      </c>
      <c r="L231">
        <v>178</v>
      </c>
      <c r="M231">
        <v>233</v>
      </c>
      <c r="N231">
        <v>58</v>
      </c>
      <c r="O231">
        <v>175</v>
      </c>
      <c r="P231">
        <v>191</v>
      </c>
      <c r="Q231">
        <v>509</v>
      </c>
      <c r="R231">
        <v>359</v>
      </c>
      <c r="S231">
        <v>8</v>
      </c>
    </row>
    <row r="232" spans="1:19" x14ac:dyDescent="0.25">
      <c r="A232" t="s">
        <v>389</v>
      </c>
      <c r="B232">
        <v>24</v>
      </c>
      <c r="C232">
        <v>22</v>
      </c>
      <c r="D232">
        <v>392</v>
      </c>
      <c r="E232">
        <v>237</v>
      </c>
      <c r="F232">
        <v>187</v>
      </c>
      <c r="G232">
        <v>165</v>
      </c>
      <c r="H232">
        <v>40</v>
      </c>
      <c r="I232">
        <v>207</v>
      </c>
      <c r="J232">
        <v>392</v>
      </c>
      <c r="K232">
        <v>52.8</v>
      </c>
      <c r="L232">
        <v>185</v>
      </c>
      <c r="M232">
        <v>265</v>
      </c>
      <c r="N232">
        <v>85</v>
      </c>
      <c r="O232">
        <v>180</v>
      </c>
      <c r="P232">
        <v>225</v>
      </c>
      <c r="Q232">
        <v>617</v>
      </c>
      <c r="R232">
        <v>453</v>
      </c>
      <c r="S232">
        <v>6</v>
      </c>
    </row>
    <row r="233" spans="1:19" x14ac:dyDescent="0.25">
      <c r="A233" t="s">
        <v>390</v>
      </c>
      <c r="B233">
        <v>26</v>
      </c>
      <c r="C233">
        <v>22</v>
      </c>
      <c r="D233">
        <v>363</v>
      </c>
      <c r="E233">
        <v>215</v>
      </c>
      <c r="F233">
        <v>178</v>
      </c>
      <c r="G233">
        <v>148</v>
      </c>
      <c r="H233">
        <v>37</v>
      </c>
      <c r="I233">
        <v>158</v>
      </c>
      <c r="J233">
        <v>354</v>
      </c>
      <c r="K233">
        <v>44.6</v>
      </c>
      <c r="L233">
        <v>196</v>
      </c>
      <c r="M233">
        <v>284</v>
      </c>
      <c r="N233">
        <v>105</v>
      </c>
      <c r="O233">
        <v>179</v>
      </c>
      <c r="P233">
        <v>201</v>
      </c>
      <c r="Q233">
        <v>564</v>
      </c>
      <c r="R233">
        <v>481</v>
      </c>
      <c r="S233">
        <v>7</v>
      </c>
    </row>
    <row r="234" spans="1:19" x14ac:dyDescent="0.25">
      <c r="A234" t="s">
        <v>391</v>
      </c>
      <c r="B234">
        <v>25</v>
      </c>
      <c r="C234">
        <v>22</v>
      </c>
      <c r="D234">
        <v>278</v>
      </c>
      <c r="E234">
        <v>202</v>
      </c>
      <c r="F234">
        <v>144</v>
      </c>
      <c r="G234">
        <v>103</v>
      </c>
      <c r="H234">
        <v>31</v>
      </c>
      <c r="I234">
        <v>130</v>
      </c>
      <c r="J234">
        <v>300</v>
      </c>
      <c r="K234">
        <v>43.3</v>
      </c>
      <c r="L234">
        <v>170</v>
      </c>
      <c r="M234">
        <v>295</v>
      </c>
      <c r="N234">
        <v>117</v>
      </c>
      <c r="O234">
        <v>178</v>
      </c>
      <c r="P234">
        <v>212</v>
      </c>
      <c r="Q234">
        <v>490</v>
      </c>
      <c r="R234">
        <v>506</v>
      </c>
      <c r="S234">
        <v>3</v>
      </c>
    </row>
    <row r="235" spans="1:19" x14ac:dyDescent="0.25">
      <c r="A235" t="s">
        <v>392</v>
      </c>
      <c r="B235">
        <v>24</v>
      </c>
      <c r="C235">
        <v>22</v>
      </c>
      <c r="D235">
        <v>382</v>
      </c>
      <c r="E235">
        <v>226</v>
      </c>
      <c r="F235">
        <v>170</v>
      </c>
      <c r="G235">
        <v>163</v>
      </c>
      <c r="H235">
        <v>49</v>
      </c>
      <c r="I235">
        <v>201</v>
      </c>
      <c r="J235">
        <v>402</v>
      </c>
      <c r="K235">
        <v>50</v>
      </c>
      <c r="L235">
        <v>201</v>
      </c>
      <c r="M235">
        <v>300</v>
      </c>
      <c r="N235">
        <v>87</v>
      </c>
      <c r="O235">
        <v>213</v>
      </c>
      <c r="P235">
        <v>272</v>
      </c>
      <c r="Q235">
        <v>654</v>
      </c>
      <c r="R235">
        <v>489</v>
      </c>
      <c r="S235">
        <v>5</v>
      </c>
    </row>
    <row r="236" spans="1:19" x14ac:dyDescent="0.25">
      <c r="A236" t="s">
        <v>393</v>
      </c>
      <c r="B236">
        <v>25</v>
      </c>
      <c r="C236">
        <v>22</v>
      </c>
      <c r="D236">
        <v>350</v>
      </c>
      <c r="E236">
        <v>229</v>
      </c>
      <c r="F236">
        <v>176</v>
      </c>
      <c r="G236">
        <v>136</v>
      </c>
      <c r="H236">
        <v>38</v>
      </c>
      <c r="I236">
        <v>157</v>
      </c>
      <c r="J236">
        <v>299</v>
      </c>
      <c r="K236">
        <v>52.5</v>
      </c>
      <c r="L236">
        <v>142</v>
      </c>
      <c r="M236">
        <v>238</v>
      </c>
      <c r="N236">
        <v>72</v>
      </c>
      <c r="O236">
        <v>166</v>
      </c>
      <c r="P236">
        <v>182</v>
      </c>
      <c r="Q236">
        <v>532</v>
      </c>
      <c r="R236">
        <v>423</v>
      </c>
      <c r="S236">
        <v>4</v>
      </c>
    </row>
    <row r="237" spans="1:19" x14ac:dyDescent="0.25">
      <c r="A237" t="s">
        <v>394</v>
      </c>
      <c r="B237">
        <v>28</v>
      </c>
      <c r="C237">
        <v>22</v>
      </c>
      <c r="D237">
        <v>337</v>
      </c>
      <c r="E237">
        <v>208</v>
      </c>
      <c r="F237">
        <v>183</v>
      </c>
      <c r="G237">
        <v>122</v>
      </c>
      <c r="H237">
        <v>32</v>
      </c>
      <c r="I237">
        <v>156</v>
      </c>
      <c r="J237">
        <v>316</v>
      </c>
      <c r="K237">
        <v>49.4</v>
      </c>
      <c r="L237">
        <v>160</v>
      </c>
      <c r="M237">
        <v>251</v>
      </c>
      <c r="N237">
        <v>92</v>
      </c>
      <c r="O237">
        <v>159</v>
      </c>
      <c r="P237">
        <v>207</v>
      </c>
      <c r="Q237">
        <v>544</v>
      </c>
      <c r="R237">
        <v>502</v>
      </c>
      <c r="S237">
        <v>4</v>
      </c>
    </row>
    <row r="238" spans="1:19" x14ac:dyDescent="0.25">
      <c r="A238" t="s">
        <v>395</v>
      </c>
      <c r="B238">
        <v>28</v>
      </c>
      <c r="C238">
        <v>22</v>
      </c>
      <c r="D238">
        <v>372</v>
      </c>
      <c r="E238">
        <v>239</v>
      </c>
      <c r="F238">
        <v>197</v>
      </c>
      <c r="G238">
        <v>124</v>
      </c>
      <c r="H238">
        <v>51</v>
      </c>
      <c r="I238">
        <v>200</v>
      </c>
      <c r="J238">
        <v>397</v>
      </c>
      <c r="K238">
        <v>50.4</v>
      </c>
      <c r="L238">
        <v>197</v>
      </c>
      <c r="M238">
        <v>270</v>
      </c>
      <c r="N238">
        <v>77</v>
      </c>
      <c r="O238">
        <v>193</v>
      </c>
      <c r="P238">
        <v>206</v>
      </c>
      <c r="Q238">
        <v>578</v>
      </c>
      <c r="R238">
        <v>421</v>
      </c>
      <c r="S238">
        <v>5</v>
      </c>
    </row>
    <row r="239" spans="1:19" x14ac:dyDescent="0.25">
      <c r="A239" t="s">
        <v>396</v>
      </c>
      <c r="B239">
        <v>24</v>
      </c>
      <c r="C239">
        <v>22</v>
      </c>
      <c r="D239">
        <v>323</v>
      </c>
      <c r="E239">
        <v>202</v>
      </c>
      <c r="F239">
        <v>133</v>
      </c>
      <c r="G239">
        <v>133</v>
      </c>
      <c r="H239">
        <v>57</v>
      </c>
      <c r="I239">
        <v>158</v>
      </c>
      <c r="J239">
        <v>301</v>
      </c>
      <c r="K239">
        <v>52.5</v>
      </c>
      <c r="L239">
        <v>143</v>
      </c>
      <c r="M239">
        <v>209</v>
      </c>
      <c r="N239">
        <v>80</v>
      </c>
      <c r="O239">
        <v>129</v>
      </c>
      <c r="P239">
        <v>198</v>
      </c>
      <c r="Q239">
        <v>521</v>
      </c>
      <c r="R239">
        <v>355</v>
      </c>
      <c r="S239">
        <v>7</v>
      </c>
    </row>
    <row r="240" spans="1:19" x14ac:dyDescent="0.25">
      <c r="A240" t="s">
        <v>397</v>
      </c>
      <c r="B240">
        <v>31</v>
      </c>
      <c r="C240">
        <v>22</v>
      </c>
      <c r="D240">
        <v>396</v>
      </c>
      <c r="E240">
        <v>256</v>
      </c>
      <c r="F240">
        <v>174</v>
      </c>
      <c r="G240">
        <v>163</v>
      </c>
      <c r="H240">
        <v>59</v>
      </c>
      <c r="I240">
        <v>180</v>
      </c>
      <c r="J240">
        <v>344</v>
      </c>
      <c r="K240">
        <v>52.3</v>
      </c>
      <c r="L240">
        <v>164</v>
      </c>
      <c r="M240">
        <v>218</v>
      </c>
      <c r="N240">
        <v>65</v>
      </c>
      <c r="O240">
        <v>153</v>
      </c>
      <c r="P240">
        <v>246</v>
      </c>
      <c r="Q240">
        <v>642</v>
      </c>
      <c r="R240">
        <v>398</v>
      </c>
      <c r="S240">
        <v>4</v>
      </c>
    </row>
    <row r="241" spans="1:19" x14ac:dyDescent="0.25">
      <c r="A241" t="s">
        <v>398</v>
      </c>
      <c r="B241">
        <v>24</v>
      </c>
      <c r="C241">
        <v>22</v>
      </c>
      <c r="D241">
        <v>361</v>
      </c>
      <c r="E241">
        <v>225</v>
      </c>
      <c r="F241">
        <v>177</v>
      </c>
      <c r="G241">
        <v>144</v>
      </c>
      <c r="H241">
        <v>40</v>
      </c>
      <c r="I241">
        <v>171</v>
      </c>
      <c r="J241">
        <v>351</v>
      </c>
      <c r="K241">
        <v>48.7</v>
      </c>
      <c r="L241">
        <v>180</v>
      </c>
      <c r="M241">
        <v>239</v>
      </c>
      <c r="N241">
        <v>70</v>
      </c>
      <c r="O241">
        <v>169</v>
      </c>
      <c r="P241">
        <v>185</v>
      </c>
      <c r="Q241">
        <v>546</v>
      </c>
      <c r="R241">
        <v>347</v>
      </c>
      <c r="S241">
        <v>2</v>
      </c>
    </row>
    <row r="242" spans="1:19" x14ac:dyDescent="0.25">
      <c r="A242" t="s">
        <v>399</v>
      </c>
      <c r="B242">
        <v>25</v>
      </c>
      <c r="C242">
        <v>22</v>
      </c>
      <c r="D242">
        <v>336</v>
      </c>
      <c r="E242">
        <v>206</v>
      </c>
      <c r="F242">
        <v>146</v>
      </c>
      <c r="G242">
        <v>151</v>
      </c>
      <c r="H242">
        <v>39</v>
      </c>
      <c r="I242">
        <v>174</v>
      </c>
      <c r="J242">
        <v>333</v>
      </c>
      <c r="K242">
        <v>52.3</v>
      </c>
      <c r="L242">
        <v>159</v>
      </c>
      <c r="M242">
        <v>239</v>
      </c>
      <c r="N242">
        <v>91</v>
      </c>
      <c r="O242">
        <v>148</v>
      </c>
      <c r="P242">
        <v>234</v>
      </c>
      <c r="Q242">
        <v>570</v>
      </c>
      <c r="R242">
        <v>431</v>
      </c>
      <c r="S242">
        <v>4</v>
      </c>
    </row>
    <row r="243" spans="1:19" x14ac:dyDescent="0.25">
      <c r="A243" t="s">
        <v>400</v>
      </c>
      <c r="B243">
        <v>23</v>
      </c>
      <c r="C243">
        <v>22</v>
      </c>
      <c r="D243">
        <v>363</v>
      </c>
      <c r="E243">
        <v>243</v>
      </c>
      <c r="F243">
        <v>167</v>
      </c>
      <c r="G243">
        <v>150</v>
      </c>
      <c r="H243">
        <v>46</v>
      </c>
      <c r="I243">
        <v>201</v>
      </c>
      <c r="J243">
        <v>385</v>
      </c>
      <c r="K243">
        <v>52.2</v>
      </c>
      <c r="L243">
        <v>184</v>
      </c>
      <c r="M243">
        <v>247</v>
      </c>
      <c r="N243">
        <v>70</v>
      </c>
      <c r="O243">
        <v>177</v>
      </c>
      <c r="P243">
        <v>219</v>
      </c>
      <c r="Q243">
        <v>582</v>
      </c>
      <c r="R243">
        <v>351</v>
      </c>
      <c r="S243">
        <v>7</v>
      </c>
    </row>
    <row r="244" spans="1:19" x14ac:dyDescent="0.25">
      <c r="A244" t="s">
        <v>401</v>
      </c>
      <c r="B244">
        <v>22</v>
      </c>
      <c r="C244">
        <v>22</v>
      </c>
      <c r="D244">
        <v>308</v>
      </c>
      <c r="E244">
        <v>185</v>
      </c>
      <c r="F244">
        <v>148</v>
      </c>
      <c r="G244">
        <v>111</v>
      </c>
      <c r="H244">
        <v>49</v>
      </c>
      <c r="I244">
        <v>154</v>
      </c>
      <c r="J244">
        <v>268</v>
      </c>
      <c r="K244">
        <v>57.5</v>
      </c>
      <c r="L244">
        <v>114</v>
      </c>
      <c r="M244">
        <v>216</v>
      </c>
      <c r="N244">
        <v>67</v>
      </c>
      <c r="O244">
        <v>149</v>
      </c>
      <c r="P244">
        <v>208</v>
      </c>
      <c r="Q244">
        <v>516</v>
      </c>
      <c r="R244">
        <v>402</v>
      </c>
      <c r="S244">
        <v>6</v>
      </c>
    </row>
    <row r="269" spans="1:14" x14ac:dyDescent="0.25">
      <c r="A269" t="s">
        <v>430</v>
      </c>
    </row>
    <row r="270" spans="1:14" x14ac:dyDescent="0.25">
      <c r="A270" t="s">
        <v>190</v>
      </c>
      <c r="B270" t="s">
        <v>191</v>
      </c>
      <c r="C270" t="s">
        <v>192</v>
      </c>
      <c r="D270" t="s">
        <v>193</v>
      </c>
      <c r="E270" t="s">
        <v>194</v>
      </c>
      <c r="F270" t="s">
        <v>12</v>
      </c>
      <c r="G270" t="s">
        <v>195</v>
      </c>
      <c r="H270" t="s">
        <v>12</v>
      </c>
      <c r="I270" t="s">
        <v>196</v>
      </c>
      <c r="J270" t="s">
        <v>17</v>
      </c>
      <c r="K270" t="s">
        <v>197</v>
      </c>
      <c r="L270" t="s">
        <v>198</v>
      </c>
      <c r="M270" t="s">
        <v>199</v>
      </c>
      <c r="N270" t="s">
        <v>20</v>
      </c>
    </row>
    <row r="271" spans="1:14" x14ac:dyDescent="0.25">
      <c r="A271">
        <v>1</v>
      </c>
      <c r="B271" t="s">
        <v>200</v>
      </c>
      <c r="C271" s="15">
        <v>45142</v>
      </c>
      <c r="D271" s="16">
        <v>0.83333333333333337</v>
      </c>
      <c r="E271" t="s">
        <v>395</v>
      </c>
      <c r="F271">
        <v>0.5</v>
      </c>
      <c r="G271" t="s">
        <v>229</v>
      </c>
      <c r="H271">
        <v>1.4</v>
      </c>
      <c r="I271" t="s">
        <v>396</v>
      </c>
      <c r="J271" s="1">
        <v>28558</v>
      </c>
      <c r="K271" t="s">
        <v>431</v>
      </c>
      <c r="L271" t="s">
        <v>231</v>
      </c>
      <c r="M271" t="s">
        <v>199</v>
      </c>
    </row>
    <row r="272" spans="1:14" x14ac:dyDescent="0.25">
      <c r="A272">
        <v>1</v>
      </c>
      <c r="B272" t="s">
        <v>202</v>
      </c>
      <c r="C272" s="15">
        <v>45143</v>
      </c>
      <c r="D272" s="16">
        <v>0.625</v>
      </c>
      <c r="E272" t="s">
        <v>380</v>
      </c>
      <c r="F272">
        <v>0.9</v>
      </c>
      <c r="G272" t="s">
        <v>208</v>
      </c>
      <c r="H272">
        <v>1.3</v>
      </c>
      <c r="I272" t="s">
        <v>392</v>
      </c>
      <c r="J272" s="1">
        <v>29359</v>
      </c>
      <c r="K272" t="s">
        <v>432</v>
      </c>
      <c r="L272" t="s">
        <v>433</v>
      </c>
      <c r="M272" t="s">
        <v>199</v>
      </c>
    </row>
    <row r="273" spans="1:13" x14ac:dyDescent="0.25">
      <c r="A273">
        <v>1</v>
      </c>
      <c r="B273" t="s">
        <v>202</v>
      </c>
      <c r="C273" s="15">
        <v>45143</v>
      </c>
      <c r="D273" s="16">
        <v>0.625</v>
      </c>
      <c r="E273" t="s">
        <v>391</v>
      </c>
      <c r="F273">
        <v>2.4</v>
      </c>
      <c r="G273" t="s">
        <v>218</v>
      </c>
      <c r="H273">
        <v>2</v>
      </c>
      <c r="I273" t="s">
        <v>383</v>
      </c>
      <c r="J273" s="1">
        <v>16446</v>
      </c>
      <c r="K273" t="s">
        <v>434</v>
      </c>
      <c r="L273" t="s">
        <v>435</v>
      </c>
      <c r="M273" t="s">
        <v>199</v>
      </c>
    </row>
    <row r="274" spans="1:13" x14ac:dyDescent="0.25">
      <c r="A274">
        <v>1</v>
      </c>
      <c r="B274" t="s">
        <v>202</v>
      </c>
      <c r="C274" s="15">
        <v>45143</v>
      </c>
      <c r="D274" s="16">
        <v>0.625</v>
      </c>
      <c r="E274" t="s">
        <v>397</v>
      </c>
      <c r="F274">
        <v>2.4</v>
      </c>
      <c r="G274" t="s">
        <v>206</v>
      </c>
      <c r="H274">
        <v>0.9</v>
      </c>
      <c r="I274" t="s">
        <v>394</v>
      </c>
      <c r="J274" s="1">
        <v>22601</v>
      </c>
      <c r="K274" t="s">
        <v>436</v>
      </c>
      <c r="L274" t="s">
        <v>437</v>
      </c>
      <c r="M274" t="s">
        <v>199</v>
      </c>
    </row>
    <row r="275" spans="1:13" x14ac:dyDescent="0.25">
      <c r="A275">
        <v>1</v>
      </c>
      <c r="B275" t="s">
        <v>202</v>
      </c>
      <c r="C275" s="15">
        <v>45143</v>
      </c>
      <c r="D275" s="16">
        <v>0.625</v>
      </c>
      <c r="E275" t="s">
        <v>388</v>
      </c>
      <c r="F275">
        <v>0.8</v>
      </c>
      <c r="G275" t="s">
        <v>204</v>
      </c>
      <c r="H275">
        <v>1.2</v>
      </c>
      <c r="I275" t="s">
        <v>389</v>
      </c>
      <c r="J275" s="1">
        <v>29359</v>
      </c>
      <c r="K275" t="s">
        <v>438</v>
      </c>
      <c r="L275" t="s">
        <v>439</v>
      </c>
      <c r="M275" t="s">
        <v>199</v>
      </c>
    </row>
    <row r="276" spans="1:13" x14ac:dyDescent="0.25">
      <c r="A276">
        <v>1</v>
      </c>
      <c r="B276" t="s">
        <v>202</v>
      </c>
      <c r="C276" s="15">
        <v>45143</v>
      </c>
      <c r="D276" s="16">
        <v>0.625</v>
      </c>
      <c r="E276" t="s">
        <v>400</v>
      </c>
      <c r="F276">
        <v>2.9</v>
      </c>
      <c r="G276" t="s">
        <v>222</v>
      </c>
      <c r="H276">
        <v>0.4</v>
      </c>
      <c r="I276" t="s">
        <v>393</v>
      </c>
      <c r="J276" s="1">
        <v>20087</v>
      </c>
      <c r="K276" t="s">
        <v>440</v>
      </c>
      <c r="L276" t="s">
        <v>219</v>
      </c>
      <c r="M276" t="s">
        <v>199</v>
      </c>
    </row>
    <row r="277" spans="1:13" x14ac:dyDescent="0.25">
      <c r="A277">
        <v>1</v>
      </c>
      <c r="B277" t="s">
        <v>202</v>
      </c>
      <c r="C277" s="15">
        <v>45143</v>
      </c>
      <c r="D277" s="16">
        <v>0.625</v>
      </c>
      <c r="E277" t="s">
        <v>379</v>
      </c>
      <c r="F277">
        <v>1.6</v>
      </c>
      <c r="G277" t="s">
        <v>203</v>
      </c>
      <c r="H277">
        <v>0.8</v>
      </c>
      <c r="I277" t="s">
        <v>401</v>
      </c>
      <c r="J277" s="1">
        <v>16741</v>
      </c>
      <c r="K277" t="s">
        <v>441</v>
      </c>
      <c r="L277" t="s">
        <v>442</v>
      </c>
      <c r="M277" t="s">
        <v>199</v>
      </c>
    </row>
    <row r="278" spans="1:13" x14ac:dyDescent="0.25">
      <c r="A278">
        <v>1</v>
      </c>
      <c r="B278" t="s">
        <v>202</v>
      </c>
      <c r="C278" s="15">
        <v>45143</v>
      </c>
      <c r="D278" s="16">
        <v>0.625</v>
      </c>
      <c r="E278" t="s">
        <v>390</v>
      </c>
      <c r="F278">
        <v>2.6</v>
      </c>
      <c r="G278" t="s">
        <v>203</v>
      </c>
      <c r="H278">
        <v>0.4</v>
      </c>
      <c r="I278" t="s">
        <v>384</v>
      </c>
      <c r="J278" s="1">
        <v>25892</v>
      </c>
      <c r="K278" t="s">
        <v>443</v>
      </c>
      <c r="L278" t="s">
        <v>444</v>
      </c>
      <c r="M278" t="s">
        <v>199</v>
      </c>
    </row>
    <row r="279" spans="1:13" x14ac:dyDescent="0.25">
      <c r="A279">
        <v>1</v>
      </c>
      <c r="B279" t="s">
        <v>202</v>
      </c>
      <c r="C279" s="15">
        <v>45143</v>
      </c>
      <c r="D279" s="16">
        <v>0.625</v>
      </c>
      <c r="E279" t="s">
        <v>399</v>
      </c>
      <c r="F279">
        <v>1.3</v>
      </c>
      <c r="G279" t="s">
        <v>208</v>
      </c>
      <c r="H279">
        <v>0.8</v>
      </c>
      <c r="I279" t="s">
        <v>378</v>
      </c>
      <c r="J279" s="1">
        <v>18051</v>
      </c>
      <c r="K279" t="s">
        <v>445</v>
      </c>
      <c r="L279" t="s">
        <v>446</v>
      </c>
      <c r="M279" t="s">
        <v>199</v>
      </c>
    </row>
    <row r="280" spans="1:13" x14ac:dyDescent="0.25">
      <c r="A280">
        <v>1</v>
      </c>
      <c r="B280" t="s">
        <v>211</v>
      </c>
      <c r="C280" s="15">
        <v>45144</v>
      </c>
      <c r="D280" s="16">
        <v>0.5</v>
      </c>
      <c r="E280" t="s">
        <v>387</v>
      </c>
      <c r="F280">
        <v>1.5</v>
      </c>
      <c r="G280" t="s">
        <v>203</v>
      </c>
      <c r="H280">
        <v>1.8</v>
      </c>
      <c r="I280" t="s">
        <v>382</v>
      </c>
      <c r="J280" s="1">
        <v>31763</v>
      </c>
      <c r="K280" t="s">
        <v>447</v>
      </c>
      <c r="L280" t="s">
        <v>217</v>
      </c>
      <c r="M280" t="s">
        <v>199</v>
      </c>
    </row>
    <row r="281" spans="1:13" x14ac:dyDescent="0.25">
      <c r="A281">
        <v>1</v>
      </c>
      <c r="B281" t="s">
        <v>211</v>
      </c>
      <c r="C281" s="15">
        <v>45144</v>
      </c>
      <c r="D281" s="16">
        <v>0.60416666666666663</v>
      </c>
      <c r="E281" t="s">
        <v>386</v>
      </c>
      <c r="F281">
        <v>1.7</v>
      </c>
      <c r="G281" t="s">
        <v>212</v>
      </c>
      <c r="H281">
        <v>1.2</v>
      </c>
      <c r="I281" t="s">
        <v>381</v>
      </c>
      <c r="J281" s="1">
        <v>36368</v>
      </c>
      <c r="K281" t="s">
        <v>448</v>
      </c>
      <c r="L281" t="s">
        <v>234</v>
      </c>
      <c r="M281" t="s">
        <v>199</v>
      </c>
    </row>
    <row r="282" spans="1:13" x14ac:dyDescent="0.25">
      <c r="A282">
        <v>1</v>
      </c>
      <c r="B282" t="s">
        <v>211</v>
      </c>
      <c r="C282" s="15">
        <v>45144</v>
      </c>
      <c r="D282" s="16">
        <v>0.70833333333333337</v>
      </c>
      <c r="E282" t="s">
        <v>398</v>
      </c>
      <c r="F282">
        <v>1.9</v>
      </c>
      <c r="G282" t="s">
        <v>229</v>
      </c>
      <c r="H282">
        <v>1.2</v>
      </c>
      <c r="I282" t="s">
        <v>385</v>
      </c>
      <c r="J282" s="1">
        <v>44407</v>
      </c>
      <c r="K282" t="s">
        <v>449</v>
      </c>
      <c r="L282" t="s">
        <v>240</v>
      </c>
      <c r="M282" t="s">
        <v>199</v>
      </c>
    </row>
    <row r="283" spans="1:13" x14ac:dyDescent="0.25">
      <c r="C283" s="15"/>
      <c r="D283" s="16"/>
      <c r="J283" s="1"/>
    </row>
    <row r="284" spans="1:13" x14ac:dyDescent="0.25">
      <c r="A284">
        <v>2</v>
      </c>
      <c r="B284" t="s">
        <v>202</v>
      </c>
      <c r="C284" s="15">
        <v>45150</v>
      </c>
      <c r="D284" s="16">
        <v>0.52083333333333337</v>
      </c>
      <c r="E284" t="s">
        <v>382</v>
      </c>
      <c r="F284">
        <v>0.9</v>
      </c>
      <c r="G284" t="s">
        <v>223</v>
      </c>
      <c r="H284">
        <v>1.3</v>
      </c>
      <c r="I284" t="s">
        <v>388</v>
      </c>
      <c r="J284" s="1">
        <v>24080</v>
      </c>
      <c r="K284" t="s">
        <v>450</v>
      </c>
      <c r="L284" t="s">
        <v>442</v>
      </c>
      <c r="M284" t="s">
        <v>199</v>
      </c>
    </row>
    <row r="285" spans="1:13" x14ac:dyDescent="0.25">
      <c r="A285">
        <v>2</v>
      </c>
      <c r="B285" t="s">
        <v>202</v>
      </c>
      <c r="C285" s="15">
        <v>45150</v>
      </c>
      <c r="D285" s="16">
        <v>0.625</v>
      </c>
      <c r="E285" t="s">
        <v>383</v>
      </c>
      <c r="F285">
        <v>1.2</v>
      </c>
      <c r="G285" t="s">
        <v>204</v>
      </c>
      <c r="H285">
        <v>1.4</v>
      </c>
      <c r="I285" t="s">
        <v>387</v>
      </c>
      <c r="J285" s="1">
        <v>19541</v>
      </c>
      <c r="K285" t="s">
        <v>451</v>
      </c>
      <c r="L285" t="s">
        <v>433</v>
      </c>
      <c r="M285" t="s">
        <v>199</v>
      </c>
    </row>
    <row r="286" spans="1:13" x14ac:dyDescent="0.25">
      <c r="A286">
        <v>2</v>
      </c>
      <c r="B286" t="s">
        <v>202</v>
      </c>
      <c r="C286" s="15">
        <v>45150</v>
      </c>
      <c r="D286" s="16">
        <v>0.625</v>
      </c>
      <c r="E286" t="s">
        <v>401</v>
      </c>
      <c r="F286">
        <v>1.9</v>
      </c>
      <c r="G286" t="s">
        <v>226</v>
      </c>
      <c r="H286">
        <v>2.1</v>
      </c>
      <c r="I286" t="s">
        <v>399</v>
      </c>
      <c r="J286" s="1"/>
      <c r="K286" t="s">
        <v>452</v>
      </c>
      <c r="L286" t="s">
        <v>240</v>
      </c>
      <c r="M286" t="s">
        <v>199</v>
      </c>
    </row>
    <row r="287" spans="1:13" x14ac:dyDescent="0.25">
      <c r="A287">
        <v>2</v>
      </c>
      <c r="B287" t="s">
        <v>202</v>
      </c>
      <c r="C287" s="15">
        <v>45150</v>
      </c>
      <c r="D287" s="16">
        <v>0.625</v>
      </c>
      <c r="E287" t="s">
        <v>381</v>
      </c>
      <c r="F287">
        <v>2</v>
      </c>
      <c r="G287" t="s">
        <v>229</v>
      </c>
      <c r="H287">
        <v>1.3</v>
      </c>
      <c r="I287" t="s">
        <v>393</v>
      </c>
      <c r="J287" s="1">
        <v>21230</v>
      </c>
      <c r="K287" t="s">
        <v>453</v>
      </c>
      <c r="L287" t="s">
        <v>454</v>
      </c>
      <c r="M287" t="s">
        <v>199</v>
      </c>
    </row>
    <row r="288" spans="1:13" x14ac:dyDescent="0.25">
      <c r="A288">
        <v>2</v>
      </c>
      <c r="B288" t="s">
        <v>202</v>
      </c>
      <c r="C288" s="15">
        <v>45150</v>
      </c>
      <c r="D288" s="16">
        <v>0.625</v>
      </c>
      <c r="E288" t="s">
        <v>400</v>
      </c>
      <c r="F288">
        <v>1.2</v>
      </c>
      <c r="G288" t="s">
        <v>233</v>
      </c>
      <c r="H288">
        <v>1</v>
      </c>
      <c r="I288" t="s">
        <v>391</v>
      </c>
      <c r="J288" s="1">
        <v>19446</v>
      </c>
      <c r="K288" t="s">
        <v>440</v>
      </c>
      <c r="L288" t="s">
        <v>455</v>
      </c>
      <c r="M288" t="s">
        <v>199</v>
      </c>
    </row>
    <row r="289" spans="1:13" x14ac:dyDescent="0.25">
      <c r="A289">
        <v>2</v>
      </c>
      <c r="B289" t="s">
        <v>202</v>
      </c>
      <c r="C289" s="15">
        <v>45150</v>
      </c>
      <c r="D289" s="16">
        <v>0.625</v>
      </c>
      <c r="E289" t="s">
        <v>385</v>
      </c>
      <c r="F289">
        <v>2</v>
      </c>
      <c r="G289" t="s">
        <v>221</v>
      </c>
      <c r="H289">
        <v>0.6</v>
      </c>
      <c r="I289" t="s">
        <v>397</v>
      </c>
      <c r="J289" s="1">
        <v>29006</v>
      </c>
      <c r="K289" t="s">
        <v>456</v>
      </c>
      <c r="L289" t="s">
        <v>234</v>
      </c>
      <c r="M289" t="s">
        <v>199</v>
      </c>
    </row>
    <row r="290" spans="1:13" x14ac:dyDescent="0.25">
      <c r="A290">
        <v>2</v>
      </c>
      <c r="B290" t="s">
        <v>202</v>
      </c>
      <c r="C290" s="15">
        <v>45150</v>
      </c>
      <c r="D290" s="16">
        <v>0.625</v>
      </c>
      <c r="E290" t="s">
        <v>392</v>
      </c>
      <c r="F290">
        <v>0.7</v>
      </c>
      <c r="G290" t="s">
        <v>203</v>
      </c>
      <c r="H290">
        <v>1.6</v>
      </c>
      <c r="I290" t="s">
        <v>398</v>
      </c>
      <c r="J290" s="1">
        <v>19892</v>
      </c>
      <c r="K290" t="s">
        <v>457</v>
      </c>
      <c r="L290" t="s">
        <v>446</v>
      </c>
      <c r="M290" t="s">
        <v>199</v>
      </c>
    </row>
    <row r="291" spans="1:13" x14ac:dyDescent="0.25">
      <c r="A291">
        <v>2</v>
      </c>
      <c r="B291" t="s">
        <v>202</v>
      </c>
      <c r="C291" s="15">
        <v>45150</v>
      </c>
      <c r="D291" s="16">
        <v>0.625</v>
      </c>
      <c r="E291" t="s">
        <v>394</v>
      </c>
      <c r="F291">
        <v>0.7</v>
      </c>
      <c r="G291" t="s">
        <v>212</v>
      </c>
      <c r="H291">
        <v>2.6</v>
      </c>
      <c r="I291" t="s">
        <v>379</v>
      </c>
      <c r="J291" s="1">
        <v>10828</v>
      </c>
      <c r="K291" t="s">
        <v>458</v>
      </c>
      <c r="L291" t="s">
        <v>231</v>
      </c>
      <c r="M291" t="s">
        <v>199</v>
      </c>
    </row>
    <row r="292" spans="1:13" x14ac:dyDescent="0.25">
      <c r="A292">
        <v>2</v>
      </c>
      <c r="B292" t="s">
        <v>202</v>
      </c>
      <c r="C292" s="15">
        <v>45150</v>
      </c>
      <c r="D292" s="16">
        <v>0.625</v>
      </c>
      <c r="E292" t="s">
        <v>384</v>
      </c>
      <c r="F292">
        <v>2</v>
      </c>
      <c r="G292" t="s">
        <v>459</v>
      </c>
      <c r="H292">
        <v>0.5</v>
      </c>
      <c r="I292" t="s">
        <v>395</v>
      </c>
      <c r="J292" s="1">
        <v>20410</v>
      </c>
      <c r="K292" t="s">
        <v>460</v>
      </c>
      <c r="L292" t="s">
        <v>435</v>
      </c>
      <c r="M292" t="s">
        <v>199</v>
      </c>
    </row>
    <row r="293" spans="1:13" x14ac:dyDescent="0.25">
      <c r="A293">
        <v>2</v>
      </c>
      <c r="B293" t="s">
        <v>202</v>
      </c>
      <c r="C293" s="15">
        <v>45150</v>
      </c>
      <c r="D293" s="16">
        <v>0.625</v>
      </c>
      <c r="E293" t="s">
        <v>396</v>
      </c>
      <c r="F293">
        <v>3.7</v>
      </c>
      <c r="G293" t="s">
        <v>243</v>
      </c>
      <c r="H293">
        <v>2</v>
      </c>
      <c r="I293" t="s">
        <v>390</v>
      </c>
      <c r="J293" s="1">
        <v>30113</v>
      </c>
      <c r="K293" t="s">
        <v>461</v>
      </c>
      <c r="L293" t="s">
        <v>232</v>
      </c>
      <c r="M293" t="s">
        <v>199</v>
      </c>
    </row>
    <row r="294" spans="1:13" x14ac:dyDescent="0.25">
      <c r="A294">
        <v>2</v>
      </c>
      <c r="B294" t="s">
        <v>202</v>
      </c>
      <c r="C294" s="15">
        <v>45150</v>
      </c>
      <c r="D294" s="16">
        <v>0.625</v>
      </c>
      <c r="E294" t="s">
        <v>389</v>
      </c>
      <c r="F294">
        <v>0.5</v>
      </c>
      <c r="G294" t="s">
        <v>204</v>
      </c>
      <c r="H294">
        <v>0.9</v>
      </c>
      <c r="I294" t="s">
        <v>380</v>
      </c>
      <c r="J294" s="1">
        <v>18905</v>
      </c>
      <c r="K294" t="s">
        <v>462</v>
      </c>
      <c r="L294" t="s">
        <v>444</v>
      </c>
      <c r="M294" t="s">
        <v>199</v>
      </c>
    </row>
    <row r="295" spans="1:13" x14ac:dyDescent="0.25">
      <c r="A295">
        <v>2</v>
      </c>
      <c r="B295" t="s">
        <v>202</v>
      </c>
      <c r="C295" s="15">
        <v>45150</v>
      </c>
      <c r="D295" s="16">
        <v>0.625</v>
      </c>
      <c r="E295" t="s">
        <v>378</v>
      </c>
      <c r="F295">
        <v>1.6</v>
      </c>
      <c r="G295" t="s">
        <v>215</v>
      </c>
      <c r="H295">
        <v>0.4</v>
      </c>
      <c r="I295" t="s">
        <v>386</v>
      </c>
      <c r="J295" s="1">
        <v>20451</v>
      </c>
      <c r="K295" t="s">
        <v>463</v>
      </c>
      <c r="L295" t="s">
        <v>225</v>
      </c>
      <c r="M295" t="s">
        <v>199</v>
      </c>
    </row>
    <row r="296" spans="1:13" x14ac:dyDescent="0.25">
      <c r="C296" s="15"/>
      <c r="D296" s="16"/>
      <c r="J296" s="1"/>
    </row>
    <row r="297" spans="1:13" x14ac:dyDescent="0.25">
      <c r="A297">
        <v>3</v>
      </c>
      <c r="B297" t="s">
        <v>200</v>
      </c>
      <c r="C297" s="15">
        <v>45156</v>
      </c>
      <c r="D297" s="16">
        <v>0.83333333333333337</v>
      </c>
      <c r="E297" t="s">
        <v>386</v>
      </c>
      <c r="F297">
        <v>1.8</v>
      </c>
      <c r="G297" t="s">
        <v>208</v>
      </c>
      <c r="H297">
        <v>0.3</v>
      </c>
      <c r="I297" t="s">
        <v>401</v>
      </c>
      <c r="J297" s="1">
        <v>33890</v>
      </c>
      <c r="K297" t="s">
        <v>448</v>
      </c>
      <c r="L297" t="s">
        <v>435</v>
      </c>
      <c r="M297" t="s">
        <v>199</v>
      </c>
    </row>
    <row r="298" spans="1:13" x14ac:dyDescent="0.25">
      <c r="A298">
        <v>3</v>
      </c>
      <c r="B298" t="s">
        <v>202</v>
      </c>
      <c r="C298" s="15">
        <v>45157</v>
      </c>
      <c r="D298" s="16">
        <v>0.52083333333333337</v>
      </c>
      <c r="E298" t="s">
        <v>391</v>
      </c>
      <c r="F298">
        <v>1.4</v>
      </c>
      <c r="G298" t="s">
        <v>229</v>
      </c>
      <c r="H298">
        <v>2</v>
      </c>
      <c r="I298" t="s">
        <v>396</v>
      </c>
      <c r="J298" s="1">
        <v>16392</v>
      </c>
      <c r="K298" t="s">
        <v>434</v>
      </c>
      <c r="L298" t="s">
        <v>433</v>
      </c>
      <c r="M298" t="s">
        <v>199</v>
      </c>
    </row>
    <row r="299" spans="1:13" x14ac:dyDescent="0.25">
      <c r="A299">
        <v>3</v>
      </c>
      <c r="B299" t="s">
        <v>202</v>
      </c>
      <c r="C299" s="15">
        <v>45157</v>
      </c>
      <c r="D299" s="16">
        <v>0.625</v>
      </c>
      <c r="E299" t="s">
        <v>387</v>
      </c>
      <c r="F299">
        <v>0.7</v>
      </c>
      <c r="G299" t="s">
        <v>203</v>
      </c>
      <c r="H299">
        <v>1.1000000000000001</v>
      </c>
      <c r="I299" t="s">
        <v>381</v>
      </c>
      <c r="J299" s="1">
        <v>31595</v>
      </c>
      <c r="K299" t="s">
        <v>447</v>
      </c>
      <c r="L299" t="s">
        <v>238</v>
      </c>
      <c r="M299" t="s">
        <v>199</v>
      </c>
    </row>
    <row r="300" spans="1:13" x14ac:dyDescent="0.25">
      <c r="A300">
        <v>3</v>
      </c>
      <c r="B300" t="s">
        <v>202</v>
      </c>
      <c r="C300" s="15">
        <v>45157</v>
      </c>
      <c r="D300" s="16">
        <v>0.625</v>
      </c>
      <c r="E300" t="s">
        <v>397</v>
      </c>
      <c r="F300">
        <v>0.9</v>
      </c>
      <c r="G300" t="s">
        <v>215</v>
      </c>
      <c r="H300">
        <v>0.7</v>
      </c>
      <c r="I300" t="s">
        <v>400</v>
      </c>
      <c r="J300" s="1">
        <v>21183</v>
      </c>
      <c r="K300" t="s">
        <v>436</v>
      </c>
      <c r="L300" t="s">
        <v>464</v>
      </c>
      <c r="M300" t="s">
        <v>199</v>
      </c>
    </row>
    <row r="301" spans="1:13" x14ac:dyDescent="0.25">
      <c r="A301">
        <v>3</v>
      </c>
      <c r="B301" t="s">
        <v>202</v>
      </c>
      <c r="C301" s="15">
        <v>45157</v>
      </c>
      <c r="D301" s="16">
        <v>0.625</v>
      </c>
      <c r="E301" t="s">
        <v>380</v>
      </c>
      <c r="F301">
        <v>0.8</v>
      </c>
      <c r="G301" t="s">
        <v>224</v>
      </c>
      <c r="H301">
        <v>1.3</v>
      </c>
      <c r="I301" t="s">
        <v>378</v>
      </c>
      <c r="J301" s="1">
        <v>22397</v>
      </c>
      <c r="K301" t="s">
        <v>432</v>
      </c>
      <c r="L301" t="s">
        <v>240</v>
      </c>
      <c r="M301" t="s">
        <v>199</v>
      </c>
    </row>
    <row r="302" spans="1:13" x14ac:dyDescent="0.25">
      <c r="A302">
        <v>3</v>
      </c>
      <c r="B302" t="s">
        <v>202</v>
      </c>
      <c r="C302" s="15">
        <v>45157</v>
      </c>
      <c r="D302" s="16">
        <v>0.625</v>
      </c>
      <c r="E302" t="s">
        <v>388</v>
      </c>
      <c r="F302">
        <v>2</v>
      </c>
      <c r="G302" t="s">
        <v>208</v>
      </c>
      <c r="H302">
        <v>1.2</v>
      </c>
      <c r="I302" t="s">
        <v>383</v>
      </c>
      <c r="J302" s="1">
        <v>26257</v>
      </c>
      <c r="K302" t="s">
        <v>438</v>
      </c>
      <c r="L302" t="s">
        <v>234</v>
      </c>
      <c r="M302" t="s">
        <v>199</v>
      </c>
    </row>
    <row r="303" spans="1:13" x14ac:dyDescent="0.25">
      <c r="A303">
        <v>3</v>
      </c>
      <c r="B303" t="s">
        <v>202</v>
      </c>
      <c r="C303" s="15">
        <v>45157</v>
      </c>
      <c r="D303" s="16">
        <v>0.625</v>
      </c>
      <c r="E303" t="s">
        <v>399</v>
      </c>
      <c r="F303">
        <v>0.7</v>
      </c>
      <c r="G303" t="s">
        <v>208</v>
      </c>
      <c r="H303">
        <v>0.9</v>
      </c>
      <c r="I303" t="s">
        <v>382</v>
      </c>
      <c r="J303" s="1">
        <v>16736</v>
      </c>
      <c r="K303" t="s">
        <v>445</v>
      </c>
      <c r="L303" t="s">
        <v>231</v>
      </c>
      <c r="M303" t="s">
        <v>199</v>
      </c>
    </row>
    <row r="304" spans="1:13" x14ac:dyDescent="0.25">
      <c r="A304">
        <v>3</v>
      </c>
      <c r="B304" t="s">
        <v>202</v>
      </c>
      <c r="C304" s="15">
        <v>45157</v>
      </c>
      <c r="D304" s="16">
        <v>0.625</v>
      </c>
      <c r="E304" t="s">
        <v>393</v>
      </c>
      <c r="F304">
        <v>0.9</v>
      </c>
      <c r="G304" t="s">
        <v>204</v>
      </c>
      <c r="H304">
        <v>1.3</v>
      </c>
      <c r="I304" t="s">
        <v>385</v>
      </c>
      <c r="J304" s="1">
        <v>16790</v>
      </c>
      <c r="K304" t="s">
        <v>465</v>
      </c>
      <c r="L304" t="s">
        <v>455</v>
      </c>
      <c r="M304" t="s">
        <v>199</v>
      </c>
    </row>
    <row r="305" spans="1:13" x14ac:dyDescent="0.25">
      <c r="A305">
        <v>3</v>
      </c>
      <c r="B305" t="s">
        <v>202</v>
      </c>
      <c r="C305" s="15">
        <v>45157</v>
      </c>
      <c r="D305" s="16">
        <v>0.625</v>
      </c>
      <c r="E305" t="s">
        <v>398</v>
      </c>
      <c r="F305">
        <v>1.4</v>
      </c>
      <c r="G305" t="s">
        <v>203</v>
      </c>
      <c r="H305">
        <v>0.6</v>
      </c>
      <c r="I305" t="s">
        <v>394</v>
      </c>
      <c r="J305" s="1">
        <v>40688</v>
      </c>
      <c r="K305" t="s">
        <v>449</v>
      </c>
      <c r="L305" t="s">
        <v>439</v>
      </c>
      <c r="M305" t="s">
        <v>199</v>
      </c>
    </row>
    <row r="306" spans="1:13" x14ac:dyDescent="0.25">
      <c r="A306">
        <v>3</v>
      </c>
      <c r="B306" t="s">
        <v>202</v>
      </c>
      <c r="C306" s="15">
        <v>45157</v>
      </c>
      <c r="D306" s="16">
        <v>0.625</v>
      </c>
      <c r="E306" t="s">
        <v>379</v>
      </c>
      <c r="F306">
        <v>1.6</v>
      </c>
      <c r="G306" t="s">
        <v>229</v>
      </c>
      <c r="H306">
        <v>2.1</v>
      </c>
      <c r="I306" t="s">
        <v>384</v>
      </c>
      <c r="J306" s="1">
        <v>13943</v>
      </c>
      <c r="K306" t="s">
        <v>441</v>
      </c>
      <c r="L306" t="s">
        <v>454</v>
      </c>
      <c r="M306" t="s">
        <v>199</v>
      </c>
    </row>
    <row r="307" spans="1:13" x14ac:dyDescent="0.25">
      <c r="A307">
        <v>3</v>
      </c>
      <c r="B307" t="s">
        <v>202</v>
      </c>
      <c r="C307" s="15">
        <v>45157</v>
      </c>
      <c r="D307" s="16">
        <v>0.625</v>
      </c>
      <c r="E307" t="s">
        <v>395</v>
      </c>
      <c r="F307">
        <v>0.5</v>
      </c>
      <c r="G307" t="s">
        <v>204</v>
      </c>
      <c r="H307">
        <v>0.4</v>
      </c>
      <c r="I307" t="s">
        <v>392</v>
      </c>
      <c r="J307" s="1">
        <v>25138</v>
      </c>
      <c r="K307" t="s">
        <v>431</v>
      </c>
      <c r="L307" t="s">
        <v>466</v>
      </c>
      <c r="M307" t="s">
        <v>199</v>
      </c>
    </row>
    <row r="308" spans="1:13" x14ac:dyDescent="0.25">
      <c r="A308">
        <v>3</v>
      </c>
      <c r="B308" t="s">
        <v>211</v>
      </c>
      <c r="C308" s="15">
        <v>45158</v>
      </c>
      <c r="D308" s="16">
        <v>0.5</v>
      </c>
      <c r="E308" t="s">
        <v>390</v>
      </c>
      <c r="F308">
        <v>1.7</v>
      </c>
      <c r="G308" t="s">
        <v>218</v>
      </c>
      <c r="H308">
        <v>0.5</v>
      </c>
      <c r="I308" t="s">
        <v>389</v>
      </c>
      <c r="J308" s="1">
        <v>26218</v>
      </c>
      <c r="K308" t="s">
        <v>443</v>
      </c>
      <c r="L308" t="s">
        <v>235</v>
      </c>
      <c r="M308" t="s">
        <v>199</v>
      </c>
    </row>
    <row r="309" spans="1:13" x14ac:dyDescent="0.25">
      <c r="C309" s="15"/>
      <c r="D309" s="16"/>
      <c r="J309" s="1"/>
    </row>
    <row r="310" spans="1:13" x14ac:dyDescent="0.25">
      <c r="A310">
        <v>4</v>
      </c>
      <c r="B310" t="s">
        <v>200</v>
      </c>
      <c r="C310" s="15">
        <v>45163</v>
      </c>
      <c r="D310" s="16">
        <v>0.8125</v>
      </c>
      <c r="E310" t="s">
        <v>384</v>
      </c>
      <c r="F310">
        <v>1.5</v>
      </c>
      <c r="G310" t="s">
        <v>208</v>
      </c>
      <c r="H310">
        <v>3.6</v>
      </c>
      <c r="I310" t="s">
        <v>380</v>
      </c>
      <c r="J310" s="1">
        <v>19491</v>
      </c>
      <c r="K310" t="s">
        <v>460</v>
      </c>
      <c r="L310" t="s">
        <v>446</v>
      </c>
      <c r="M310" t="s">
        <v>199</v>
      </c>
    </row>
    <row r="311" spans="1:13" x14ac:dyDescent="0.25">
      <c r="A311">
        <v>4</v>
      </c>
      <c r="B311" t="s">
        <v>202</v>
      </c>
      <c r="C311" s="15">
        <v>45164</v>
      </c>
      <c r="D311" s="16">
        <v>0.625</v>
      </c>
      <c r="E311" t="s">
        <v>392</v>
      </c>
      <c r="F311">
        <v>0.6</v>
      </c>
      <c r="G311" t="s">
        <v>203</v>
      </c>
      <c r="H311">
        <v>0.3</v>
      </c>
      <c r="I311" t="s">
        <v>399</v>
      </c>
      <c r="J311" s="1">
        <v>14464</v>
      </c>
      <c r="K311" t="s">
        <v>457</v>
      </c>
      <c r="L311" t="s">
        <v>234</v>
      </c>
      <c r="M311" t="s">
        <v>199</v>
      </c>
    </row>
    <row r="312" spans="1:13" x14ac:dyDescent="0.25">
      <c r="A312">
        <v>4</v>
      </c>
      <c r="B312" t="s">
        <v>202</v>
      </c>
      <c r="C312" s="15">
        <v>45164</v>
      </c>
      <c r="D312" s="16">
        <v>0.625</v>
      </c>
      <c r="E312" t="s">
        <v>385</v>
      </c>
      <c r="F312">
        <v>2.4</v>
      </c>
      <c r="G312" t="s">
        <v>246</v>
      </c>
      <c r="H312">
        <v>1.6</v>
      </c>
      <c r="I312" t="s">
        <v>386</v>
      </c>
      <c r="J312" s="1">
        <v>29606</v>
      </c>
      <c r="K312" t="s">
        <v>456</v>
      </c>
      <c r="L312" t="s">
        <v>231</v>
      </c>
      <c r="M312" t="s">
        <v>199</v>
      </c>
    </row>
    <row r="313" spans="1:13" x14ac:dyDescent="0.25">
      <c r="A313">
        <v>4</v>
      </c>
      <c r="B313" t="s">
        <v>202</v>
      </c>
      <c r="C313" s="15">
        <v>45164</v>
      </c>
      <c r="D313" s="16">
        <v>0.625</v>
      </c>
      <c r="E313" t="s">
        <v>394</v>
      </c>
      <c r="F313">
        <v>0.6</v>
      </c>
      <c r="G313" t="s">
        <v>229</v>
      </c>
      <c r="H313">
        <v>1.4</v>
      </c>
      <c r="I313" t="s">
        <v>387</v>
      </c>
      <c r="J313" s="1">
        <v>11418</v>
      </c>
      <c r="K313" t="s">
        <v>458</v>
      </c>
      <c r="L313" t="s">
        <v>216</v>
      </c>
      <c r="M313" t="s">
        <v>199</v>
      </c>
    </row>
    <row r="314" spans="1:13" x14ac:dyDescent="0.25">
      <c r="A314">
        <v>4</v>
      </c>
      <c r="B314" t="s">
        <v>202</v>
      </c>
      <c r="C314" s="15">
        <v>45164</v>
      </c>
      <c r="D314" s="16">
        <v>0.625</v>
      </c>
      <c r="E314" t="s">
        <v>383</v>
      </c>
      <c r="F314">
        <v>1</v>
      </c>
      <c r="G314" t="s">
        <v>237</v>
      </c>
      <c r="H314">
        <v>2.5</v>
      </c>
      <c r="I314" t="s">
        <v>390</v>
      </c>
      <c r="J314" s="1">
        <v>18708</v>
      </c>
      <c r="K314" t="s">
        <v>451</v>
      </c>
      <c r="L314" t="s">
        <v>442</v>
      </c>
      <c r="M314" t="s">
        <v>199</v>
      </c>
    </row>
    <row r="315" spans="1:13" x14ac:dyDescent="0.25">
      <c r="A315">
        <v>4</v>
      </c>
      <c r="B315" t="s">
        <v>202</v>
      </c>
      <c r="C315" s="15">
        <v>45164</v>
      </c>
      <c r="D315" s="16">
        <v>0.625</v>
      </c>
      <c r="E315" t="s">
        <v>381</v>
      </c>
      <c r="F315">
        <v>1.9</v>
      </c>
      <c r="G315" t="s">
        <v>203</v>
      </c>
      <c r="H315">
        <v>0.8</v>
      </c>
      <c r="I315" t="s">
        <v>395</v>
      </c>
      <c r="J315" s="1">
        <v>21058</v>
      </c>
      <c r="K315" t="s">
        <v>453</v>
      </c>
      <c r="L315" t="s">
        <v>217</v>
      </c>
      <c r="M315" t="s">
        <v>199</v>
      </c>
    </row>
    <row r="316" spans="1:13" x14ac:dyDescent="0.25">
      <c r="A316">
        <v>4</v>
      </c>
      <c r="B316" t="s">
        <v>202</v>
      </c>
      <c r="C316" s="15">
        <v>45164</v>
      </c>
      <c r="D316" s="16">
        <v>0.625</v>
      </c>
      <c r="E316" t="s">
        <v>382</v>
      </c>
      <c r="F316">
        <v>1.6</v>
      </c>
      <c r="G316" t="s">
        <v>233</v>
      </c>
      <c r="H316">
        <v>0.7</v>
      </c>
      <c r="I316" t="s">
        <v>398</v>
      </c>
      <c r="J316" s="1">
        <v>25714</v>
      </c>
      <c r="K316" t="s">
        <v>450</v>
      </c>
      <c r="L316" t="s">
        <v>444</v>
      </c>
      <c r="M316" t="s">
        <v>199</v>
      </c>
    </row>
    <row r="317" spans="1:13" x14ac:dyDescent="0.25">
      <c r="A317">
        <v>4</v>
      </c>
      <c r="B317" t="s">
        <v>202</v>
      </c>
      <c r="C317" s="15">
        <v>45164</v>
      </c>
      <c r="D317" s="16">
        <v>0.625</v>
      </c>
      <c r="E317" t="s">
        <v>378</v>
      </c>
      <c r="F317">
        <v>2.2000000000000002</v>
      </c>
      <c r="G317" t="s">
        <v>203</v>
      </c>
      <c r="H317">
        <v>1.6</v>
      </c>
      <c r="I317" t="s">
        <v>391</v>
      </c>
      <c r="J317" s="1">
        <v>20685</v>
      </c>
      <c r="K317" t="s">
        <v>463</v>
      </c>
      <c r="L317" t="s">
        <v>437</v>
      </c>
      <c r="M317" t="s">
        <v>199</v>
      </c>
    </row>
    <row r="318" spans="1:13" x14ac:dyDescent="0.25">
      <c r="A318">
        <v>4</v>
      </c>
      <c r="B318" t="s">
        <v>202</v>
      </c>
      <c r="C318" s="15">
        <v>45164</v>
      </c>
      <c r="D318" s="16">
        <v>0.625</v>
      </c>
      <c r="E318" t="s">
        <v>389</v>
      </c>
      <c r="F318">
        <v>1</v>
      </c>
      <c r="G318" t="s">
        <v>215</v>
      </c>
      <c r="H318">
        <v>1.6</v>
      </c>
      <c r="I318" t="s">
        <v>397</v>
      </c>
      <c r="J318" s="1">
        <v>15254</v>
      </c>
      <c r="K318" t="s">
        <v>462</v>
      </c>
      <c r="L318" t="s">
        <v>433</v>
      </c>
      <c r="M318" t="s">
        <v>199</v>
      </c>
    </row>
    <row r="319" spans="1:13" x14ac:dyDescent="0.25">
      <c r="A319">
        <v>4</v>
      </c>
      <c r="B319" t="s">
        <v>202</v>
      </c>
      <c r="C319" s="15">
        <v>45164</v>
      </c>
      <c r="D319" s="16">
        <v>0.625</v>
      </c>
      <c r="E319" t="s">
        <v>401</v>
      </c>
      <c r="F319">
        <v>0.6</v>
      </c>
      <c r="G319" t="s">
        <v>459</v>
      </c>
      <c r="H319">
        <v>1.8</v>
      </c>
      <c r="I319" t="s">
        <v>388</v>
      </c>
      <c r="J319" s="1">
        <v>23691</v>
      </c>
      <c r="K319" t="s">
        <v>452</v>
      </c>
      <c r="L319" t="s">
        <v>466</v>
      </c>
      <c r="M319" t="s">
        <v>199</v>
      </c>
    </row>
    <row r="320" spans="1:13" x14ac:dyDescent="0.25">
      <c r="A320">
        <v>4</v>
      </c>
      <c r="B320" t="s">
        <v>202</v>
      </c>
      <c r="C320" s="15">
        <v>45164</v>
      </c>
      <c r="D320" s="16">
        <v>0.625</v>
      </c>
      <c r="E320" t="s">
        <v>396</v>
      </c>
      <c r="F320">
        <v>0.4</v>
      </c>
      <c r="G320" t="s">
        <v>203</v>
      </c>
      <c r="H320">
        <v>0.6</v>
      </c>
      <c r="I320" t="s">
        <v>393</v>
      </c>
      <c r="J320" s="1">
        <v>30401</v>
      </c>
      <c r="K320" t="s">
        <v>461</v>
      </c>
      <c r="L320" t="s">
        <v>464</v>
      </c>
      <c r="M320" t="s">
        <v>199</v>
      </c>
    </row>
    <row r="321" spans="1:13" x14ac:dyDescent="0.25">
      <c r="A321">
        <v>4</v>
      </c>
      <c r="B321" t="s">
        <v>211</v>
      </c>
      <c r="C321" s="15">
        <v>45165</v>
      </c>
      <c r="D321" s="16">
        <v>0.5</v>
      </c>
      <c r="E321" t="s">
        <v>400</v>
      </c>
      <c r="F321">
        <v>1.4</v>
      </c>
      <c r="G321" t="s">
        <v>204</v>
      </c>
      <c r="H321">
        <v>0.4</v>
      </c>
      <c r="I321" t="s">
        <v>379</v>
      </c>
      <c r="J321" s="1">
        <v>17810</v>
      </c>
      <c r="K321" t="s">
        <v>440</v>
      </c>
      <c r="L321" t="s">
        <v>439</v>
      </c>
      <c r="M321" t="s">
        <v>199</v>
      </c>
    </row>
    <row r="322" spans="1:13" x14ac:dyDescent="0.25">
      <c r="C322" s="15"/>
      <c r="D322" s="16"/>
      <c r="J322" s="1"/>
    </row>
    <row r="323" spans="1:13" x14ac:dyDescent="0.25">
      <c r="A323">
        <v>5</v>
      </c>
      <c r="B323" t="s">
        <v>202</v>
      </c>
      <c r="C323" s="15">
        <v>45171</v>
      </c>
      <c r="D323" s="16">
        <v>0.52083333333333337</v>
      </c>
      <c r="E323" t="s">
        <v>378</v>
      </c>
      <c r="F323">
        <v>1.7</v>
      </c>
      <c r="G323" t="s">
        <v>208</v>
      </c>
      <c r="H323">
        <v>0.5</v>
      </c>
      <c r="I323" t="s">
        <v>389</v>
      </c>
      <c r="J323" s="1">
        <v>18710</v>
      </c>
      <c r="K323" t="s">
        <v>463</v>
      </c>
      <c r="L323" t="s">
        <v>234</v>
      </c>
      <c r="M323" t="s">
        <v>199</v>
      </c>
    </row>
    <row r="324" spans="1:13" x14ac:dyDescent="0.25">
      <c r="A324">
        <v>5</v>
      </c>
      <c r="B324" t="s">
        <v>202</v>
      </c>
      <c r="C324" s="15">
        <v>45171</v>
      </c>
      <c r="D324" s="16">
        <v>0.52083333333333337</v>
      </c>
      <c r="E324" t="s">
        <v>399</v>
      </c>
      <c r="F324">
        <v>1.4</v>
      </c>
      <c r="G324" t="s">
        <v>229</v>
      </c>
      <c r="H324">
        <v>2.2999999999999998</v>
      </c>
      <c r="I324" t="s">
        <v>380</v>
      </c>
      <c r="J324" s="1">
        <v>16676</v>
      </c>
      <c r="K324" t="s">
        <v>445</v>
      </c>
      <c r="L324" t="s">
        <v>454</v>
      </c>
      <c r="M324" t="s">
        <v>199</v>
      </c>
    </row>
    <row r="325" spans="1:13" x14ac:dyDescent="0.25">
      <c r="A325">
        <v>5</v>
      </c>
      <c r="B325" t="s">
        <v>202</v>
      </c>
      <c r="C325" s="15">
        <v>45171</v>
      </c>
      <c r="D325" s="16">
        <v>0.52083333333333337</v>
      </c>
      <c r="E325" t="s">
        <v>398</v>
      </c>
      <c r="F325">
        <v>1.9</v>
      </c>
      <c r="G325" t="s">
        <v>241</v>
      </c>
      <c r="H325">
        <v>0.8</v>
      </c>
      <c r="I325" t="s">
        <v>396</v>
      </c>
      <c r="J325" s="1">
        <v>41459</v>
      </c>
      <c r="K325" t="s">
        <v>449</v>
      </c>
      <c r="L325" t="s">
        <v>207</v>
      </c>
      <c r="M325" t="s">
        <v>199</v>
      </c>
    </row>
    <row r="326" spans="1:13" x14ac:dyDescent="0.25">
      <c r="A326">
        <v>5</v>
      </c>
      <c r="B326" t="s">
        <v>202</v>
      </c>
      <c r="C326" s="15">
        <v>45171</v>
      </c>
      <c r="D326" s="16">
        <v>0.625</v>
      </c>
      <c r="E326" t="s">
        <v>382</v>
      </c>
      <c r="F326">
        <v>2.2000000000000002</v>
      </c>
      <c r="G326" t="s">
        <v>245</v>
      </c>
      <c r="H326">
        <v>1.4</v>
      </c>
      <c r="I326" t="s">
        <v>400</v>
      </c>
      <c r="J326" s="1">
        <v>24539</v>
      </c>
      <c r="K326" t="s">
        <v>450</v>
      </c>
      <c r="L326" t="s">
        <v>433</v>
      </c>
      <c r="M326" t="s">
        <v>199</v>
      </c>
    </row>
    <row r="327" spans="1:13" x14ac:dyDescent="0.25">
      <c r="A327">
        <v>5</v>
      </c>
      <c r="B327" t="s">
        <v>202</v>
      </c>
      <c r="C327" s="15">
        <v>45171</v>
      </c>
      <c r="D327" s="16">
        <v>0.625</v>
      </c>
      <c r="E327" t="s">
        <v>394</v>
      </c>
      <c r="F327">
        <v>0.6</v>
      </c>
      <c r="G327" t="s">
        <v>203</v>
      </c>
      <c r="H327">
        <v>1.5</v>
      </c>
      <c r="I327" t="s">
        <v>390</v>
      </c>
      <c r="J327" s="1">
        <v>11016</v>
      </c>
      <c r="K327" t="s">
        <v>458</v>
      </c>
      <c r="L327" t="s">
        <v>240</v>
      </c>
      <c r="M327" t="s">
        <v>199</v>
      </c>
    </row>
    <row r="328" spans="1:13" x14ac:dyDescent="0.25">
      <c r="A328">
        <v>5</v>
      </c>
      <c r="B328" t="s">
        <v>202</v>
      </c>
      <c r="C328" s="15">
        <v>45171</v>
      </c>
      <c r="D328" s="16">
        <v>0.625</v>
      </c>
      <c r="E328" t="s">
        <v>385</v>
      </c>
      <c r="F328">
        <v>2.7</v>
      </c>
      <c r="G328" t="s">
        <v>226</v>
      </c>
      <c r="H328">
        <v>2.1</v>
      </c>
      <c r="I328" t="s">
        <v>381</v>
      </c>
      <c r="J328" s="1">
        <v>28011</v>
      </c>
      <c r="K328" t="s">
        <v>456</v>
      </c>
      <c r="L328" t="s">
        <v>439</v>
      </c>
      <c r="M328" t="s">
        <v>199</v>
      </c>
    </row>
    <row r="329" spans="1:13" x14ac:dyDescent="0.25">
      <c r="A329">
        <v>5</v>
      </c>
      <c r="B329" t="s">
        <v>202</v>
      </c>
      <c r="C329" s="15">
        <v>45171</v>
      </c>
      <c r="D329" s="16">
        <v>0.625</v>
      </c>
      <c r="E329" t="s">
        <v>387</v>
      </c>
      <c r="F329">
        <v>1.2</v>
      </c>
      <c r="G329" t="s">
        <v>204</v>
      </c>
      <c r="H329">
        <v>0.3</v>
      </c>
      <c r="I329" t="s">
        <v>384</v>
      </c>
      <c r="J329" s="1">
        <v>31318</v>
      </c>
      <c r="K329" t="s">
        <v>447</v>
      </c>
      <c r="L329" t="s">
        <v>437</v>
      </c>
      <c r="M329" t="s">
        <v>199</v>
      </c>
    </row>
    <row r="330" spans="1:13" x14ac:dyDescent="0.25">
      <c r="A330">
        <v>5</v>
      </c>
      <c r="B330" t="s">
        <v>202</v>
      </c>
      <c r="C330" s="15">
        <v>45171</v>
      </c>
      <c r="D330" s="16">
        <v>0.625</v>
      </c>
      <c r="E330" t="s">
        <v>391</v>
      </c>
      <c r="F330">
        <v>1.3</v>
      </c>
      <c r="G330" t="s">
        <v>223</v>
      </c>
      <c r="H330">
        <v>1.8</v>
      </c>
      <c r="I330" t="s">
        <v>379</v>
      </c>
      <c r="J330" s="1">
        <v>16067</v>
      </c>
      <c r="K330" t="s">
        <v>434</v>
      </c>
      <c r="L330" t="s">
        <v>467</v>
      </c>
      <c r="M330" t="s">
        <v>199</v>
      </c>
    </row>
    <row r="331" spans="1:13" x14ac:dyDescent="0.25">
      <c r="A331">
        <v>5</v>
      </c>
      <c r="B331" t="s">
        <v>202</v>
      </c>
      <c r="C331" s="15">
        <v>45171</v>
      </c>
      <c r="D331" s="16">
        <v>0.625</v>
      </c>
      <c r="E331" t="s">
        <v>401</v>
      </c>
      <c r="F331">
        <v>1.1000000000000001</v>
      </c>
      <c r="G331" t="s">
        <v>229</v>
      </c>
      <c r="H331">
        <v>0.9</v>
      </c>
      <c r="I331" t="s">
        <v>383</v>
      </c>
      <c r="J331" s="1">
        <v>23094</v>
      </c>
      <c r="K331" t="s">
        <v>452</v>
      </c>
      <c r="L331" t="s">
        <v>446</v>
      </c>
      <c r="M331" t="s">
        <v>199</v>
      </c>
    </row>
    <row r="332" spans="1:13" x14ac:dyDescent="0.25">
      <c r="A332">
        <v>5</v>
      </c>
      <c r="B332" t="s">
        <v>202</v>
      </c>
      <c r="C332" s="15">
        <v>45171</v>
      </c>
      <c r="D332" s="16">
        <v>0.625</v>
      </c>
      <c r="E332" t="s">
        <v>397</v>
      </c>
      <c r="F332">
        <v>1.4</v>
      </c>
      <c r="G332" t="s">
        <v>224</v>
      </c>
      <c r="H332">
        <v>1.9</v>
      </c>
      <c r="I332" t="s">
        <v>392</v>
      </c>
      <c r="J332" s="1">
        <v>22957</v>
      </c>
      <c r="K332" t="s">
        <v>436</v>
      </c>
      <c r="L332" t="s">
        <v>435</v>
      </c>
      <c r="M332" t="s">
        <v>199</v>
      </c>
    </row>
    <row r="333" spans="1:13" x14ac:dyDescent="0.25">
      <c r="A333">
        <v>5</v>
      </c>
      <c r="B333" t="s">
        <v>202</v>
      </c>
      <c r="C333" s="15">
        <v>45171</v>
      </c>
      <c r="D333" s="16">
        <v>0.625</v>
      </c>
      <c r="E333" t="s">
        <v>388</v>
      </c>
      <c r="F333">
        <v>1.5</v>
      </c>
      <c r="G333" t="s">
        <v>224</v>
      </c>
      <c r="H333">
        <v>0.7</v>
      </c>
      <c r="I333" t="s">
        <v>393</v>
      </c>
      <c r="J333" s="1">
        <v>25671</v>
      </c>
      <c r="K333" t="s">
        <v>438</v>
      </c>
      <c r="L333" t="s">
        <v>219</v>
      </c>
      <c r="M333" t="s">
        <v>199</v>
      </c>
    </row>
    <row r="334" spans="1:13" x14ac:dyDescent="0.25">
      <c r="A334">
        <v>5</v>
      </c>
      <c r="B334" t="s">
        <v>202</v>
      </c>
      <c r="C334" s="15">
        <v>45171</v>
      </c>
      <c r="D334" s="16">
        <v>0.625</v>
      </c>
      <c r="E334" t="s">
        <v>386</v>
      </c>
      <c r="F334">
        <v>1.2</v>
      </c>
      <c r="G334" t="s">
        <v>233</v>
      </c>
      <c r="H334">
        <v>0.9</v>
      </c>
      <c r="I334" t="s">
        <v>395</v>
      </c>
      <c r="J334" s="1">
        <v>36484</v>
      </c>
      <c r="K334" t="s">
        <v>448</v>
      </c>
      <c r="L334" t="s">
        <v>442</v>
      </c>
      <c r="M334" t="s">
        <v>199</v>
      </c>
    </row>
    <row r="336" spans="1:13" x14ac:dyDescent="0.25">
      <c r="A336">
        <v>6</v>
      </c>
      <c r="B336" t="s">
        <v>200</v>
      </c>
      <c r="C336" s="15">
        <v>45184</v>
      </c>
      <c r="D336" s="16">
        <v>0.82291666666666663</v>
      </c>
      <c r="E336" t="s">
        <v>384</v>
      </c>
      <c r="F336">
        <v>1.5</v>
      </c>
      <c r="G336" t="s">
        <v>208</v>
      </c>
      <c r="H336">
        <v>0.6</v>
      </c>
      <c r="I336" t="s">
        <v>382</v>
      </c>
      <c r="J336" s="1">
        <v>21888</v>
      </c>
      <c r="K336" t="s">
        <v>460</v>
      </c>
      <c r="L336" t="s">
        <v>235</v>
      </c>
      <c r="M336" t="s">
        <v>199</v>
      </c>
    </row>
    <row r="337" spans="1:13" x14ac:dyDescent="0.25">
      <c r="A337">
        <v>6</v>
      </c>
      <c r="B337" t="s">
        <v>200</v>
      </c>
      <c r="C337" s="15">
        <v>45184</v>
      </c>
      <c r="D337" s="16">
        <v>0.83333333333333337</v>
      </c>
      <c r="E337" t="s">
        <v>396</v>
      </c>
      <c r="F337">
        <v>1.6</v>
      </c>
      <c r="G337" t="s">
        <v>220</v>
      </c>
      <c r="H337">
        <v>4.0999999999999996</v>
      </c>
      <c r="I337" t="s">
        <v>387</v>
      </c>
      <c r="J337" s="1">
        <v>28877</v>
      </c>
      <c r="K337" t="s">
        <v>461</v>
      </c>
      <c r="L337" t="s">
        <v>231</v>
      </c>
      <c r="M337" t="s">
        <v>199</v>
      </c>
    </row>
    <row r="338" spans="1:13" x14ac:dyDescent="0.25">
      <c r="A338">
        <v>6</v>
      </c>
      <c r="B338" t="s">
        <v>202</v>
      </c>
      <c r="C338" s="15">
        <v>45185</v>
      </c>
      <c r="D338" s="16">
        <v>0.625</v>
      </c>
      <c r="E338" t="s">
        <v>383</v>
      </c>
      <c r="F338">
        <v>2.1</v>
      </c>
      <c r="G338" t="s">
        <v>221</v>
      </c>
      <c r="H338">
        <v>0.4</v>
      </c>
      <c r="I338" t="s">
        <v>394</v>
      </c>
      <c r="J338" s="1">
        <v>19050</v>
      </c>
      <c r="K338" t="s">
        <v>451</v>
      </c>
      <c r="L338" t="s">
        <v>466</v>
      </c>
      <c r="M338" t="s">
        <v>199</v>
      </c>
    </row>
    <row r="339" spans="1:13" x14ac:dyDescent="0.25">
      <c r="A339">
        <v>6</v>
      </c>
      <c r="B339" t="s">
        <v>202</v>
      </c>
      <c r="C339" s="15">
        <v>45185</v>
      </c>
      <c r="D339" s="16">
        <v>0.625</v>
      </c>
      <c r="E339" t="s">
        <v>379</v>
      </c>
      <c r="F339">
        <v>2.9</v>
      </c>
      <c r="G339" t="s">
        <v>203</v>
      </c>
      <c r="H339">
        <v>2.5</v>
      </c>
      <c r="I339" t="s">
        <v>388</v>
      </c>
      <c r="J339" s="1">
        <v>16348</v>
      </c>
      <c r="K339" t="s">
        <v>441</v>
      </c>
      <c r="L339" t="s">
        <v>464</v>
      </c>
      <c r="M339" t="s">
        <v>199</v>
      </c>
    </row>
    <row r="340" spans="1:13" x14ac:dyDescent="0.25">
      <c r="A340">
        <v>6</v>
      </c>
      <c r="B340" t="s">
        <v>202</v>
      </c>
      <c r="C340" s="15">
        <v>45185</v>
      </c>
      <c r="D340" s="16">
        <v>0.625</v>
      </c>
      <c r="E340" t="s">
        <v>392</v>
      </c>
      <c r="F340">
        <v>1.7</v>
      </c>
      <c r="G340" t="s">
        <v>203</v>
      </c>
      <c r="H340">
        <v>1.8</v>
      </c>
      <c r="I340" t="s">
        <v>391</v>
      </c>
      <c r="J340" s="1">
        <v>17542</v>
      </c>
      <c r="K340" t="s">
        <v>457</v>
      </c>
      <c r="L340" t="s">
        <v>439</v>
      </c>
      <c r="M340" t="s">
        <v>199</v>
      </c>
    </row>
    <row r="341" spans="1:13" x14ac:dyDescent="0.25">
      <c r="A341">
        <v>6</v>
      </c>
      <c r="B341" t="s">
        <v>202</v>
      </c>
      <c r="C341" s="15">
        <v>45185</v>
      </c>
      <c r="D341" s="16">
        <v>0.625</v>
      </c>
      <c r="E341" t="s">
        <v>380</v>
      </c>
      <c r="F341">
        <v>0.8</v>
      </c>
      <c r="G341" t="s">
        <v>233</v>
      </c>
      <c r="H341">
        <v>0.7</v>
      </c>
      <c r="I341" t="s">
        <v>401</v>
      </c>
      <c r="J341" s="1">
        <v>21836</v>
      </c>
      <c r="K341" t="s">
        <v>432</v>
      </c>
      <c r="L341" t="s">
        <v>468</v>
      </c>
      <c r="M341" t="s">
        <v>199</v>
      </c>
    </row>
    <row r="342" spans="1:13" x14ac:dyDescent="0.25">
      <c r="A342">
        <v>6</v>
      </c>
      <c r="B342" t="s">
        <v>202</v>
      </c>
      <c r="C342" s="15">
        <v>45185</v>
      </c>
      <c r="D342" s="16">
        <v>0.625</v>
      </c>
      <c r="E342" t="s">
        <v>395</v>
      </c>
      <c r="F342">
        <v>0.5</v>
      </c>
      <c r="G342" t="s">
        <v>204</v>
      </c>
      <c r="H342">
        <v>1.8</v>
      </c>
      <c r="I342" t="s">
        <v>385</v>
      </c>
      <c r="J342" s="1">
        <v>25938</v>
      </c>
      <c r="K342" t="s">
        <v>431</v>
      </c>
      <c r="L342" t="s">
        <v>446</v>
      </c>
      <c r="M342" t="s">
        <v>199</v>
      </c>
    </row>
    <row r="343" spans="1:13" x14ac:dyDescent="0.25">
      <c r="A343">
        <v>6</v>
      </c>
      <c r="B343" t="s">
        <v>202</v>
      </c>
      <c r="C343" s="15">
        <v>45185</v>
      </c>
      <c r="D343" s="16">
        <v>0.625</v>
      </c>
      <c r="E343" t="s">
        <v>400</v>
      </c>
      <c r="F343">
        <v>0.4</v>
      </c>
      <c r="G343" t="s">
        <v>221</v>
      </c>
      <c r="H343">
        <v>0.8</v>
      </c>
      <c r="I343" t="s">
        <v>378</v>
      </c>
      <c r="J343" s="1">
        <v>18932</v>
      </c>
      <c r="K343" t="s">
        <v>440</v>
      </c>
      <c r="L343" t="s">
        <v>444</v>
      </c>
      <c r="M343" t="s">
        <v>199</v>
      </c>
    </row>
    <row r="344" spans="1:13" x14ac:dyDescent="0.25">
      <c r="A344">
        <v>6</v>
      </c>
      <c r="B344" t="s">
        <v>202</v>
      </c>
      <c r="C344" s="15">
        <v>45185</v>
      </c>
      <c r="D344" s="16">
        <v>0.625</v>
      </c>
      <c r="E344" t="s">
        <v>390</v>
      </c>
      <c r="F344">
        <v>1.2</v>
      </c>
      <c r="G344" t="s">
        <v>215</v>
      </c>
      <c r="H344">
        <v>1.2</v>
      </c>
      <c r="I344" t="s">
        <v>397</v>
      </c>
      <c r="J344" s="1">
        <v>25816</v>
      </c>
      <c r="K344" t="s">
        <v>443</v>
      </c>
      <c r="L344" t="s">
        <v>454</v>
      </c>
      <c r="M344" t="s">
        <v>199</v>
      </c>
    </row>
    <row r="345" spans="1:13" x14ac:dyDescent="0.25">
      <c r="A345">
        <v>6</v>
      </c>
      <c r="B345" t="s">
        <v>202</v>
      </c>
      <c r="C345" s="15">
        <v>45185</v>
      </c>
      <c r="D345" s="16">
        <v>0.625</v>
      </c>
      <c r="E345" t="s">
        <v>393</v>
      </c>
      <c r="F345">
        <v>0.3</v>
      </c>
      <c r="G345" t="s">
        <v>228</v>
      </c>
      <c r="H345">
        <v>2.8</v>
      </c>
      <c r="I345" t="s">
        <v>398</v>
      </c>
      <c r="J345" s="1">
        <v>16383</v>
      </c>
      <c r="K345" t="s">
        <v>465</v>
      </c>
      <c r="L345" t="s">
        <v>442</v>
      </c>
      <c r="M345" t="s">
        <v>199</v>
      </c>
    </row>
    <row r="346" spans="1:13" x14ac:dyDescent="0.25">
      <c r="A346">
        <v>6</v>
      </c>
      <c r="B346" t="s">
        <v>202</v>
      </c>
      <c r="C346" s="15">
        <v>45185</v>
      </c>
      <c r="D346" s="16">
        <v>0.82291666666666663</v>
      </c>
      <c r="E346" t="s">
        <v>381</v>
      </c>
      <c r="F346">
        <v>1.5</v>
      </c>
      <c r="G346" t="s">
        <v>221</v>
      </c>
      <c r="H346">
        <v>0.6</v>
      </c>
      <c r="I346" t="s">
        <v>399</v>
      </c>
      <c r="J346" s="1">
        <v>28648</v>
      </c>
      <c r="K346" t="s">
        <v>453</v>
      </c>
      <c r="L346" t="s">
        <v>240</v>
      </c>
      <c r="M346" t="s">
        <v>199</v>
      </c>
    </row>
    <row r="347" spans="1:13" x14ac:dyDescent="0.25">
      <c r="A347">
        <v>6</v>
      </c>
      <c r="B347" t="s">
        <v>211</v>
      </c>
      <c r="C347" s="15">
        <v>45186</v>
      </c>
      <c r="D347" s="16">
        <v>0.5</v>
      </c>
      <c r="E347" t="s">
        <v>389</v>
      </c>
      <c r="F347">
        <v>0.4</v>
      </c>
      <c r="G347" t="s">
        <v>201</v>
      </c>
      <c r="H347">
        <v>2.2999999999999998</v>
      </c>
      <c r="I347" t="s">
        <v>386</v>
      </c>
      <c r="J347" s="1">
        <v>17909</v>
      </c>
      <c r="K347" t="s">
        <v>462</v>
      </c>
      <c r="L347" t="s">
        <v>236</v>
      </c>
      <c r="M347" t="s">
        <v>199</v>
      </c>
    </row>
    <row r="349" spans="1:13" x14ac:dyDescent="0.25">
      <c r="A349">
        <v>7</v>
      </c>
      <c r="B349" t="s">
        <v>239</v>
      </c>
      <c r="C349" s="15">
        <v>45188</v>
      </c>
      <c r="D349" s="16">
        <v>0.82291666666666663</v>
      </c>
      <c r="E349" t="s">
        <v>380</v>
      </c>
      <c r="F349">
        <v>1.6</v>
      </c>
      <c r="G349" t="s">
        <v>206</v>
      </c>
      <c r="H349">
        <v>0.6</v>
      </c>
      <c r="I349" t="s">
        <v>391</v>
      </c>
      <c r="J349" s="1">
        <v>23017</v>
      </c>
      <c r="K349" t="s">
        <v>432</v>
      </c>
      <c r="L349" t="s">
        <v>435</v>
      </c>
      <c r="M349" t="s">
        <v>199</v>
      </c>
    </row>
    <row r="350" spans="1:13" x14ac:dyDescent="0.25">
      <c r="A350">
        <v>7</v>
      </c>
      <c r="B350" t="s">
        <v>239</v>
      </c>
      <c r="C350" s="15">
        <v>45188</v>
      </c>
      <c r="D350" s="16">
        <v>0.82291666666666663</v>
      </c>
      <c r="E350" t="s">
        <v>396</v>
      </c>
      <c r="F350">
        <v>0.8</v>
      </c>
      <c r="G350" t="s">
        <v>204</v>
      </c>
      <c r="H350">
        <v>0.7</v>
      </c>
      <c r="I350" t="s">
        <v>385</v>
      </c>
      <c r="J350" s="1">
        <v>27265</v>
      </c>
      <c r="K350" t="s">
        <v>461</v>
      </c>
      <c r="L350" t="s">
        <v>234</v>
      </c>
      <c r="M350" t="s">
        <v>199</v>
      </c>
    </row>
    <row r="351" spans="1:13" x14ac:dyDescent="0.25">
      <c r="A351">
        <v>7</v>
      </c>
      <c r="B351" t="s">
        <v>239</v>
      </c>
      <c r="C351" s="15">
        <v>45188</v>
      </c>
      <c r="D351" s="16">
        <v>0.82291666666666663</v>
      </c>
      <c r="E351" t="s">
        <v>381</v>
      </c>
      <c r="F351">
        <v>0.6</v>
      </c>
      <c r="G351" t="s">
        <v>226</v>
      </c>
      <c r="H351">
        <v>0.9</v>
      </c>
      <c r="I351" t="s">
        <v>382</v>
      </c>
      <c r="J351" s="1">
        <v>18297</v>
      </c>
      <c r="K351" t="s">
        <v>453</v>
      </c>
      <c r="L351" t="s">
        <v>469</v>
      </c>
      <c r="M351" t="s">
        <v>199</v>
      </c>
    </row>
    <row r="352" spans="1:13" x14ac:dyDescent="0.25">
      <c r="A352">
        <v>7</v>
      </c>
      <c r="B352" t="s">
        <v>239</v>
      </c>
      <c r="C352" s="15">
        <v>45188</v>
      </c>
      <c r="D352" s="16">
        <v>0.82291666666666663</v>
      </c>
      <c r="E352" t="s">
        <v>393</v>
      </c>
      <c r="F352">
        <v>1</v>
      </c>
      <c r="G352" t="s">
        <v>208</v>
      </c>
      <c r="H352">
        <v>0.6</v>
      </c>
      <c r="I352" t="s">
        <v>399</v>
      </c>
      <c r="J352" s="1">
        <v>13367</v>
      </c>
      <c r="K352" t="s">
        <v>465</v>
      </c>
      <c r="L352" t="s">
        <v>470</v>
      </c>
      <c r="M352" t="s">
        <v>199</v>
      </c>
    </row>
    <row r="353" spans="1:13" x14ac:dyDescent="0.25">
      <c r="A353">
        <v>7</v>
      </c>
      <c r="B353" t="s">
        <v>239</v>
      </c>
      <c r="C353" s="15">
        <v>45188</v>
      </c>
      <c r="D353" s="16">
        <v>0.82291666666666663</v>
      </c>
      <c r="E353" t="s">
        <v>392</v>
      </c>
      <c r="F353">
        <v>0.6</v>
      </c>
      <c r="G353" t="s">
        <v>203</v>
      </c>
      <c r="H353">
        <v>1.1000000000000001</v>
      </c>
      <c r="I353" t="s">
        <v>378</v>
      </c>
      <c r="J353" s="1">
        <v>15838</v>
      </c>
      <c r="K353" t="s">
        <v>457</v>
      </c>
      <c r="L353" t="s">
        <v>442</v>
      </c>
      <c r="M353" t="s">
        <v>199</v>
      </c>
    </row>
    <row r="354" spans="1:13" x14ac:dyDescent="0.25">
      <c r="A354">
        <v>7</v>
      </c>
      <c r="B354" t="s">
        <v>239</v>
      </c>
      <c r="C354" s="15">
        <v>45188</v>
      </c>
      <c r="D354" s="16">
        <v>0.83333333333333337</v>
      </c>
      <c r="E354" t="s">
        <v>395</v>
      </c>
      <c r="F354">
        <v>1.3</v>
      </c>
      <c r="G354" t="s">
        <v>208</v>
      </c>
      <c r="H354">
        <v>0.7</v>
      </c>
      <c r="I354" t="s">
        <v>388</v>
      </c>
      <c r="J354" s="1">
        <v>22975</v>
      </c>
      <c r="K354" t="s">
        <v>431</v>
      </c>
      <c r="L354" t="s">
        <v>433</v>
      </c>
      <c r="M354" t="s">
        <v>199</v>
      </c>
    </row>
    <row r="355" spans="1:13" x14ac:dyDescent="0.25">
      <c r="A355">
        <v>7</v>
      </c>
      <c r="B355" t="s">
        <v>247</v>
      </c>
      <c r="C355" s="15">
        <v>45189</v>
      </c>
      <c r="D355" s="16">
        <v>0.82291666666666663</v>
      </c>
      <c r="E355" t="s">
        <v>384</v>
      </c>
      <c r="F355">
        <v>1.3</v>
      </c>
      <c r="G355" t="s">
        <v>233</v>
      </c>
      <c r="H355">
        <v>1.5</v>
      </c>
      <c r="I355" t="s">
        <v>386</v>
      </c>
      <c r="J355" s="1">
        <v>24221</v>
      </c>
      <c r="K355" t="s">
        <v>460</v>
      </c>
      <c r="L355" t="s">
        <v>467</v>
      </c>
      <c r="M355" t="s">
        <v>199</v>
      </c>
    </row>
    <row r="356" spans="1:13" x14ac:dyDescent="0.25">
      <c r="A356">
        <v>7</v>
      </c>
      <c r="B356" t="s">
        <v>247</v>
      </c>
      <c r="C356" s="15">
        <v>45189</v>
      </c>
      <c r="D356" s="16">
        <v>0.82291666666666663</v>
      </c>
      <c r="E356" t="s">
        <v>400</v>
      </c>
      <c r="F356">
        <v>0.9</v>
      </c>
      <c r="G356" t="s">
        <v>212</v>
      </c>
      <c r="H356">
        <v>0.6</v>
      </c>
      <c r="I356" t="s">
        <v>401</v>
      </c>
      <c r="J356" s="1">
        <v>16742</v>
      </c>
      <c r="K356" t="s">
        <v>440</v>
      </c>
      <c r="L356" t="s">
        <v>471</v>
      </c>
      <c r="M356" t="s">
        <v>199</v>
      </c>
    </row>
    <row r="357" spans="1:13" x14ac:dyDescent="0.25">
      <c r="A357">
        <v>7</v>
      </c>
      <c r="B357" t="s">
        <v>247</v>
      </c>
      <c r="C357" s="15">
        <v>45189</v>
      </c>
      <c r="D357" s="16">
        <v>0.82291666666666663</v>
      </c>
      <c r="E357" t="s">
        <v>383</v>
      </c>
      <c r="F357">
        <v>1</v>
      </c>
      <c r="G357" t="s">
        <v>212</v>
      </c>
      <c r="H357">
        <v>2.2999999999999998</v>
      </c>
      <c r="I357" t="s">
        <v>397</v>
      </c>
      <c r="J357" s="1">
        <v>18791</v>
      </c>
      <c r="K357" t="s">
        <v>451</v>
      </c>
      <c r="L357" t="s">
        <v>217</v>
      </c>
      <c r="M357" t="s">
        <v>199</v>
      </c>
    </row>
    <row r="358" spans="1:13" x14ac:dyDescent="0.25">
      <c r="A358">
        <v>7</v>
      </c>
      <c r="B358" t="s">
        <v>247</v>
      </c>
      <c r="C358" s="15">
        <v>45189</v>
      </c>
      <c r="D358" s="16">
        <v>0.82291666666666663</v>
      </c>
      <c r="E358" t="s">
        <v>379</v>
      </c>
      <c r="F358">
        <v>2.8</v>
      </c>
      <c r="G358" t="s">
        <v>228</v>
      </c>
      <c r="H358">
        <v>1.6</v>
      </c>
      <c r="I358" t="s">
        <v>398</v>
      </c>
      <c r="J358" s="1">
        <v>15621</v>
      </c>
      <c r="K358" t="s">
        <v>441</v>
      </c>
      <c r="L358" t="s">
        <v>437</v>
      </c>
      <c r="M358" t="s">
        <v>199</v>
      </c>
    </row>
    <row r="359" spans="1:13" x14ac:dyDescent="0.25">
      <c r="A359">
        <v>7</v>
      </c>
      <c r="B359" t="s">
        <v>247</v>
      </c>
      <c r="C359" s="15">
        <v>45189</v>
      </c>
      <c r="D359" s="16">
        <v>0.82291666666666663</v>
      </c>
      <c r="E359" t="s">
        <v>389</v>
      </c>
      <c r="F359">
        <v>1.5</v>
      </c>
      <c r="G359" t="s">
        <v>223</v>
      </c>
      <c r="H359">
        <v>0.4</v>
      </c>
      <c r="I359" t="s">
        <v>394</v>
      </c>
      <c r="J359" s="1">
        <v>12563</v>
      </c>
      <c r="K359" t="s">
        <v>462</v>
      </c>
      <c r="L359" t="s">
        <v>455</v>
      </c>
      <c r="M359" t="s">
        <v>199</v>
      </c>
    </row>
    <row r="360" spans="1:13" x14ac:dyDescent="0.25">
      <c r="A360">
        <v>7</v>
      </c>
      <c r="B360" t="s">
        <v>247</v>
      </c>
      <c r="C360" s="15">
        <v>45189</v>
      </c>
      <c r="D360" s="16">
        <v>0.83333333333333337</v>
      </c>
      <c r="E360" t="s">
        <v>390</v>
      </c>
      <c r="F360">
        <v>0.9</v>
      </c>
      <c r="G360" t="s">
        <v>224</v>
      </c>
      <c r="H360">
        <v>2.2999999999999998</v>
      </c>
      <c r="I360" t="s">
        <v>387</v>
      </c>
      <c r="J360" s="1">
        <v>26277</v>
      </c>
      <c r="K360" t="s">
        <v>443</v>
      </c>
      <c r="L360" t="s">
        <v>238</v>
      </c>
      <c r="M360" t="s">
        <v>199</v>
      </c>
    </row>
    <row r="361" spans="1:13" x14ac:dyDescent="0.25">
      <c r="C361" s="15"/>
      <c r="D361" s="16"/>
      <c r="J361" s="1"/>
    </row>
    <row r="362" spans="1:13" x14ac:dyDescent="0.25">
      <c r="A362">
        <v>8</v>
      </c>
      <c r="B362" t="s">
        <v>200</v>
      </c>
      <c r="C362" s="15">
        <v>45191</v>
      </c>
      <c r="D362" s="16">
        <v>0.83333333333333337</v>
      </c>
      <c r="E362" t="s">
        <v>378</v>
      </c>
      <c r="F362">
        <v>1.1000000000000001</v>
      </c>
      <c r="G362" t="s">
        <v>233</v>
      </c>
      <c r="H362">
        <v>1</v>
      </c>
      <c r="I362" t="s">
        <v>393</v>
      </c>
      <c r="J362" s="1">
        <v>19803</v>
      </c>
      <c r="K362" t="s">
        <v>463</v>
      </c>
      <c r="L362" t="s">
        <v>435</v>
      </c>
      <c r="M362" t="s">
        <v>199</v>
      </c>
    </row>
    <row r="363" spans="1:13" x14ac:dyDescent="0.25">
      <c r="A363">
        <v>8</v>
      </c>
      <c r="B363" t="s">
        <v>202</v>
      </c>
      <c r="C363" s="15">
        <v>45192</v>
      </c>
      <c r="D363" s="16">
        <v>0.625</v>
      </c>
      <c r="E363" t="s">
        <v>391</v>
      </c>
      <c r="F363">
        <v>3.2</v>
      </c>
      <c r="G363" t="s">
        <v>472</v>
      </c>
      <c r="H363">
        <v>1.9</v>
      </c>
      <c r="I363" t="s">
        <v>390</v>
      </c>
      <c r="J363" s="1">
        <v>16469</v>
      </c>
      <c r="K363" t="s">
        <v>434</v>
      </c>
      <c r="L363" t="s">
        <v>470</v>
      </c>
      <c r="M363" t="s">
        <v>199</v>
      </c>
    </row>
    <row r="364" spans="1:13" x14ac:dyDescent="0.25">
      <c r="A364">
        <v>8</v>
      </c>
      <c r="B364" t="s">
        <v>202</v>
      </c>
      <c r="C364" s="15">
        <v>45192</v>
      </c>
      <c r="D364" s="16">
        <v>0.625</v>
      </c>
      <c r="E364" t="s">
        <v>388</v>
      </c>
      <c r="F364">
        <v>3</v>
      </c>
      <c r="G364" t="s">
        <v>203</v>
      </c>
      <c r="H364">
        <v>1.4</v>
      </c>
      <c r="I364" t="s">
        <v>396</v>
      </c>
      <c r="J364" s="1">
        <v>26141</v>
      </c>
      <c r="K364" t="s">
        <v>438</v>
      </c>
      <c r="L364" t="s">
        <v>225</v>
      </c>
      <c r="M364" t="s">
        <v>199</v>
      </c>
    </row>
    <row r="365" spans="1:13" x14ac:dyDescent="0.25">
      <c r="A365">
        <v>8</v>
      </c>
      <c r="B365" t="s">
        <v>202</v>
      </c>
      <c r="C365" s="15">
        <v>45192</v>
      </c>
      <c r="D365" s="16">
        <v>0.625</v>
      </c>
      <c r="E365" t="s">
        <v>401</v>
      </c>
      <c r="F365">
        <v>1.4</v>
      </c>
      <c r="G365" t="s">
        <v>233</v>
      </c>
      <c r="H365">
        <v>1</v>
      </c>
      <c r="I365" t="s">
        <v>389</v>
      </c>
      <c r="J365" s="1">
        <v>22325</v>
      </c>
      <c r="K365" t="s">
        <v>452</v>
      </c>
      <c r="L365" t="s">
        <v>473</v>
      </c>
      <c r="M365" t="s">
        <v>199</v>
      </c>
    </row>
    <row r="366" spans="1:13" x14ac:dyDescent="0.25">
      <c r="A366">
        <v>8</v>
      </c>
      <c r="B366" t="s">
        <v>202</v>
      </c>
      <c r="C366" s="15">
        <v>45192</v>
      </c>
      <c r="D366" s="16">
        <v>0.625</v>
      </c>
      <c r="E366" t="s">
        <v>387</v>
      </c>
      <c r="F366">
        <v>2.2999999999999998</v>
      </c>
      <c r="G366" t="s">
        <v>215</v>
      </c>
      <c r="H366">
        <v>0.3</v>
      </c>
      <c r="I366" t="s">
        <v>380</v>
      </c>
      <c r="J366" s="1">
        <v>31674</v>
      </c>
      <c r="K366" t="s">
        <v>447</v>
      </c>
      <c r="L366" t="s">
        <v>464</v>
      </c>
      <c r="M366" t="s">
        <v>199</v>
      </c>
    </row>
    <row r="367" spans="1:13" x14ac:dyDescent="0.25">
      <c r="A367">
        <v>8</v>
      </c>
      <c r="B367" t="s">
        <v>202</v>
      </c>
      <c r="C367" s="15">
        <v>45192</v>
      </c>
      <c r="D367" s="16">
        <v>0.625</v>
      </c>
      <c r="E367" t="s">
        <v>399</v>
      </c>
      <c r="F367">
        <v>2</v>
      </c>
      <c r="G367" t="s">
        <v>223</v>
      </c>
      <c r="H367">
        <v>0.7</v>
      </c>
      <c r="I367" t="s">
        <v>395</v>
      </c>
      <c r="J367" s="1">
        <v>16865</v>
      </c>
      <c r="K367" t="s">
        <v>445</v>
      </c>
      <c r="L367" t="s">
        <v>468</v>
      </c>
      <c r="M367" t="s">
        <v>199</v>
      </c>
    </row>
    <row r="368" spans="1:13" x14ac:dyDescent="0.25">
      <c r="A368">
        <v>8</v>
      </c>
      <c r="B368" t="s">
        <v>202</v>
      </c>
      <c r="C368" s="15">
        <v>45192</v>
      </c>
      <c r="D368" s="16">
        <v>0.625</v>
      </c>
      <c r="E368" t="s">
        <v>394</v>
      </c>
      <c r="F368">
        <v>0.1</v>
      </c>
      <c r="G368" t="s">
        <v>208</v>
      </c>
      <c r="H368">
        <v>1.8</v>
      </c>
      <c r="I368" t="s">
        <v>392</v>
      </c>
      <c r="J368" s="1">
        <v>11434</v>
      </c>
      <c r="K368" t="s">
        <v>458</v>
      </c>
      <c r="L368" t="s">
        <v>469</v>
      </c>
      <c r="M368" t="s">
        <v>199</v>
      </c>
    </row>
    <row r="369" spans="1:13" x14ac:dyDescent="0.25">
      <c r="A369">
        <v>8</v>
      </c>
      <c r="B369" t="s">
        <v>202</v>
      </c>
      <c r="C369" s="15">
        <v>45192</v>
      </c>
      <c r="D369" s="16">
        <v>0.625</v>
      </c>
      <c r="E369" t="s">
        <v>386</v>
      </c>
      <c r="F369">
        <v>2.6</v>
      </c>
      <c r="G369" t="s">
        <v>223</v>
      </c>
      <c r="H369">
        <v>0.2</v>
      </c>
      <c r="I369" t="s">
        <v>400</v>
      </c>
      <c r="J369" s="1">
        <v>36236</v>
      </c>
      <c r="K369" t="s">
        <v>448</v>
      </c>
      <c r="L369" t="s">
        <v>466</v>
      </c>
      <c r="M369" t="s">
        <v>199</v>
      </c>
    </row>
    <row r="370" spans="1:13" x14ac:dyDescent="0.25">
      <c r="A370">
        <v>8</v>
      </c>
      <c r="B370" t="s">
        <v>202</v>
      </c>
      <c r="C370" s="15">
        <v>45192</v>
      </c>
      <c r="D370" s="16">
        <v>0.625</v>
      </c>
      <c r="E370" t="s">
        <v>385</v>
      </c>
      <c r="F370">
        <v>2.9</v>
      </c>
      <c r="G370" t="s">
        <v>244</v>
      </c>
      <c r="H370">
        <v>0.9</v>
      </c>
      <c r="I370" t="s">
        <v>379</v>
      </c>
      <c r="J370" s="1">
        <v>28792</v>
      </c>
      <c r="K370" t="s">
        <v>456</v>
      </c>
      <c r="L370" t="s">
        <v>444</v>
      </c>
      <c r="M370" t="s">
        <v>199</v>
      </c>
    </row>
    <row r="371" spans="1:13" x14ac:dyDescent="0.25">
      <c r="A371">
        <v>8</v>
      </c>
      <c r="B371" t="s">
        <v>211</v>
      </c>
      <c r="C371" s="15">
        <v>45193</v>
      </c>
      <c r="D371" s="16">
        <v>0.5</v>
      </c>
      <c r="E371" t="s">
        <v>397</v>
      </c>
      <c r="F371">
        <v>0.6</v>
      </c>
      <c r="G371" t="s">
        <v>228</v>
      </c>
      <c r="H371">
        <v>1.3</v>
      </c>
      <c r="I371" t="s">
        <v>384</v>
      </c>
      <c r="J371" s="1">
        <v>21142</v>
      </c>
      <c r="K371" t="s">
        <v>436</v>
      </c>
      <c r="L371" t="s">
        <v>219</v>
      </c>
      <c r="M371" t="s">
        <v>199</v>
      </c>
    </row>
    <row r="372" spans="1:13" x14ac:dyDescent="0.25">
      <c r="A372">
        <v>8</v>
      </c>
      <c r="B372" t="s">
        <v>211</v>
      </c>
      <c r="C372" s="15">
        <v>45193</v>
      </c>
      <c r="D372" s="16">
        <v>0.625</v>
      </c>
      <c r="E372" t="s">
        <v>398</v>
      </c>
      <c r="F372">
        <v>1.2</v>
      </c>
      <c r="G372" t="s">
        <v>204</v>
      </c>
      <c r="H372">
        <v>1.7</v>
      </c>
      <c r="I372" t="s">
        <v>381</v>
      </c>
      <c r="J372" s="1">
        <v>41581</v>
      </c>
      <c r="K372" t="s">
        <v>449</v>
      </c>
      <c r="L372" t="s">
        <v>474</v>
      </c>
      <c r="M372" t="s">
        <v>199</v>
      </c>
    </row>
    <row r="373" spans="1:13" x14ac:dyDescent="0.25">
      <c r="A373">
        <v>8</v>
      </c>
      <c r="B373" t="s">
        <v>214</v>
      </c>
      <c r="C373" s="15">
        <v>45194</v>
      </c>
      <c r="D373" s="16">
        <v>0.83333333333333337</v>
      </c>
      <c r="E373" t="s">
        <v>382</v>
      </c>
      <c r="F373">
        <v>2</v>
      </c>
      <c r="G373" t="s">
        <v>208</v>
      </c>
      <c r="H373">
        <v>0.7</v>
      </c>
      <c r="I373" t="s">
        <v>383</v>
      </c>
      <c r="J373" s="1">
        <v>22257</v>
      </c>
      <c r="K373" t="s">
        <v>450</v>
      </c>
      <c r="L373" t="s">
        <v>454</v>
      </c>
      <c r="M373" t="s">
        <v>199</v>
      </c>
    </row>
    <row r="374" spans="1:13" x14ac:dyDescent="0.25">
      <c r="C374" s="15"/>
      <c r="D374" s="16"/>
      <c r="J374" s="1"/>
    </row>
    <row r="375" spans="1:13" x14ac:dyDescent="0.25">
      <c r="A375">
        <v>9</v>
      </c>
      <c r="B375" t="s">
        <v>200</v>
      </c>
      <c r="C375" s="15">
        <v>45198</v>
      </c>
      <c r="D375" s="16">
        <v>0.83333333333333337</v>
      </c>
      <c r="E375" t="s">
        <v>395</v>
      </c>
      <c r="F375">
        <v>0.5</v>
      </c>
      <c r="G375" t="s">
        <v>201</v>
      </c>
      <c r="H375">
        <v>1.6</v>
      </c>
      <c r="I375" t="s">
        <v>398</v>
      </c>
      <c r="J375" s="1">
        <v>25987</v>
      </c>
      <c r="K375" t="s">
        <v>431</v>
      </c>
      <c r="L375" t="s">
        <v>240</v>
      </c>
      <c r="M375" t="s">
        <v>199</v>
      </c>
    </row>
    <row r="376" spans="1:13" x14ac:dyDescent="0.25">
      <c r="A376">
        <v>9</v>
      </c>
      <c r="B376" t="s">
        <v>202</v>
      </c>
      <c r="C376" s="15">
        <v>45199</v>
      </c>
      <c r="D376" s="16">
        <v>0.52083333333333337</v>
      </c>
      <c r="E376" t="s">
        <v>396</v>
      </c>
      <c r="F376">
        <v>1.5</v>
      </c>
      <c r="G376" t="s">
        <v>218</v>
      </c>
      <c r="H376">
        <v>0.9</v>
      </c>
      <c r="I376" t="s">
        <v>386</v>
      </c>
      <c r="J376" s="1">
        <v>30372</v>
      </c>
      <c r="K376" t="s">
        <v>461</v>
      </c>
      <c r="L376" t="s">
        <v>205</v>
      </c>
      <c r="M376" t="s">
        <v>199</v>
      </c>
    </row>
    <row r="377" spans="1:13" x14ac:dyDescent="0.25">
      <c r="A377">
        <v>9</v>
      </c>
      <c r="B377" t="s">
        <v>202</v>
      </c>
      <c r="C377" s="15">
        <v>45199</v>
      </c>
      <c r="D377" s="16">
        <v>0.625</v>
      </c>
      <c r="E377" t="s">
        <v>400</v>
      </c>
      <c r="F377">
        <v>1.3</v>
      </c>
      <c r="G377" t="s">
        <v>242</v>
      </c>
      <c r="H377">
        <v>1.3</v>
      </c>
      <c r="I377" t="s">
        <v>388</v>
      </c>
      <c r="J377" s="1">
        <v>18446</v>
      </c>
      <c r="K377" t="s">
        <v>440</v>
      </c>
      <c r="L377" t="s">
        <v>454</v>
      </c>
      <c r="M377" t="s">
        <v>199</v>
      </c>
    </row>
    <row r="378" spans="1:13" x14ac:dyDescent="0.25">
      <c r="A378">
        <v>9</v>
      </c>
      <c r="B378" t="s">
        <v>202</v>
      </c>
      <c r="C378" s="15">
        <v>45199</v>
      </c>
      <c r="D378" s="16">
        <v>0.625</v>
      </c>
      <c r="E378" t="s">
        <v>390</v>
      </c>
      <c r="F378">
        <v>1.3</v>
      </c>
      <c r="G378" t="s">
        <v>221</v>
      </c>
      <c r="H378">
        <v>1.1000000000000001</v>
      </c>
      <c r="I378" t="s">
        <v>378</v>
      </c>
      <c r="J378" s="1">
        <v>26231</v>
      </c>
      <c r="K378" t="s">
        <v>443</v>
      </c>
      <c r="L378" t="s">
        <v>439</v>
      </c>
      <c r="M378" t="s">
        <v>199</v>
      </c>
    </row>
    <row r="379" spans="1:13" x14ac:dyDescent="0.25">
      <c r="A379">
        <v>9</v>
      </c>
      <c r="B379" t="s">
        <v>202</v>
      </c>
      <c r="C379" s="15">
        <v>45199</v>
      </c>
      <c r="D379" s="16">
        <v>0.625</v>
      </c>
      <c r="E379" t="s">
        <v>383</v>
      </c>
      <c r="F379">
        <v>1.2</v>
      </c>
      <c r="G379" t="s">
        <v>208</v>
      </c>
      <c r="H379">
        <v>1.3</v>
      </c>
      <c r="I379" t="s">
        <v>385</v>
      </c>
      <c r="J379" s="1">
        <v>20000</v>
      </c>
      <c r="K379" t="s">
        <v>451</v>
      </c>
      <c r="L379" t="s">
        <v>455</v>
      </c>
      <c r="M379" t="s">
        <v>199</v>
      </c>
    </row>
    <row r="380" spans="1:13" x14ac:dyDescent="0.25">
      <c r="A380">
        <v>9</v>
      </c>
      <c r="B380" t="s">
        <v>202</v>
      </c>
      <c r="C380" s="15">
        <v>45199</v>
      </c>
      <c r="D380" s="16">
        <v>0.625</v>
      </c>
      <c r="E380" t="s">
        <v>381</v>
      </c>
      <c r="F380">
        <v>1.2</v>
      </c>
      <c r="G380" t="s">
        <v>221</v>
      </c>
      <c r="H380">
        <v>0.6</v>
      </c>
      <c r="I380" t="s">
        <v>394</v>
      </c>
      <c r="J380" s="1">
        <v>20136</v>
      </c>
      <c r="K380" t="s">
        <v>453</v>
      </c>
      <c r="L380" t="s">
        <v>471</v>
      </c>
      <c r="M380" t="s">
        <v>199</v>
      </c>
    </row>
    <row r="381" spans="1:13" x14ac:dyDescent="0.25">
      <c r="A381">
        <v>9</v>
      </c>
      <c r="B381" t="s">
        <v>202</v>
      </c>
      <c r="C381" s="15">
        <v>45199</v>
      </c>
      <c r="D381" s="16">
        <v>0.625</v>
      </c>
      <c r="E381" t="s">
        <v>392</v>
      </c>
      <c r="F381">
        <v>0.4</v>
      </c>
      <c r="G381" t="s">
        <v>237</v>
      </c>
      <c r="H381">
        <v>1.5</v>
      </c>
      <c r="I381" t="s">
        <v>401</v>
      </c>
      <c r="J381" s="1">
        <v>16658</v>
      </c>
      <c r="K381" t="s">
        <v>457</v>
      </c>
      <c r="L381" t="s">
        <v>234</v>
      </c>
      <c r="M381" t="s">
        <v>199</v>
      </c>
    </row>
    <row r="382" spans="1:13" x14ac:dyDescent="0.25">
      <c r="A382">
        <v>9</v>
      </c>
      <c r="B382" t="s">
        <v>202</v>
      </c>
      <c r="C382" s="15">
        <v>45199</v>
      </c>
      <c r="D382" s="16">
        <v>0.625</v>
      </c>
      <c r="E382" t="s">
        <v>393</v>
      </c>
      <c r="F382">
        <v>1</v>
      </c>
      <c r="G382" t="s">
        <v>228</v>
      </c>
      <c r="H382">
        <v>1.5</v>
      </c>
      <c r="I382" t="s">
        <v>382</v>
      </c>
      <c r="J382" s="1">
        <v>16293</v>
      </c>
      <c r="K382" t="s">
        <v>465</v>
      </c>
      <c r="L382" t="s">
        <v>473</v>
      </c>
      <c r="M382" t="s">
        <v>199</v>
      </c>
    </row>
    <row r="383" spans="1:13" x14ac:dyDescent="0.25">
      <c r="A383">
        <v>9</v>
      </c>
      <c r="B383" t="s">
        <v>202</v>
      </c>
      <c r="C383" s="15">
        <v>45199</v>
      </c>
      <c r="D383" s="16">
        <v>0.625</v>
      </c>
      <c r="E383" t="s">
        <v>389</v>
      </c>
      <c r="F383">
        <v>1.5</v>
      </c>
      <c r="G383" t="s">
        <v>201</v>
      </c>
      <c r="H383">
        <v>1.2</v>
      </c>
      <c r="I383" t="s">
        <v>399</v>
      </c>
      <c r="J383" s="1">
        <v>14803</v>
      </c>
      <c r="K383" t="s">
        <v>462</v>
      </c>
      <c r="L383" t="s">
        <v>437</v>
      </c>
      <c r="M383" t="s">
        <v>199</v>
      </c>
    </row>
    <row r="384" spans="1:13" x14ac:dyDescent="0.25">
      <c r="A384">
        <v>9</v>
      </c>
      <c r="B384" t="s">
        <v>202</v>
      </c>
      <c r="C384" s="15">
        <v>45199</v>
      </c>
      <c r="D384" s="16">
        <v>0.625</v>
      </c>
      <c r="E384" t="s">
        <v>380</v>
      </c>
      <c r="F384">
        <v>1.3</v>
      </c>
      <c r="G384" t="s">
        <v>242</v>
      </c>
      <c r="H384">
        <v>1</v>
      </c>
      <c r="I384" t="s">
        <v>397</v>
      </c>
      <c r="J384" s="1">
        <v>21117</v>
      </c>
      <c r="K384" t="s">
        <v>432</v>
      </c>
      <c r="L384" t="s">
        <v>466</v>
      </c>
      <c r="M384" t="s">
        <v>199</v>
      </c>
    </row>
    <row r="385" spans="1:13" x14ac:dyDescent="0.25">
      <c r="A385">
        <v>9</v>
      </c>
      <c r="B385" t="s">
        <v>202</v>
      </c>
      <c r="C385" s="15">
        <v>45199</v>
      </c>
      <c r="D385" s="16">
        <v>0.625</v>
      </c>
      <c r="E385" t="s">
        <v>384</v>
      </c>
      <c r="F385">
        <v>1.7</v>
      </c>
      <c r="G385" t="s">
        <v>208</v>
      </c>
      <c r="H385">
        <v>0.8</v>
      </c>
      <c r="I385" t="s">
        <v>391</v>
      </c>
      <c r="J385" s="1">
        <v>20312</v>
      </c>
      <c r="K385" t="s">
        <v>460</v>
      </c>
      <c r="L385" t="s">
        <v>433</v>
      </c>
      <c r="M385" t="s">
        <v>199</v>
      </c>
    </row>
    <row r="386" spans="1:13" x14ac:dyDescent="0.25">
      <c r="A386">
        <v>9</v>
      </c>
      <c r="B386" t="s">
        <v>211</v>
      </c>
      <c r="C386" s="15">
        <v>45200</v>
      </c>
      <c r="D386" s="16">
        <v>0.5</v>
      </c>
      <c r="E386" t="s">
        <v>379</v>
      </c>
      <c r="F386">
        <v>1.4</v>
      </c>
      <c r="G386" t="s">
        <v>220</v>
      </c>
      <c r="H386">
        <v>1.8</v>
      </c>
      <c r="I386" t="s">
        <v>387</v>
      </c>
      <c r="J386" s="1">
        <v>15937</v>
      </c>
      <c r="K386" t="s">
        <v>441</v>
      </c>
      <c r="L386" t="s">
        <v>446</v>
      </c>
      <c r="M386" t="s">
        <v>199</v>
      </c>
    </row>
    <row r="387" spans="1:13" x14ac:dyDescent="0.25">
      <c r="C387" s="15"/>
      <c r="D387" s="16"/>
      <c r="J387" s="1"/>
    </row>
    <row r="388" spans="1:13" x14ac:dyDescent="0.25">
      <c r="A388">
        <v>10</v>
      </c>
      <c r="B388" t="s">
        <v>239</v>
      </c>
      <c r="C388" s="15">
        <v>45202</v>
      </c>
      <c r="D388" s="16">
        <v>0.82291666666666663</v>
      </c>
      <c r="E388" t="s">
        <v>378</v>
      </c>
      <c r="F388">
        <v>1.7</v>
      </c>
      <c r="G388" t="s">
        <v>206</v>
      </c>
      <c r="H388">
        <v>2.1</v>
      </c>
      <c r="I388" t="s">
        <v>383</v>
      </c>
      <c r="J388" s="1">
        <v>15944</v>
      </c>
      <c r="K388" t="s">
        <v>463</v>
      </c>
      <c r="L388" t="s">
        <v>469</v>
      </c>
      <c r="M388" t="s">
        <v>199</v>
      </c>
    </row>
    <row r="389" spans="1:13" x14ac:dyDescent="0.25">
      <c r="A389">
        <v>10</v>
      </c>
      <c r="B389" t="s">
        <v>239</v>
      </c>
      <c r="C389" s="15">
        <v>45202</v>
      </c>
      <c r="D389" s="16">
        <v>0.82291666666666663</v>
      </c>
      <c r="E389" t="s">
        <v>388</v>
      </c>
      <c r="F389">
        <v>2.2000000000000002</v>
      </c>
      <c r="G389" t="s">
        <v>221</v>
      </c>
      <c r="H389">
        <v>0.6</v>
      </c>
      <c r="I389" t="s">
        <v>381</v>
      </c>
      <c r="J389" s="1">
        <v>24276</v>
      </c>
      <c r="K389" t="s">
        <v>438</v>
      </c>
      <c r="L389" t="s">
        <v>210</v>
      </c>
      <c r="M389" t="s">
        <v>199</v>
      </c>
    </row>
    <row r="390" spans="1:13" x14ac:dyDescent="0.25">
      <c r="A390">
        <v>10</v>
      </c>
      <c r="B390" t="s">
        <v>239</v>
      </c>
      <c r="C390" s="15">
        <v>45202</v>
      </c>
      <c r="D390" s="16">
        <v>0.82291666666666663</v>
      </c>
      <c r="E390" t="s">
        <v>391</v>
      </c>
      <c r="F390">
        <v>0.8</v>
      </c>
      <c r="G390" t="s">
        <v>224</v>
      </c>
      <c r="H390">
        <v>1.1000000000000001</v>
      </c>
      <c r="I390" t="s">
        <v>389</v>
      </c>
      <c r="J390" s="1">
        <v>15891</v>
      </c>
      <c r="K390" t="s">
        <v>434</v>
      </c>
      <c r="L390" t="s">
        <v>454</v>
      </c>
      <c r="M390" t="s">
        <v>199</v>
      </c>
    </row>
    <row r="391" spans="1:13" x14ac:dyDescent="0.25">
      <c r="A391">
        <v>10</v>
      </c>
      <c r="B391" t="s">
        <v>239</v>
      </c>
      <c r="C391" s="15">
        <v>45202</v>
      </c>
      <c r="D391" s="16">
        <v>0.82291666666666663</v>
      </c>
      <c r="E391" t="s">
        <v>385</v>
      </c>
      <c r="F391">
        <v>1.2</v>
      </c>
      <c r="G391" t="s">
        <v>223</v>
      </c>
      <c r="H391">
        <v>0.9</v>
      </c>
      <c r="I391" t="s">
        <v>384</v>
      </c>
      <c r="J391" s="1">
        <v>27070</v>
      </c>
      <c r="K391" t="s">
        <v>456</v>
      </c>
      <c r="L391" t="s">
        <v>435</v>
      </c>
      <c r="M391" t="s">
        <v>199</v>
      </c>
    </row>
    <row r="392" spans="1:13" x14ac:dyDescent="0.25">
      <c r="A392">
        <v>10</v>
      </c>
      <c r="B392" t="s">
        <v>239</v>
      </c>
      <c r="C392" s="15">
        <v>45202</v>
      </c>
      <c r="D392" s="16">
        <v>0.83333333333333337</v>
      </c>
      <c r="E392" t="s">
        <v>397</v>
      </c>
      <c r="F392">
        <v>0.7</v>
      </c>
      <c r="G392" t="s">
        <v>204</v>
      </c>
      <c r="H392">
        <v>0.9</v>
      </c>
      <c r="I392" t="s">
        <v>396</v>
      </c>
      <c r="J392" s="1">
        <v>20002</v>
      </c>
      <c r="K392" t="s">
        <v>436</v>
      </c>
      <c r="L392" t="s">
        <v>464</v>
      </c>
      <c r="M392" t="s">
        <v>199</v>
      </c>
    </row>
    <row r="393" spans="1:13" x14ac:dyDescent="0.25">
      <c r="A393">
        <v>10</v>
      </c>
      <c r="B393" t="s">
        <v>239</v>
      </c>
      <c r="C393" s="15">
        <v>45202</v>
      </c>
      <c r="D393" s="16">
        <v>0.83333333333333337</v>
      </c>
      <c r="E393" t="s">
        <v>401</v>
      </c>
      <c r="F393">
        <v>1.2</v>
      </c>
      <c r="G393" t="s">
        <v>215</v>
      </c>
      <c r="H393">
        <v>0.2</v>
      </c>
      <c r="I393" t="s">
        <v>395</v>
      </c>
      <c r="J393" s="1">
        <v>22558</v>
      </c>
      <c r="K393" t="s">
        <v>452</v>
      </c>
      <c r="L393" t="s">
        <v>437</v>
      </c>
      <c r="M393" t="s">
        <v>199</v>
      </c>
    </row>
    <row r="394" spans="1:13" x14ac:dyDescent="0.25">
      <c r="A394">
        <v>10</v>
      </c>
      <c r="B394" t="s">
        <v>247</v>
      </c>
      <c r="C394" s="15">
        <v>45203</v>
      </c>
      <c r="D394" s="16">
        <v>0.82291666666666663</v>
      </c>
      <c r="E394" t="s">
        <v>387</v>
      </c>
      <c r="F394">
        <v>1.5</v>
      </c>
      <c r="G394" t="s">
        <v>223</v>
      </c>
      <c r="H394">
        <v>0.4</v>
      </c>
      <c r="I394" t="s">
        <v>392</v>
      </c>
      <c r="J394" s="1">
        <v>30380</v>
      </c>
      <c r="K394" t="s">
        <v>447</v>
      </c>
      <c r="L394" t="s">
        <v>219</v>
      </c>
      <c r="M394" t="s">
        <v>199</v>
      </c>
    </row>
    <row r="395" spans="1:13" x14ac:dyDescent="0.25">
      <c r="A395">
        <v>10</v>
      </c>
      <c r="B395" t="s">
        <v>247</v>
      </c>
      <c r="C395" s="15">
        <v>45203</v>
      </c>
      <c r="D395" s="16">
        <v>0.82291666666666663</v>
      </c>
      <c r="E395" t="s">
        <v>398</v>
      </c>
      <c r="F395">
        <v>1.2</v>
      </c>
      <c r="G395" t="s">
        <v>221</v>
      </c>
      <c r="H395">
        <v>0.4</v>
      </c>
      <c r="I395" t="s">
        <v>400</v>
      </c>
      <c r="J395" s="1">
        <v>38120</v>
      </c>
      <c r="K395" t="s">
        <v>449</v>
      </c>
      <c r="L395" t="s">
        <v>475</v>
      </c>
      <c r="M395" t="s">
        <v>199</v>
      </c>
    </row>
    <row r="396" spans="1:13" x14ac:dyDescent="0.25">
      <c r="A396">
        <v>10</v>
      </c>
      <c r="B396" t="s">
        <v>247</v>
      </c>
      <c r="C396" s="15">
        <v>45203</v>
      </c>
      <c r="D396" s="16">
        <v>0.82291666666666663</v>
      </c>
      <c r="E396" t="s">
        <v>386</v>
      </c>
      <c r="F396">
        <v>2</v>
      </c>
      <c r="G396" t="s">
        <v>215</v>
      </c>
      <c r="H396">
        <v>0.3</v>
      </c>
      <c r="I396" t="s">
        <v>393</v>
      </c>
      <c r="J396" s="1">
        <v>32663</v>
      </c>
      <c r="K396" t="s">
        <v>448</v>
      </c>
      <c r="L396" t="s">
        <v>433</v>
      </c>
      <c r="M396" t="s">
        <v>199</v>
      </c>
    </row>
    <row r="397" spans="1:13" x14ac:dyDescent="0.25">
      <c r="A397">
        <v>10</v>
      </c>
      <c r="B397" t="s">
        <v>247</v>
      </c>
      <c r="C397" s="15">
        <v>45203</v>
      </c>
      <c r="D397" s="16">
        <v>0.82291666666666663</v>
      </c>
      <c r="E397" t="s">
        <v>399</v>
      </c>
      <c r="F397">
        <v>2.5</v>
      </c>
      <c r="G397" t="s">
        <v>203</v>
      </c>
      <c r="H397">
        <v>1.6</v>
      </c>
      <c r="I397" t="s">
        <v>390</v>
      </c>
      <c r="J397" s="1">
        <v>14512</v>
      </c>
      <c r="K397" t="s">
        <v>445</v>
      </c>
      <c r="L397" t="s">
        <v>473</v>
      </c>
      <c r="M397" t="s">
        <v>199</v>
      </c>
    </row>
    <row r="398" spans="1:13" x14ac:dyDescent="0.25">
      <c r="A398">
        <v>10</v>
      </c>
      <c r="B398" t="s">
        <v>247</v>
      </c>
      <c r="C398" s="15">
        <v>45203</v>
      </c>
      <c r="D398" s="16">
        <v>0.82291666666666663</v>
      </c>
      <c r="E398" t="s">
        <v>382</v>
      </c>
      <c r="F398">
        <v>1.2</v>
      </c>
      <c r="G398" t="s">
        <v>215</v>
      </c>
      <c r="H398">
        <v>0.7</v>
      </c>
      <c r="I398" t="s">
        <v>379</v>
      </c>
      <c r="J398" s="1">
        <v>22370</v>
      </c>
      <c r="K398" t="s">
        <v>450</v>
      </c>
      <c r="L398" t="s">
        <v>466</v>
      </c>
      <c r="M398" t="s">
        <v>199</v>
      </c>
    </row>
    <row r="399" spans="1:13" x14ac:dyDescent="0.25">
      <c r="A399">
        <v>10</v>
      </c>
      <c r="B399" t="s">
        <v>247</v>
      </c>
      <c r="C399" s="15">
        <v>45203</v>
      </c>
      <c r="D399" s="16">
        <v>0.83333333333333337</v>
      </c>
      <c r="E399" t="s">
        <v>394</v>
      </c>
      <c r="F399">
        <v>1.3</v>
      </c>
      <c r="G399" t="s">
        <v>229</v>
      </c>
      <c r="H399">
        <v>1.1000000000000001</v>
      </c>
      <c r="I399" t="s">
        <v>380</v>
      </c>
      <c r="J399" s="1">
        <v>9221</v>
      </c>
      <c r="K399" t="s">
        <v>458</v>
      </c>
      <c r="L399" t="s">
        <v>442</v>
      </c>
      <c r="M399" t="s">
        <v>199</v>
      </c>
    </row>
    <row r="400" spans="1:13" x14ac:dyDescent="0.25">
      <c r="C400" s="15"/>
      <c r="D400" s="16"/>
      <c r="J400" s="1"/>
    </row>
    <row r="401" spans="1:13" x14ac:dyDescent="0.25">
      <c r="A401">
        <v>11</v>
      </c>
      <c r="B401" t="s">
        <v>200</v>
      </c>
      <c r="C401" s="15">
        <v>45205</v>
      </c>
      <c r="D401" s="16">
        <v>0.83333333333333337</v>
      </c>
      <c r="E401" t="s">
        <v>378</v>
      </c>
      <c r="F401">
        <v>1.5</v>
      </c>
      <c r="G401" t="s">
        <v>218</v>
      </c>
      <c r="H401">
        <v>1.2</v>
      </c>
      <c r="I401" t="s">
        <v>401</v>
      </c>
      <c r="J401" s="1">
        <v>21495</v>
      </c>
      <c r="K401" t="s">
        <v>463</v>
      </c>
      <c r="L401" t="s">
        <v>446</v>
      </c>
      <c r="M401" t="s">
        <v>199</v>
      </c>
    </row>
    <row r="402" spans="1:13" x14ac:dyDescent="0.25">
      <c r="A402">
        <v>11</v>
      </c>
      <c r="B402" t="s">
        <v>202</v>
      </c>
      <c r="C402" s="15">
        <v>45206</v>
      </c>
      <c r="D402" s="16">
        <v>0.52083333333333337</v>
      </c>
      <c r="E402" t="s">
        <v>398</v>
      </c>
      <c r="F402">
        <v>0.5</v>
      </c>
      <c r="G402" t="s">
        <v>237</v>
      </c>
      <c r="H402">
        <v>2.4</v>
      </c>
      <c r="I402" t="s">
        <v>388</v>
      </c>
      <c r="J402" s="1">
        <v>43584</v>
      </c>
      <c r="K402" t="s">
        <v>449</v>
      </c>
      <c r="L402" t="s">
        <v>230</v>
      </c>
      <c r="M402" t="s">
        <v>199</v>
      </c>
    </row>
    <row r="403" spans="1:13" x14ac:dyDescent="0.25">
      <c r="A403">
        <v>11</v>
      </c>
      <c r="B403" t="s">
        <v>202</v>
      </c>
      <c r="C403" s="15">
        <v>45206</v>
      </c>
      <c r="D403" s="16">
        <v>0.625</v>
      </c>
      <c r="E403" t="s">
        <v>396</v>
      </c>
      <c r="F403">
        <v>3.1</v>
      </c>
      <c r="G403" t="s">
        <v>208</v>
      </c>
      <c r="H403">
        <v>0.1</v>
      </c>
      <c r="I403" t="s">
        <v>394</v>
      </c>
      <c r="J403" s="1">
        <v>28404</v>
      </c>
      <c r="K403" t="s">
        <v>461</v>
      </c>
      <c r="L403" t="s">
        <v>437</v>
      </c>
      <c r="M403" t="s">
        <v>199</v>
      </c>
    </row>
    <row r="404" spans="1:13" x14ac:dyDescent="0.25">
      <c r="A404">
        <v>11</v>
      </c>
      <c r="B404" t="s">
        <v>202</v>
      </c>
      <c r="C404" s="15">
        <v>45206</v>
      </c>
      <c r="D404" s="16">
        <v>0.625</v>
      </c>
      <c r="E404" t="s">
        <v>387</v>
      </c>
      <c r="F404">
        <v>2.4</v>
      </c>
      <c r="G404" t="s">
        <v>221</v>
      </c>
      <c r="H404">
        <v>0.2</v>
      </c>
      <c r="I404" t="s">
        <v>397</v>
      </c>
      <c r="J404" s="1">
        <v>31589</v>
      </c>
      <c r="K404" t="s">
        <v>447</v>
      </c>
      <c r="L404" t="s">
        <v>455</v>
      </c>
      <c r="M404" t="s">
        <v>199</v>
      </c>
    </row>
    <row r="405" spans="1:13" x14ac:dyDescent="0.25">
      <c r="A405">
        <v>11</v>
      </c>
      <c r="B405" t="s">
        <v>202</v>
      </c>
      <c r="C405" s="15">
        <v>45206</v>
      </c>
      <c r="D405" s="16">
        <v>0.625</v>
      </c>
      <c r="E405" t="s">
        <v>386</v>
      </c>
      <c r="F405">
        <v>2.5</v>
      </c>
      <c r="G405" t="s">
        <v>203</v>
      </c>
      <c r="H405">
        <v>0.5</v>
      </c>
      <c r="I405" t="s">
        <v>380</v>
      </c>
      <c r="J405" s="1">
        <v>36386</v>
      </c>
      <c r="K405" t="s">
        <v>448</v>
      </c>
      <c r="L405" t="s">
        <v>444</v>
      </c>
      <c r="M405" t="s">
        <v>199</v>
      </c>
    </row>
    <row r="406" spans="1:13" x14ac:dyDescent="0.25">
      <c r="A406">
        <v>11</v>
      </c>
      <c r="B406" t="s">
        <v>202</v>
      </c>
      <c r="C406" s="15">
        <v>45206</v>
      </c>
      <c r="D406" s="16">
        <v>0.625</v>
      </c>
      <c r="E406" t="s">
        <v>385</v>
      </c>
      <c r="F406">
        <v>2.4</v>
      </c>
      <c r="G406" t="s">
        <v>459</v>
      </c>
      <c r="H406">
        <v>0.3</v>
      </c>
      <c r="I406" t="s">
        <v>392</v>
      </c>
      <c r="J406" s="1">
        <v>29018</v>
      </c>
      <c r="K406" t="s">
        <v>456</v>
      </c>
      <c r="L406" t="s">
        <v>433</v>
      </c>
      <c r="M406" t="s">
        <v>199</v>
      </c>
    </row>
    <row r="407" spans="1:13" x14ac:dyDescent="0.25">
      <c r="A407">
        <v>11</v>
      </c>
      <c r="B407" t="s">
        <v>202</v>
      </c>
      <c r="C407" s="15">
        <v>45206</v>
      </c>
      <c r="D407" s="16">
        <v>0.625</v>
      </c>
      <c r="E407" t="s">
        <v>389</v>
      </c>
      <c r="F407">
        <v>1.2</v>
      </c>
      <c r="G407" t="s">
        <v>212</v>
      </c>
      <c r="H407">
        <v>1.1000000000000001</v>
      </c>
      <c r="I407" t="s">
        <v>384</v>
      </c>
      <c r="J407" s="1">
        <v>15204</v>
      </c>
      <c r="K407" t="s">
        <v>462</v>
      </c>
      <c r="L407" t="s">
        <v>225</v>
      </c>
      <c r="M407" t="s">
        <v>199</v>
      </c>
    </row>
    <row r="408" spans="1:13" x14ac:dyDescent="0.25">
      <c r="A408">
        <v>11</v>
      </c>
      <c r="B408" t="s">
        <v>202</v>
      </c>
      <c r="C408" s="15">
        <v>45206</v>
      </c>
      <c r="D408" s="16">
        <v>0.625</v>
      </c>
      <c r="E408" t="s">
        <v>381</v>
      </c>
      <c r="F408">
        <v>0.7</v>
      </c>
      <c r="G408" t="s">
        <v>208</v>
      </c>
      <c r="H408">
        <v>2</v>
      </c>
      <c r="I408" t="s">
        <v>400</v>
      </c>
      <c r="J408" s="1">
        <v>19804</v>
      </c>
      <c r="K408" t="s">
        <v>453</v>
      </c>
      <c r="L408" t="s">
        <v>439</v>
      </c>
      <c r="M408" t="s">
        <v>199</v>
      </c>
    </row>
    <row r="409" spans="1:13" x14ac:dyDescent="0.25">
      <c r="A409">
        <v>11</v>
      </c>
      <c r="B409" t="s">
        <v>202</v>
      </c>
      <c r="C409" s="15">
        <v>45206</v>
      </c>
      <c r="D409" s="16">
        <v>0.625</v>
      </c>
      <c r="E409" t="s">
        <v>393</v>
      </c>
      <c r="F409">
        <v>1.1000000000000001</v>
      </c>
      <c r="G409" t="s">
        <v>237</v>
      </c>
      <c r="H409">
        <v>2.2999999999999998</v>
      </c>
      <c r="I409" t="s">
        <v>379</v>
      </c>
      <c r="J409" s="1">
        <v>15376</v>
      </c>
      <c r="K409" t="s">
        <v>465</v>
      </c>
      <c r="L409" t="s">
        <v>234</v>
      </c>
      <c r="M409" t="s">
        <v>199</v>
      </c>
    </row>
    <row r="410" spans="1:13" x14ac:dyDescent="0.25">
      <c r="A410">
        <v>11</v>
      </c>
      <c r="B410" t="s">
        <v>202</v>
      </c>
      <c r="C410" s="15">
        <v>45206</v>
      </c>
      <c r="D410" s="16">
        <v>0.625</v>
      </c>
      <c r="E410" t="s">
        <v>382</v>
      </c>
      <c r="F410">
        <v>1.7</v>
      </c>
      <c r="G410" t="s">
        <v>208</v>
      </c>
      <c r="H410">
        <v>0.6</v>
      </c>
      <c r="I410" t="s">
        <v>390</v>
      </c>
      <c r="J410" s="1">
        <v>26548</v>
      </c>
      <c r="K410" t="s">
        <v>450</v>
      </c>
      <c r="L410" t="s">
        <v>442</v>
      </c>
      <c r="M410" t="s">
        <v>199</v>
      </c>
    </row>
    <row r="411" spans="1:13" x14ac:dyDescent="0.25">
      <c r="A411">
        <v>11</v>
      </c>
      <c r="B411" t="s">
        <v>202</v>
      </c>
      <c r="C411" s="15">
        <v>45206</v>
      </c>
      <c r="D411" s="16">
        <v>0.625</v>
      </c>
      <c r="E411" t="s">
        <v>395</v>
      </c>
      <c r="F411">
        <v>0.6</v>
      </c>
      <c r="G411" t="s">
        <v>233</v>
      </c>
      <c r="H411">
        <v>0.7</v>
      </c>
      <c r="I411" t="s">
        <v>383</v>
      </c>
      <c r="J411" s="1">
        <v>26025</v>
      </c>
      <c r="K411" t="s">
        <v>431</v>
      </c>
      <c r="L411" t="s">
        <v>435</v>
      </c>
      <c r="M411" t="s">
        <v>199</v>
      </c>
    </row>
    <row r="412" spans="1:13" x14ac:dyDescent="0.25">
      <c r="A412">
        <v>11</v>
      </c>
      <c r="B412" t="s">
        <v>202</v>
      </c>
      <c r="C412" s="15">
        <v>45206</v>
      </c>
      <c r="D412" s="16">
        <v>0.625</v>
      </c>
      <c r="E412" t="s">
        <v>391</v>
      </c>
      <c r="F412">
        <v>1.3</v>
      </c>
      <c r="G412" t="s">
        <v>228</v>
      </c>
      <c r="H412">
        <v>2.1</v>
      </c>
      <c r="I412" t="s">
        <v>399</v>
      </c>
      <c r="J412" s="1">
        <v>16463</v>
      </c>
      <c r="K412" t="s">
        <v>434</v>
      </c>
      <c r="L412" t="s">
        <v>476</v>
      </c>
      <c r="M412" t="s">
        <v>199</v>
      </c>
    </row>
    <row r="413" spans="1:13" x14ac:dyDescent="0.25">
      <c r="C413" s="15"/>
      <c r="D413" s="16"/>
      <c r="J413" s="1"/>
    </row>
    <row r="414" spans="1:13" x14ac:dyDescent="0.25">
      <c r="A414">
        <v>12</v>
      </c>
      <c r="B414" t="s">
        <v>202</v>
      </c>
      <c r="C414" s="15">
        <v>45220</v>
      </c>
      <c r="D414" s="16">
        <v>0.52083333333333337</v>
      </c>
      <c r="E414" t="s">
        <v>392</v>
      </c>
      <c r="F414">
        <v>0.5</v>
      </c>
      <c r="G414" t="s">
        <v>208</v>
      </c>
      <c r="H414">
        <v>0.3</v>
      </c>
      <c r="I414" t="s">
        <v>389</v>
      </c>
      <c r="J414" s="1">
        <v>14427</v>
      </c>
      <c r="K414" t="s">
        <v>457</v>
      </c>
      <c r="L414" t="s">
        <v>435</v>
      </c>
      <c r="M414" t="s">
        <v>199</v>
      </c>
    </row>
    <row r="415" spans="1:13" x14ac:dyDescent="0.25">
      <c r="A415">
        <v>12</v>
      </c>
      <c r="B415" t="s">
        <v>202</v>
      </c>
      <c r="C415" s="15">
        <v>45220</v>
      </c>
      <c r="D415" s="16">
        <v>0.625</v>
      </c>
      <c r="E415" t="s">
        <v>397</v>
      </c>
      <c r="F415">
        <v>0.7</v>
      </c>
      <c r="G415" t="s">
        <v>203</v>
      </c>
      <c r="H415">
        <v>1.9</v>
      </c>
      <c r="I415" t="s">
        <v>398</v>
      </c>
      <c r="J415" s="1">
        <v>25512</v>
      </c>
      <c r="K415" t="s">
        <v>436</v>
      </c>
      <c r="L415" t="s">
        <v>238</v>
      </c>
      <c r="M415" t="s">
        <v>199</v>
      </c>
    </row>
    <row r="416" spans="1:13" x14ac:dyDescent="0.25">
      <c r="A416">
        <v>12</v>
      </c>
      <c r="B416" t="s">
        <v>202</v>
      </c>
      <c r="C416" s="15">
        <v>45220</v>
      </c>
      <c r="D416" s="16">
        <v>0.625</v>
      </c>
      <c r="E416" t="s">
        <v>401</v>
      </c>
      <c r="F416">
        <v>0.8</v>
      </c>
      <c r="G416" t="s">
        <v>233</v>
      </c>
      <c r="H416">
        <v>0.4</v>
      </c>
      <c r="I416" t="s">
        <v>391</v>
      </c>
      <c r="J416" s="1">
        <v>24732</v>
      </c>
      <c r="K416" t="s">
        <v>452</v>
      </c>
      <c r="L416" t="s">
        <v>467</v>
      </c>
      <c r="M416" t="s">
        <v>199</v>
      </c>
    </row>
    <row r="417" spans="1:13" x14ac:dyDescent="0.25">
      <c r="A417">
        <v>12</v>
      </c>
      <c r="B417" t="s">
        <v>202</v>
      </c>
      <c r="C417" s="15">
        <v>45220</v>
      </c>
      <c r="D417" s="16">
        <v>0.625</v>
      </c>
      <c r="E417" t="s">
        <v>400</v>
      </c>
      <c r="F417">
        <v>0.4</v>
      </c>
      <c r="G417" t="s">
        <v>215</v>
      </c>
      <c r="H417">
        <v>0.4</v>
      </c>
      <c r="I417" t="s">
        <v>395</v>
      </c>
      <c r="J417" s="1">
        <v>19102</v>
      </c>
      <c r="K417" t="s">
        <v>440</v>
      </c>
      <c r="L417" t="s">
        <v>442</v>
      </c>
      <c r="M417" t="s">
        <v>199</v>
      </c>
    </row>
    <row r="418" spans="1:13" x14ac:dyDescent="0.25">
      <c r="A418">
        <v>12</v>
      </c>
      <c r="B418" t="s">
        <v>202</v>
      </c>
      <c r="C418" s="15">
        <v>45220</v>
      </c>
      <c r="D418" s="16">
        <v>0.625</v>
      </c>
      <c r="E418" t="s">
        <v>380</v>
      </c>
      <c r="F418">
        <v>0.4</v>
      </c>
      <c r="G418" t="s">
        <v>215</v>
      </c>
      <c r="H418">
        <v>0.6</v>
      </c>
      <c r="I418" t="s">
        <v>382</v>
      </c>
      <c r="J418" s="1">
        <v>22718</v>
      </c>
      <c r="K418" t="s">
        <v>432</v>
      </c>
      <c r="L418" t="s">
        <v>433</v>
      </c>
      <c r="M418" t="s">
        <v>199</v>
      </c>
    </row>
    <row r="419" spans="1:13" x14ac:dyDescent="0.25">
      <c r="A419">
        <v>12</v>
      </c>
      <c r="B419" t="s">
        <v>202</v>
      </c>
      <c r="C419" s="15">
        <v>45220</v>
      </c>
      <c r="D419" s="16">
        <v>0.625</v>
      </c>
      <c r="E419" t="s">
        <v>388</v>
      </c>
      <c r="F419">
        <v>2</v>
      </c>
      <c r="G419" t="s">
        <v>215</v>
      </c>
      <c r="H419">
        <v>0.2</v>
      </c>
      <c r="I419" t="s">
        <v>378</v>
      </c>
      <c r="J419" s="1">
        <v>28449</v>
      </c>
      <c r="K419" t="s">
        <v>438</v>
      </c>
      <c r="L419" t="s">
        <v>477</v>
      </c>
      <c r="M419" t="s">
        <v>199</v>
      </c>
    </row>
    <row r="420" spans="1:13" x14ac:dyDescent="0.25">
      <c r="A420">
        <v>12</v>
      </c>
      <c r="B420" t="s">
        <v>202</v>
      </c>
      <c r="C420" s="15">
        <v>45220</v>
      </c>
      <c r="D420" s="16">
        <v>0.625</v>
      </c>
      <c r="E420" t="s">
        <v>390</v>
      </c>
      <c r="F420">
        <v>0.9</v>
      </c>
      <c r="G420" t="s">
        <v>242</v>
      </c>
      <c r="H420">
        <v>1.5</v>
      </c>
      <c r="I420" t="s">
        <v>386</v>
      </c>
      <c r="J420" s="1">
        <v>26758</v>
      </c>
      <c r="K420" t="s">
        <v>443</v>
      </c>
      <c r="L420" t="s">
        <v>437</v>
      </c>
      <c r="M420" t="s">
        <v>199</v>
      </c>
    </row>
    <row r="421" spans="1:13" x14ac:dyDescent="0.25">
      <c r="A421">
        <v>12</v>
      </c>
      <c r="B421" t="s">
        <v>202</v>
      </c>
      <c r="C421" s="15">
        <v>45220</v>
      </c>
      <c r="D421" s="16">
        <v>0.625</v>
      </c>
      <c r="E421" t="s">
        <v>384</v>
      </c>
      <c r="F421">
        <v>1.2</v>
      </c>
      <c r="G421" t="s">
        <v>229</v>
      </c>
      <c r="H421">
        <v>1.5</v>
      </c>
      <c r="I421" t="s">
        <v>396</v>
      </c>
      <c r="J421" s="1">
        <v>21524</v>
      </c>
      <c r="K421" t="s">
        <v>460</v>
      </c>
      <c r="L421" t="s">
        <v>455</v>
      </c>
      <c r="M421" t="s">
        <v>199</v>
      </c>
    </row>
    <row r="422" spans="1:13" x14ac:dyDescent="0.25">
      <c r="A422">
        <v>12</v>
      </c>
      <c r="B422" t="s">
        <v>202</v>
      </c>
      <c r="C422" s="15">
        <v>45220</v>
      </c>
      <c r="D422" s="16">
        <v>0.625</v>
      </c>
      <c r="E422" t="s">
        <v>379</v>
      </c>
      <c r="F422">
        <v>1.1000000000000001</v>
      </c>
      <c r="G422" t="s">
        <v>215</v>
      </c>
      <c r="H422">
        <v>0.7</v>
      </c>
      <c r="I422" t="s">
        <v>381</v>
      </c>
      <c r="J422" s="1">
        <v>13572</v>
      </c>
      <c r="K422" t="s">
        <v>441</v>
      </c>
      <c r="L422" t="s">
        <v>231</v>
      </c>
      <c r="M422" t="s">
        <v>199</v>
      </c>
    </row>
    <row r="423" spans="1:13" x14ac:dyDescent="0.25">
      <c r="A423">
        <v>12</v>
      </c>
      <c r="B423" t="s">
        <v>202</v>
      </c>
      <c r="C423" s="15">
        <v>45220</v>
      </c>
      <c r="D423" s="16">
        <v>0.625</v>
      </c>
      <c r="E423" t="s">
        <v>399</v>
      </c>
      <c r="F423">
        <v>0.7</v>
      </c>
      <c r="G423" t="s">
        <v>228</v>
      </c>
      <c r="H423">
        <v>2.9</v>
      </c>
      <c r="I423" t="s">
        <v>387</v>
      </c>
      <c r="J423" s="1">
        <v>18509</v>
      </c>
      <c r="K423" t="s">
        <v>445</v>
      </c>
      <c r="L423" t="s">
        <v>468</v>
      </c>
      <c r="M423" t="s">
        <v>199</v>
      </c>
    </row>
    <row r="424" spans="1:13" x14ac:dyDescent="0.25">
      <c r="A424">
        <v>12</v>
      </c>
      <c r="B424" t="s">
        <v>202</v>
      </c>
      <c r="C424" s="15">
        <v>45220</v>
      </c>
      <c r="D424" s="16">
        <v>0.625</v>
      </c>
      <c r="E424" t="s">
        <v>383</v>
      </c>
      <c r="F424">
        <v>1</v>
      </c>
      <c r="G424" t="s">
        <v>203</v>
      </c>
      <c r="H424">
        <v>1.3</v>
      </c>
      <c r="I424" t="s">
        <v>393</v>
      </c>
      <c r="J424" s="1">
        <v>18010</v>
      </c>
      <c r="K424" t="s">
        <v>451</v>
      </c>
      <c r="L424" t="s">
        <v>439</v>
      </c>
      <c r="M424" t="s">
        <v>199</v>
      </c>
    </row>
    <row r="426" spans="1:13" x14ac:dyDescent="0.25">
      <c r="A426">
        <v>13</v>
      </c>
      <c r="B426" t="s">
        <v>239</v>
      </c>
      <c r="C426" s="15">
        <v>45223</v>
      </c>
      <c r="D426" s="16">
        <v>0.82291666666666663</v>
      </c>
      <c r="E426" t="s">
        <v>390</v>
      </c>
      <c r="F426">
        <v>0.5</v>
      </c>
      <c r="G426" t="s">
        <v>229</v>
      </c>
      <c r="H426">
        <v>1.3</v>
      </c>
      <c r="I426" t="s">
        <v>388</v>
      </c>
      <c r="J426" s="1">
        <v>25585</v>
      </c>
      <c r="K426" t="s">
        <v>443</v>
      </c>
      <c r="L426" t="s">
        <v>216</v>
      </c>
      <c r="M426" t="s">
        <v>199</v>
      </c>
    </row>
    <row r="427" spans="1:13" x14ac:dyDescent="0.25">
      <c r="A427">
        <v>13</v>
      </c>
      <c r="B427" t="s">
        <v>239</v>
      </c>
      <c r="C427" s="15">
        <v>45223</v>
      </c>
      <c r="D427" s="16">
        <v>0.82291666666666663</v>
      </c>
      <c r="E427" t="s">
        <v>383</v>
      </c>
      <c r="F427">
        <v>1.6</v>
      </c>
      <c r="G427" t="s">
        <v>237</v>
      </c>
      <c r="H427">
        <v>1.4</v>
      </c>
      <c r="I427" t="s">
        <v>381</v>
      </c>
      <c r="J427" s="1">
        <v>16780</v>
      </c>
      <c r="K427" t="s">
        <v>451</v>
      </c>
      <c r="L427" t="s">
        <v>468</v>
      </c>
      <c r="M427" t="s">
        <v>199</v>
      </c>
    </row>
    <row r="428" spans="1:13" x14ac:dyDescent="0.25">
      <c r="A428">
        <v>13</v>
      </c>
      <c r="B428" t="s">
        <v>239</v>
      </c>
      <c r="C428" s="15">
        <v>45223</v>
      </c>
      <c r="D428" s="16">
        <v>0.82291666666666663</v>
      </c>
      <c r="E428" t="s">
        <v>399</v>
      </c>
      <c r="F428">
        <v>0.7</v>
      </c>
      <c r="G428" t="s">
        <v>204</v>
      </c>
      <c r="H428">
        <v>0.7</v>
      </c>
      <c r="I428" t="s">
        <v>400</v>
      </c>
      <c r="J428" s="1">
        <v>14698</v>
      </c>
      <c r="K428" t="s">
        <v>445</v>
      </c>
      <c r="L428" t="s">
        <v>470</v>
      </c>
      <c r="M428" t="s">
        <v>199</v>
      </c>
    </row>
    <row r="429" spans="1:13" x14ac:dyDescent="0.25">
      <c r="A429">
        <v>13</v>
      </c>
      <c r="B429" t="s">
        <v>239</v>
      </c>
      <c r="C429" s="15">
        <v>45223</v>
      </c>
      <c r="D429" s="16">
        <v>0.82291666666666663</v>
      </c>
      <c r="E429" t="s">
        <v>389</v>
      </c>
      <c r="F429">
        <v>1.8</v>
      </c>
      <c r="G429" t="s">
        <v>229</v>
      </c>
      <c r="H429">
        <v>1.1000000000000001</v>
      </c>
      <c r="I429" t="s">
        <v>379</v>
      </c>
      <c r="J429" s="1">
        <v>13834</v>
      </c>
      <c r="K429" t="s">
        <v>462</v>
      </c>
      <c r="L429" t="s">
        <v>475</v>
      </c>
      <c r="M429" t="s">
        <v>199</v>
      </c>
    </row>
    <row r="430" spans="1:13" x14ac:dyDescent="0.25">
      <c r="A430">
        <v>13</v>
      </c>
      <c r="B430" t="s">
        <v>239</v>
      </c>
      <c r="C430" s="15">
        <v>45223</v>
      </c>
      <c r="D430" s="16">
        <v>0.83333333333333337</v>
      </c>
      <c r="E430" t="s">
        <v>387</v>
      </c>
      <c r="F430">
        <v>1.3</v>
      </c>
      <c r="G430" t="s">
        <v>215</v>
      </c>
      <c r="H430">
        <v>1</v>
      </c>
      <c r="I430" t="s">
        <v>398</v>
      </c>
      <c r="J430" s="1">
        <v>30951</v>
      </c>
      <c r="K430" t="s">
        <v>447</v>
      </c>
      <c r="L430" t="s">
        <v>444</v>
      </c>
      <c r="M430" t="s">
        <v>199</v>
      </c>
    </row>
    <row r="431" spans="1:13" x14ac:dyDescent="0.25">
      <c r="A431">
        <v>13</v>
      </c>
      <c r="B431" t="s">
        <v>239</v>
      </c>
      <c r="C431" s="15">
        <v>45223</v>
      </c>
      <c r="D431" s="16">
        <v>0.83333333333333337</v>
      </c>
      <c r="E431" t="s">
        <v>401</v>
      </c>
      <c r="F431">
        <v>2.9</v>
      </c>
      <c r="G431" t="s">
        <v>221</v>
      </c>
      <c r="H431">
        <v>0.2</v>
      </c>
      <c r="I431" t="s">
        <v>393</v>
      </c>
      <c r="J431" s="1">
        <v>21749</v>
      </c>
      <c r="K431" t="s">
        <v>452</v>
      </c>
      <c r="L431" t="s">
        <v>464</v>
      </c>
      <c r="M431" t="s">
        <v>199</v>
      </c>
    </row>
    <row r="432" spans="1:13" x14ac:dyDescent="0.25">
      <c r="A432">
        <v>13</v>
      </c>
      <c r="B432" t="s">
        <v>247</v>
      </c>
      <c r="C432" s="15">
        <v>45224</v>
      </c>
      <c r="D432" s="16">
        <v>0.82291666666666663</v>
      </c>
      <c r="E432" t="s">
        <v>380</v>
      </c>
      <c r="F432">
        <v>0.8</v>
      </c>
      <c r="G432" t="s">
        <v>204</v>
      </c>
      <c r="H432">
        <v>1.7</v>
      </c>
      <c r="I432" t="s">
        <v>385</v>
      </c>
      <c r="J432" s="1">
        <v>22784</v>
      </c>
      <c r="K432" t="s">
        <v>432</v>
      </c>
      <c r="L432" t="s">
        <v>234</v>
      </c>
      <c r="M432" t="s">
        <v>199</v>
      </c>
    </row>
    <row r="433" spans="1:13" x14ac:dyDescent="0.25">
      <c r="A433">
        <v>13</v>
      </c>
      <c r="B433" t="s">
        <v>247</v>
      </c>
      <c r="C433" s="15">
        <v>45224</v>
      </c>
      <c r="D433" s="16">
        <v>0.82291666666666663</v>
      </c>
      <c r="E433" t="s">
        <v>392</v>
      </c>
      <c r="F433">
        <v>0.8</v>
      </c>
      <c r="G433" t="s">
        <v>212</v>
      </c>
      <c r="H433">
        <v>0.8</v>
      </c>
      <c r="I433" t="s">
        <v>396</v>
      </c>
      <c r="J433" s="1">
        <v>15346</v>
      </c>
      <c r="K433" t="s">
        <v>457</v>
      </c>
      <c r="L433" t="s">
        <v>466</v>
      </c>
      <c r="M433" t="s">
        <v>199</v>
      </c>
    </row>
    <row r="434" spans="1:13" x14ac:dyDescent="0.25">
      <c r="A434">
        <v>13</v>
      </c>
      <c r="B434" t="s">
        <v>247</v>
      </c>
      <c r="C434" s="15">
        <v>45224</v>
      </c>
      <c r="D434" s="16">
        <v>0.82291666666666663</v>
      </c>
      <c r="E434" t="s">
        <v>391</v>
      </c>
      <c r="F434">
        <v>1</v>
      </c>
      <c r="G434" t="s">
        <v>223</v>
      </c>
      <c r="H434">
        <v>1.1000000000000001</v>
      </c>
      <c r="I434" t="s">
        <v>395</v>
      </c>
      <c r="J434" s="1">
        <v>16225</v>
      </c>
      <c r="K434" t="s">
        <v>434</v>
      </c>
      <c r="L434" t="s">
        <v>446</v>
      </c>
      <c r="M434" t="s">
        <v>199</v>
      </c>
    </row>
    <row r="435" spans="1:13" x14ac:dyDescent="0.25">
      <c r="A435">
        <v>13</v>
      </c>
      <c r="B435" t="s">
        <v>247</v>
      </c>
      <c r="C435" s="15">
        <v>45224</v>
      </c>
      <c r="D435" s="16">
        <v>0.82291666666666663</v>
      </c>
      <c r="E435" t="s">
        <v>378</v>
      </c>
      <c r="F435">
        <v>0.6</v>
      </c>
      <c r="G435" t="s">
        <v>224</v>
      </c>
      <c r="H435">
        <v>1.2</v>
      </c>
      <c r="I435" t="s">
        <v>384</v>
      </c>
      <c r="J435" s="1">
        <v>19530</v>
      </c>
      <c r="K435" t="s">
        <v>463</v>
      </c>
      <c r="L435" t="s">
        <v>437</v>
      </c>
      <c r="M435" t="s">
        <v>199</v>
      </c>
    </row>
    <row r="436" spans="1:13" x14ac:dyDescent="0.25">
      <c r="A436">
        <v>13</v>
      </c>
      <c r="B436" t="s">
        <v>247</v>
      </c>
      <c r="C436" s="15">
        <v>45224</v>
      </c>
      <c r="D436" s="16">
        <v>0.82291666666666663</v>
      </c>
      <c r="E436" t="s">
        <v>394</v>
      </c>
      <c r="F436">
        <v>1.4</v>
      </c>
      <c r="G436" t="s">
        <v>221</v>
      </c>
      <c r="H436">
        <v>2.5</v>
      </c>
      <c r="I436" t="s">
        <v>382</v>
      </c>
      <c r="J436" s="1">
        <v>10553</v>
      </c>
      <c r="K436" t="s">
        <v>458</v>
      </c>
      <c r="L436" t="s">
        <v>476</v>
      </c>
      <c r="M436" t="s">
        <v>199</v>
      </c>
    </row>
    <row r="437" spans="1:13" x14ac:dyDescent="0.25">
      <c r="A437">
        <v>13</v>
      </c>
      <c r="B437" t="s">
        <v>247</v>
      </c>
      <c r="C437" s="15">
        <v>45224</v>
      </c>
      <c r="D437" s="16">
        <v>0.83333333333333337</v>
      </c>
      <c r="E437" t="s">
        <v>397</v>
      </c>
      <c r="F437">
        <v>0.8</v>
      </c>
      <c r="G437" t="s">
        <v>215</v>
      </c>
      <c r="H437">
        <v>1.8</v>
      </c>
      <c r="I437" t="s">
        <v>386</v>
      </c>
      <c r="J437" s="1">
        <v>25871</v>
      </c>
      <c r="K437" t="s">
        <v>436</v>
      </c>
      <c r="L437" t="s">
        <v>227</v>
      </c>
      <c r="M437" t="s">
        <v>199</v>
      </c>
    </row>
    <row r="438" spans="1:13" x14ac:dyDescent="0.25">
      <c r="C438" s="15"/>
      <c r="D438" s="16"/>
      <c r="J438" s="1"/>
    </row>
    <row r="439" spans="1:13" x14ac:dyDescent="0.25">
      <c r="A439">
        <v>14</v>
      </c>
      <c r="B439" t="s">
        <v>202</v>
      </c>
      <c r="C439" s="15">
        <v>45227</v>
      </c>
      <c r="D439" s="16">
        <v>0.52083333333333337</v>
      </c>
      <c r="E439" t="s">
        <v>386</v>
      </c>
      <c r="F439">
        <v>1.7</v>
      </c>
      <c r="G439" t="s">
        <v>206</v>
      </c>
      <c r="H439">
        <v>0.9</v>
      </c>
      <c r="I439" t="s">
        <v>383</v>
      </c>
      <c r="J439" s="1">
        <v>36813</v>
      </c>
      <c r="K439" t="s">
        <v>448</v>
      </c>
      <c r="L439" t="s">
        <v>464</v>
      </c>
      <c r="M439" t="s">
        <v>199</v>
      </c>
    </row>
    <row r="440" spans="1:13" x14ac:dyDescent="0.25">
      <c r="A440">
        <v>14</v>
      </c>
      <c r="B440" t="s">
        <v>202</v>
      </c>
      <c r="C440" s="15">
        <v>45227</v>
      </c>
      <c r="D440" s="16">
        <v>0.52083333333333337</v>
      </c>
      <c r="E440" t="s">
        <v>396</v>
      </c>
      <c r="F440">
        <v>2.2999999999999998</v>
      </c>
      <c r="G440" t="s">
        <v>218</v>
      </c>
      <c r="H440">
        <v>0.6</v>
      </c>
      <c r="I440" t="s">
        <v>378</v>
      </c>
      <c r="J440" s="1">
        <v>28924</v>
      </c>
      <c r="K440" t="s">
        <v>461</v>
      </c>
      <c r="L440" t="s">
        <v>433</v>
      </c>
      <c r="M440" t="s">
        <v>199</v>
      </c>
    </row>
    <row r="441" spans="1:13" x14ac:dyDescent="0.25">
      <c r="A441">
        <v>14</v>
      </c>
      <c r="B441" t="s">
        <v>202</v>
      </c>
      <c r="C441" s="15">
        <v>45227</v>
      </c>
      <c r="D441" s="16">
        <v>0.625</v>
      </c>
      <c r="E441" t="s">
        <v>385</v>
      </c>
      <c r="F441">
        <v>2</v>
      </c>
      <c r="G441" t="s">
        <v>226</v>
      </c>
      <c r="H441">
        <v>1.6</v>
      </c>
      <c r="I441" t="s">
        <v>391</v>
      </c>
      <c r="J441" s="1">
        <v>29027</v>
      </c>
      <c r="K441" t="s">
        <v>456</v>
      </c>
      <c r="L441" t="s">
        <v>439</v>
      </c>
      <c r="M441" t="s">
        <v>199</v>
      </c>
    </row>
    <row r="442" spans="1:13" x14ac:dyDescent="0.25">
      <c r="A442">
        <v>14</v>
      </c>
      <c r="B442" t="s">
        <v>202</v>
      </c>
      <c r="C442" s="15">
        <v>45227</v>
      </c>
      <c r="D442" s="16">
        <v>0.625</v>
      </c>
      <c r="E442" t="s">
        <v>398</v>
      </c>
      <c r="F442">
        <v>2.6</v>
      </c>
      <c r="G442" t="s">
        <v>218</v>
      </c>
      <c r="H442">
        <v>0.7</v>
      </c>
      <c r="I442" t="s">
        <v>390</v>
      </c>
      <c r="J442" s="1">
        <v>39871</v>
      </c>
      <c r="K442" t="s">
        <v>449</v>
      </c>
      <c r="L442" t="s">
        <v>468</v>
      </c>
      <c r="M442" t="s">
        <v>199</v>
      </c>
    </row>
    <row r="443" spans="1:13" x14ac:dyDescent="0.25">
      <c r="A443">
        <v>14</v>
      </c>
      <c r="B443" t="s">
        <v>202</v>
      </c>
      <c r="C443" s="15">
        <v>45227</v>
      </c>
      <c r="D443" s="16">
        <v>0.625</v>
      </c>
      <c r="E443" t="s">
        <v>400</v>
      </c>
      <c r="F443">
        <v>2.1</v>
      </c>
      <c r="G443" t="s">
        <v>212</v>
      </c>
      <c r="H443">
        <v>0.9</v>
      </c>
      <c r="I443" t="s">
        <v>389</v>
      </c>
      <c r="J443" s="1">
        <v>18620</v>
      </c>
      <c r="K443" t="s">
        <v>440</v>
      </c>
      <c r="L443" t="s">
        <v>444</v>
      </c>
      <c r="M443" t="s">
        <v>199</v>
      </c>
    </row>
    <row r="444" spans="1:13" x14ac:dyDescent="0.25">
      <c r="A444">
        <v>14</v>
      </c>
      <c r="B444" t="s">
        <v>202</v>
      </c>
      <c r="C444" s="15">
        <v>45227</v>
      </c>
      <c r="D444" s="16">
        <v>0.625</v>
      </c>
      <c r="E444" t="s">
        <v>381</v>
      </c>
      <c r="F444">
        <v>1</v>
      </c>
      <c r="G444" t="s">
        <v>221</v>
      </c>
      <c r="H444">
        <v>0.8</v>
      </c>
      <c r="I444" t="s">
        <v>380</v>
      </c>
      <c r="J444" s="1">
        <v>25803</v>
      </c>
      <c r="K444" t="s">
        <v>453</v>
      </c>
      <c r="L444" t="s">
        <v>232</v>
      </c>
      <c r="M444" t="s">
        <v>199</v>
      </c>
    </row>
    <row r="445" spans="1:13" x14ac:dyDescent="0.25">
      <c r="A445">
        <v>14</v>
      </c>
      <c r="B445" t="s">
        <v>202</v>
      </c>
      <c r="C445" s="15">
        <v>45227</v>
      </c>
      <c r="D445" s="16">
        <v>0.625</v>
      </c>
      <c r="E445" t="s">
        <v>393</v>
      </c>
      <c r="F445">
        <v>0.4</v>
      </c>
      <c r="G445" t="s">
        <v>229</v>
      </c>
      <c r="H445">
        <v>1</v>
      </c>
      <c r="I445" t="s">
        <v>387</v>
      </c>
      <c r="J445" s="1">
        <v>17385</v>
      </c>
      <c r="K445" t="s">
        <v>465</v>
      </c>
      <c r="L445" t="s">
        <v>471</v>
      </c>
      <c r="M445" t="s">
        <v>199</v>
      </c>
    </row>
    <row r="446" spans="1:13" x14ac:dyDescent="0.25">
      <c r="A446">
        <v>14</v>
      </c>
      <c r="B446" t="s">
        <v>202</v>
      </c>
      <c r="C446" s="15">
        <v>45227</v>
      </c>
      <c r="D446" s="16">
        <v>0.625</v>
      </c>
      <c r="E446" t="s">
        <v>384</v>
      </c>
      <c r="F446">
        <v>0.5</v>
      </c>
      <c r="G446" t="s">
        <v>215</v>
      </c>
      <c r="H446">
        <v>0.4</v>
      </c>
      <c r="I446" t="s">
        <v>392</v>
      </c>
      <c r="J446" s="1">
        <v>24267</v>
      </c>
      <c r="K446" t="s">
        <v>460</v>
      </c>
      <c r="L446" t="s">
        <v>476</v>
      </c>
      <c r="M446" t="s">
        <v>199</v>
      </c>
    </row>
    <row r="447" spans="1:13" x14ac:dyDescent="0.25">
      <c r="A447">
        <v>14</v>
      </c>
      <c r="B447" t="s">
        <v>202</v>
      </c>
      <c r="C447" s="15">
        <v>45227</v>
      </c>
      <c r="D447" s="16">
        <v>0.625</v>
      </c>
      <c r="E447" t="s">
        <v>379</v>
      </c>
      <c r="F447">
        <v>1.7</v>
      </c>
      <c r="G447" t="s">
        <v>204</v>
      </c>
      <c r="H447">
        <v>1</v>
      </c>
      <c r="I447" t="s">
        <v>399</v>
      </c>
      <c r="J447" s="1">
        <v>13102</v>
      </c>
      <c r="K447" t="s">
        <v>441</v>
      </c>
      <c r="L447" t="s">
        <v>467</v>
      </c>
      <c r="M447" t="s">
        <v>199</v>
      </c>
    </row>
    <row r="448" spans="1:13" x14ac:dyDescent="0.25">
      <c r="A448">
        <v>14</v>
      </c>
      <c r="B448" t="s">
        <v>202</v>
      </c>
      <c r="C448" s="15">
        <v>45227</v>
      </c>
      <c r="D448" s="16">
        <v>0.625</v>
      </c>
      <c r="E448" t="s">
        <v>388</v>
      </c>
      <c r="F448">
        <v>1</v>
      </c>
      <c r="G448" t="s">
        <v>224</v>
      </c>
      <c r="H448">
        <v>1.4</v>
      </c>
      <c r="I448" t="s">
        <v>397</v>
      </c>
      <c r="J448" s="1">
        <v>26732</v>
      </c>
      <c r="K448" t="s">
        <v>438</v>
      </c>
      <c r="L448" t="s">
        <v>470</v>
      </c>
      <c r="M448" t="s">
        <v>199</v>
      </c>
    </row>
    <row r="449" spans="1:13" x14ac:dyDescent="0.25">
      <c r="A449">
        <v>14</v>
      </c>
      <c r="B449" t="s">
        <v>211</v>
      </c>
      <c r="C449" s="15">
        <v>45228</v>
      </c>
      <c r="D449" s="16">
        <v>0.54166666666666663</v>
      </c>
      <c r="E449" t="s">
        <v>395</v>
      </c>
      <c r="F449">
        <v>2.6</v>
      </c>
      <c r="G449" t="s">
        <v>221</v>
      </c>
      <c r="H449">
        <v>0.4</v>
      </c>
      <c r="I449" t="s">
        <v>394</v>
      </c>
      <c r="J449" s="1">
        <v>29038</v>
      </c>
      <c r="K449" t="s">
        <v>431</v>
      </c>
      <c r="L449" t="s">
        <v>475</v>
      </c>
      <c r="M449" t="s">
        <v>199</v>
      </c>
    </row>
    <row r="450" spans="1:13" x14ac:dyDescent="0.25">
      <c r="A450">
        <v>14</v>
      </c>
      <c r="B450" t="s">
        <v>214</v>
      </c>
      <c r="C450" s="15">
        <v>45229</v>
      </c>
      <c r="D450" s="16">
        <v>0.83333333333333337</v>
      </c>
      <c r="E450" t="s">
        <v>382</v>
      </c>
      <c r="F450">
        <v>1.8</v>
      </c>
      <c r="G450" t="s">
        <v>224</v>
      </c>
      <c r="H450">
        <v>2</v>
      </c>
      <c r="I450" t="s">
        <v>401</v>
      </c>
      <c r="J450" s="1">
        <v>23971</v>
      </c>
      <c r="K450" t="s">
        <v>450</v>
      </c>
      <c r="L450" t="s">
        <v>209</v>
      </c>
      <c r="M450" t="s">
        <v>199</v>
      </c>
    </row>
    <row r="451" spans="1:13" x14ac:dyDescent="0.25">
      <c r="C451" s="15"/>
      <c r="D451" s="16"/>
      <c r="J451" s="1"/>
    </row>
    <row r="452" spans="1:13" x14ac:dyDescent="0.25">
      <c r="A452">
        <v>15</v>
      </c>
      <c r="B452" t="s">
        <v>200</v>
      </c>
      <c r="C452" s="15">
        <v>45233</v>
      </c>
      <c r="D452" s="16">
        <v>0.83333333333333337</v>
      </c>
      <c r="E452" t="s">
        <v>387</v>
      </c>
      <c r="F452">
        <v>0.6</v>
      </c>
      <c r="G452" t="s">
        <v>204</v>
      </c>
      <c r="H452">
        <v>1.4</v>
      </c>
      <c r="I452" t="s">
        <v>386</v>
      </c>
      <c r="J452" s="1">
        <v>32011</v>
      </c>
      <c r="K452" t="s">
        <v>447</v>
      </c>
      <c r="L452" t="s">
        <v>442</v>
      </c>
      <c r="M452" t="s">
        <v>199</v>
      </c>
    </row>
    <row r="453" spans="1:13" x14ac:dyDescent="0.25">
      <c r="A453">
        <v>15</v>
      </c>
      <c r="B453" t="s">
        <v>202</v>
      </c>
      <c r="C453" s="15">
        <v>45234</v>
      </c>
      <c r="D453" s="16">
        <v>0.625</v>
      </c>
      <c r="E453" t="s">
        <v>399</v>
      </c>
      <c r="F453">
        <v>0.9</v>
      </c>
      <c r="G453" t="s">
        <v>233</v>
      </c>
      <c r="H453">
        <v>1.9</v>
      </c>
      <c r="I453" t="s">
        <v>398</v>
      </c>
      <c r="J453" s="1">
        <v>16974</v>
      </c>
      <c r="K453" t="s">
        <v>445</v>
      </c>
      <c r="L453" t="s">
        <v>231</v>
      </c>
      <c r="M453" t="s">
        <v>199</v>
      </c>
    </row>
    <row r="454" spans="1:13" x14ac:dyDescent="0.25">
      <c r="A454">
        <v>15</v>
      </c>
      <c r="B454" t="s">
        <v>202</v>
      </c>
      <c r="C454" s="15">
        <v>45234</v>
      </c>
      <c r="D454" s="16">
        <v>0.625</v>
      </c>
      <c r="E454" t="s">
        <v>383</v>
      </c>
      <c r="F454">
        <v>0.1</v>
      </c>
      <c r="G454" t="s">
        <v>233</v>
      </c>
      <c r="H454">
        <v>0.4</v>
      </c>
      <c r="I454" t="s">
        <v>400</v>
      </c>
      <c r="J454" s="1">
        <v>18225</v>
      </c>
      <c r="K454" t="s">
        <v>451</v>
      </c>
      <c r="L454" t="s">
        <v>478</v>
      </c>
      <c r="M454" t="s">
        <v>199</v>
      </c>
    </row>
    <row r="455" spans="1:13" x14ac:dyDescent="0.25">
      <c r="A455">
        <v>15</v>
      </c>
      <c r="B455" t="s">
        <v>202</v>
      </c>
      <c r="C455" s="15">
        <v>45234</v>
      </c>
      <c r="D455" s="16">
        <v>0.625</v>
      </c>
      <c r="E455" t="s">
        <v>389</v>
      </c>
      <c r="F455">
        <v>0.5</v>
      </c>
      <c r="G455" t="s">
        <v>204</v>
      </c>
      <c r="H455">
        <v>1.1000000000000001</v>
      </c>
      <c r="I455" t="s">
        <v>396</v>
      </c>
      <c r="J455" s="1">
        <v>18905</v>
      </c>
      <c r="K455" t="s">
        <v>462</v>
      </c>
      <c r="L455" t="s">
        <v>446</v>
      </c>
      <c r="M455" t="s">
        <v>199</v>
      </c>
    </row>
    <row r="456" spans="1:13" x14ac:dyDescent="0.25">
      <c r="A456">
        <v>15</v>
      </c>
      <c r="B456" t="s">
        <v>202</v>
      </c>
      <c r="C456" s="15">
        <v>45234</v>
      </c>
      <c r="D456" s="16">
        <v>0.625</v>
      </c>
      <c r="E456" t="s">
        <v>394</v>
      </c>
      <c r="F456">
        <v>0.5</v>
      </c>
      <c r="G456" t="s">
        <v>208</v>
      </c>
      <c r="H456">
        <v>1</v>
      </c>
      <c r="I456" t="s">
        <v>393</v>
      </c>
      <c r="J456" s="1">
        <v>10199</v>
      </c>
      <c r="K456" t="s">
        <v>458</v>
      </c>
      <c r="L456" t="s">
        <v>240</v>
      </c>
      <c r="M456" t="s">
        <v>199</v>
      </c>
    </row>
    <row r="457" spans="1:13" x14ac:dyDescent="0.25">
      <c r="A457">
        <v>15</v>
      </c>
      <c r="B457" t="s">
        <v>202</v>
      </c>
      <c r="C457" s="15">
        <v>45234</v>
      </c>
      <c r="D457" s="16">
        <v>0.625</v>
      </c>
      <c r="E457" t="s">
        <v>378</v>
      </c>
      <c r="F457">
        <v>0.9</v>
      </c>
      <c r="G457" t="s">
        <v>212</v>
      </c>
      <c r="H457">
        <v>1.6</v>
      </c>
      <c r="I457" t="s">
        <v>385</v>
      </c>
      <c r="J457" s="1">
        <v>20940</v>
      </c>
      <c r="K457" t="s">
        <v>463</v>
      </c>
      <c r="L457" t="s">
        <v>471</v>
      </c>
      <c r="M457" t="s">
        <v>199</v>
      </c>
    </row>
    <row r="458" spans="1:13" x14ac:dyDescent="0.25">
      <c r="A458">
        <v>15</v>
      </c>
      <c r="B458" t="s">
        <v>202</v>
      </c>
      <c r="C458" s="15">
        <v>45234</v>
      </c>
      <c r="D458" s="16">
        <v>0.625</v>
      </c>
      <c r="E458" t="s">
        <v>391</v>
      </c>
      <c r="F458">
        <v>1</v>
      </c>
      <c r="G458" t="s">
        <v>245</v>
      </c>
      <c r="H458">
        <v>2.5</v>
      </c>
      <c r="I458" t="s">
        <v>388</v>
      </c>
      <c r="J458" s="1">
        <v>16471</v>
      </c>
      <c r="K458" t="s">
        <v>434</v>
      </c>
      <c r="L458" t="s">
        <v>232</v>
      </c>
      <c r="M458" t="s">
        <v>199</v>
      </c>
    </row>
    <row r="459" spans="1:13" x14ac:dyDescent="0.25">
      <c r="A459">
        <v>15</v>
      </c>
      <c r="B459" t="s">
        <v>202</v>
      </c>
      <c r="C459" s="15">
        <v>45234</v>
      </c>
      <c r="D459" s="16">
        <v>0.625</v>
      </c>
      <c r="E459" t="s">
        <v>380</v>
      </c>
      <c r="F459">
        <v>1.6</v>
      </c>
      <c r="G459" t="s">
        <v>215</v>
      </c>
      <c r="H459">
        <v>1.3</v>
      </c>
      <c r="I459" t="s">
        <v>395</v>
      </c>
      <c r="J459" s="1">
        <v>22322</v>
      </c>
      <c r="K459" t="s">
        <v>432</v>
      </c>
      <c r="L459" t="s">
        <v>476</v>
      </c>
      <c r="M459" t="s">
        <v>199</v>
      </c>
    </row>
    <row r="460" spans="1:13" x14ac:dyDescent="0.25">
      <c r="A460">
        <v>15</v>
      </c>
      <c r="B460" t="s">
        <v>202</v>
      </c>
      <c r="C460" s="15">
        <v>45234</v>
      </c>
      <c r="D460" s="16">
        <v>0.625</v>
      </c>
      <c r="E460" t="s">
        <v>397</v>
      </c>
      <c r="F460">
        <v>0.4</v>
      </c>
      <c r="G460" t="s">
        <v>233</v>
      </c>
      <c r="H460">
        <v>0.4</v>
      </c>
      <c r="I460" t="s">
        <v>381</v>
      </c>
      <c r="J460" s="1">
        <v>23089</v>
      </c>
      <c r="K460" t="s">
        <v>436</v>
      </c>
      <c r="L460" t="s">
        <v>454</v>
      </c>
      <c r="M460" t="s">
        <v>199</v>
      </c>
    </row>
    <row r="461" spans="1:13" x14ac:dyDescent="0.25">
      <c r="A461">
        <v>15</v>
      </c>
      <c r="B461" t="s">
        <v>202</v>
      </c>
      <c r="C461" s="15">
        <v>45234</v>
      </c>
      <c r="D461" s="16">
        <v>0.625</v>
      </c>
      <c r="E461" t="s">
        <v>401</v>
      </c>
      <c r="F461">
        <v>1</v>
      </c>
      <c r="G461" t="s">
        <v>218</v>
      </c>
      <c r="H461">
        <v>0.5</v>
      </c>
      <c r="I461" t="s">
        <v>384</v>
      </c>
      <c r="J461" s="1">
        <v>23333</v>
      </c>
      <c r="K461" t="s">
        <v>452</v>
      </c>
      <c r="L461" t="s">
        <v>470</v>
      </c>
      <c r="M461" t="s">
        <v>199</v>
      </c>
    </row>
    <row r="462" spans="1:13" x14ac:dyDescent="0.25">
      <c r="A462">
        <v>15</v>
      </c>
      <c r="B462" t="s">
        <v>202</v>
      </c>
      <c r="C462" s="15">
        <v>45234</v>
      </c>
      <c r="D462" s="16">
        <v>0.625</v>
      </c>
      <c r="E462" t="s">
        <v>392</v>
      </c>
      <c r="F462">
        <v>2.2000000000000002</v>
      </c>
      <c r="G462" t="s">
        <v>226</v>
      </c>
      <c r="H462">
        <v>2.2999999999999998</v>
      </c>
      <c r="I462" t="s">
        <v>382</v>
      </c>
      <c r="J462" s="1">
        <v>16716</v>
      </c>
      <c r="K462" t="s">
        <v>457</v>
      </c>
      <c r="L462" t="s">
        <v>213</v>
      </c>
      <c r="M462" t="s">
        <v>199</v>
      </c>
    </row>
    <row r="463" spans="1:13" x14ac:dyDescent="0.25">
      <c r="A463">
        <v>15</v>
      </c>
      <c r="B463" t="s">
        <v>211</v>
      </c>
      <c r="C463" s="15">
        <v>45235</v>
      </c>
      <c r="D463" s="16">
        <v>0.5</v>
      </c>
      <c r="E463" t="s">
        <v>390</v>
      </c>
      <c r="F463">
        <v>1.3</v>
      </c>
      <c r="G463" t="s">
        <v>228</v>
      </c>
      <c r="H463">
        <v>1.4</v>
      </c>
      <c r="I463" t="s">
        <v>379</v>
      </c>
      <c r="J463" s="1">
        <v>25696</v>
      </c>
      <c r="K463" t="s">
        <v>443</v>
      </c>
      <c r="L463" t="s">
        <v>234</v>
      </c>
      <c r="M463" t="s">
        <v>199</v>
      </c>
    </row>
    <row r="464" spans="1:13" x14ac:dyDescent="0.25">
      <c r="C464" s="15"/>
      <c r="D464" s="16"/>
    </row>
    <row r="465" spans="1:13" x14ac:dyDescent="0.25">
      <c r="A465">
        <v>12</v>
      </c>
      <c r="B465" t="s">
        <v>239</v>
      </c>
      <c r="C465" s="15">
        <v>45237</v>
      </c>
      <c r="D465" s="16">
        <v>0.83333333333333337</v>
      </c>
      <c r="E465" t="s">
        <v>394</v>
      </c>
      <c r="F465">
        <v>1.2</v>
      </c>
      <c r="G465" t="s">
        <v>212</v>
      </c>
      <c r="H465">
        <v>0.9</v>
      </c>
      <c r="I465" t="s">
        <v>385</v>
      </c>
      <c r="J465" s="1">
        <v>10800</v>
      </c>
      <c r="K465" t="s">
        <v>458</v>
      </c>
      <c r="L465" t="s">
        <v>238</v>
      </c>
      <c r="M465" t="s">
        <v>199</v>
      </c>
    </row>
    <row r="466" spans="1:13" x14ac:dyDescent="0.25">
      <c r="C466" s="15"/>
      <c r="D466" s="16"/>
    </row>
    <row r="467" spans="1:13" x14ac:dyDescent="0.25">
      <c r="A467">
        <v>16</v>
      </c>
      <c r="B467" t="s">
        <v>200</v>
      </c>
      <c r="C467" s="15">
        <v>45240</v>
      </c>
      <c r="D467" s="16">
        <v>0.83333333333333337</v>
      </c>
      <c r="E467" t="s">
        <v>379</v>
      </c>
      <c r="F467">
        <v>1.5</v>
      </c>
      <c r="G467" t="s">
        <v>229</v>
      </c>
      <c r="H467">
        <v>1.1000000000000001</v>
      </c>
      <c r="I467" t="s">
        <v>392</v>
      </c>
      <c r="J467" s="1">
        <v>20596</v>
      </c>
      <c r="K467" t="s">
        <v>441</v>
      </c>
      <c r="L467" t="s">
        <v>219</v>
      </c>
      <c r="M467" t="s">
        <v>199</v>
      </c>
    </row>
    <row r="468" spans="1:13" x14ac:dyDescent="0.25">
      <c r="A468">
        <v>16</v>
      </c>
      <c r="B468" t="s">
        <v>202</v>
      </c>
      <c r="C468" s="15">
        <v>45241</v>
      </c>
      <c r="D468" s="16">
        <v>0.52083333333333337</v>
      </c>
      <c r="E468" t="s">
        <v>398</v>
      </c>
      <c r="F468">
        <v>3</v>
      </c>
      <c r="G468" t="s">
        <v>218</v>
      </c>
      <c r="H468">
        <v>1.3</v>
      </c>
      <c r="I468" t="s">
        <v>378</v>
      </c>
      <c r="J468" s="1">
        <v>40922</v>
      </c>
      <c r="K468" t="s">
        <v>449</v>
      </c>
      <c r="L468" t="s">
        <v>442</v>
      </c>
      <c r="M468" t="s">
        <v>199</v>
      </c>
    </row>
    <row r="469" spans="1:13" x14ac:dyDescent="0.25">
      <c r="A469">
        <v>16</v>
      </c>
      <c r="B469" t="s">
        <v>202</v>
      </c>
      <c r="C469" s="15">
        <v>45241</v>
      </c>
      <c r="D469" s="16">
        <v>0.625</v>
      </c>
      <c r="E469" t="s">
        <v>382</v>
      </c>
      <c r="F469">
        <v>1.1000000000000001</v>
      </c>
      <c r="G469" t="s">
        <v>233</v>
      </c>
      <c r="H469">
        <v>0.7</v>
      </c>
      <c r="I469" t="s">
        <v>397</v>
      </c>
      <c r="J469" s="1">
        <v>25003</v>
      </c>
      <c r="K469" t="s">
        <v>450</v>
      </c>
      <c r="L469" t="s">
        <v>468</v>
      </c>
      <c r="M469" t="s">
        <v>199</v>
      </c>
    </row>
    <row r="470" spans="1:13" x14ac:dyDescent="0.25">
      <c r="A470">
        <v>16</v>
      </c>
      <c r="B470" t="s">
        <v>202</v>
      </c>
      <c r="C470" s="15">
        <v>45241</v>
      </c>
      <c r="D470" s="16">
        <v>0.625</v>
      </c>
      <c r="E470" t="s">
        <v>386</v>
      </c>
      <c r="F470">
        <v>1.7</v>
      </c>
      <c r="G470" t="s">
        <v>203</v>
      </c>
      <c r="H470">
        <v>1.4</v>
      </c>
      <c r="I470" t="s">
        <v>391</v>
      </c>
      <c r="J470" s="1">
        <v>36718</v>
      </c>
      <c r="K470" t="s">
        <v>448</v>
      </c>
      <c r="L470" t="s">
        <v>234</v>
      </c>
      <c r="M470" t="s">
        <v>199</v>
      </c>
    </row>
    <row r="471" spans="1:13" x14ac:dyDescent="0.25">
      <c r="A471">
        <v>16</v>
      </c>
      <c r="B471" t="s">
        <v>202</v>
      </c>
      <c r="C471" s="15">
        <v>45241</v>
      </c>
      <c r="D471" s="16">
        <v>0.625</v>
      </c>
      <c r="E471" t="s">
        <v>388</v>
      </c>
      <c r="F471">
        <v>0.9</v>
      </c>
      <c r="G471" t="s">
        <v>215</v>
      </c>
      <c r="H471">
        <v>0.8</v>
      </c>
      <c r="I471" t="s">
        <v>387</v>
      </c>
      <c r="J471" s="1">
        <v>30042</v>
      </c>
      <c r="K471" t="s">
        <v>438</v>
      </c>
      <c r="L471" t="s">
        <v>454</v>
      </c>
      <c r="M471" t="s">
        <v>199</v>
      </c>
    </row>
    <row r="472" spans="1:13" x14ac:dyDescent="0.25">
      <c r="A472">
        <v>16</v>
      </c>
      <c r="B472" t="s">
        <v>202</v>
      </c>
      <c r="C472" s="15">
        <v>45241</v>
      </c>
      <c r="D472" s="16">
        <v>0.625</v>
      </c>
      <c r="E472" t="s">
        <v>385</v>
      </c>
      <c r="F472">
        <v>3.8</v>
      </c>
      <c r="G472" t="s">
        <v>226</v>
      </c>
      <c r="H472">
        <v>1.6</v>
      </c>
      <c r="I472" t="s">
        <v>399</v>
      </c>
      <c r="J472" s="1">
        <v>28925</v>
      </c>
      <c r="K472" t="s">
        <v>456</v>
      </c>
      <c r="L472" t="s">
        <v>478</v>
      </c>
      <c r="M472" t="s">
        <v>199</v>
      </c>
    </row>
    <row r="473" spans="1:13" x14ac:dyDescent="0.25">
      <c r="A473">
        <v>16</v>
      </c>
      <c r="B473" t="s">
        <v>202</v>
      </c>
      <c r="C473" s="15">
        <v>45241</v>
      </c>
      <c r="D473" s="16">
        <v>0.625</v>
      </c>
      <c r="E473" t="s">
        <v>395</v>
      </c>
      <c r="F473">
        <v>1.6</v>
      </c>
      <c r="G473" t="s">
        <v>237</v>
      </c>
      <c r="H473">
        <v>1.8</v>
      </c>
      <c r="I473" t="s">
        <v>389</v>
      </c>
      <c r="J473" s="1">
        <v>25678</v>
      </c>
      <c r="K473" t="s">
        <v>431</v>
      </c>
      <c r="L473" t="s">
        <v>439</v>
      </c>
      <c r="M473" t="s">
        <v>199</v>
      </c>
    </row>
    <row r="474" spans="1:13" x14ac:dyDescent="0.25">
      <c r="A474">
        <v>16</v>
      </c>
      <c r="B474" t="s">
        <v>202</v>
      </c>
      <c r="C474" s="15">
        <v>45241</v>
      </c>
      <c r="D474" s="16">
        <v>0.625</v>
      </c>
      <c r="E474" t="s">
        <v>400</v>
      </c>
      <c r="F474">
        <v>2.2000000000000002</v>
      </c>
      <c r="G474" t="s">
        <v>241</v>
      </c>
      <c r="H474">
        <v>0.7</v>
      </c>
      <c r="I474" t="s">
        <v>394</v>
      </c>
      <c r="J474" s="1">
        <v>17349</v>
      </c>
      <c r="K474" t="s">
        <v>440</v>
      </c>
      <c r="L474" t="s">
        <v>467</v>
      </c>
      <c r="M474" t="s">
        <v>199</v>
      </c>
    </row>
    <row r="475" spans="1:13" x14ac:dyDescent="0.25">
      <c r="A475">
        <v>16</v>
      </c>
      <c r="B475" t="s">
        <v>202</v>
      </c>
      <c r="C475" s="15">
        <v>45241</v>
      </c>
      <c r="D475" s="16">
        <v>0.625</v>
      </c>
      <c r="E475" t="s">
        <v>396</v>
      </c>
      <c r="F475">
        <v>1.1000000000000001</v>
      </c>
      <c r="G475" t="s">
        <v>203</v>
      </c>
      <c r="H475">
        <v>2</v>
      </c>
      <c r="I475" t="s">
        <v>401</v>
      </c>
      <c r="J475" s="1">
        <v>30160</v>
      </c>
      <c r="K475" t="s">
        <v>461</v>
      </c>
      <c r="L475" t="s">
        <v>473</v>
      </c>
      <c r="M475" t="s">
        <v>199</v>
      </c>
    </row>
    <row r="476" spans="1:13" x14ac:dyDescent="0.25">
      <c r="A476">
        <v>16</v>
      </c>
      <c r="B476" t="s">
        <v>202</v>
      </c>
      <c r="C476" s="15">
        <v>45241</v>
      </c>
      <c r="D476" s="16">
        <v>0.625</v>
      </c>
      <c r="E476" t="s">
        <v>384</v>
      </c>
      <c r="F476">
        <v>1.4</v>
      </c>
      <c r="G476" t="s">
        <v>215</v>
      </c>
      <c r="H476">
        <v>0.1</v>
      </c>
      <c r="I476" t="s">
        <v>383</v>
      </c>
      <c r="J476" s="1">
        <v>20630</v>
      </c>
      <c r="K476" t="s">
        <v>460</v>
      </c>
      <c r="L476" t="s">
        <v>435</v>
      </c>
      <c r="M476" t="s">
        <v>199</v>
      </c>
    </row>
    <row r="477" spans="1:13" x14ac:dyDescent="0.25">
      <c r="A477">
        <v>16</v>
      </c>
      <c r="B477" t="s">
        <v>202</v>
      </c>
      <c r="C477" s="15">
        <v>45241</v>
      </c>
      <c r="D477" s="16">
        <v>0.625</v>
      </c>
      <c r="E477" t="s">
        <v>393</v>
      </c>
      <c r="F477">
        <v>0.4</v>
      </c>
      <c r="G477" t="s">
        <v>233</v>
      </c>
      <c r="H477">
        <v>0.4</v>
      </c>
      <c r="I477" t="s">
        <v>380</v>
      </c>
      <c r="J477" s="1">
        <v>17540</v>
      </c>
      <c r="K477" t="s">
        <v>465</v>
      </c>
      <c r="L477" t="s">
        <v>455</v>
      </c>
      <c r="M477" t="s">
        <v>199</v>
      </c>
    </row>
    <row r="478" spans="1:13" x14ac:dyDescent="0.25">
      <c r="A478">
        <v>16</v>
      </c>
      <c r="B478" t="s">
        <v>202</v>
      </c>
      <c r="C478" s="15">
        <v>45241</v>
      </c>
      <c r="D478" s="16">
        <v>0.625</v>
      </c>
      <c r="E478" t="s">
        <v>381</v>
      </c>
      <c r="F478">
        <v>1.3</v>
      </c>
      <c r="G478" t="s">
        <v>242</v>
      </c>
      <c r="H478">
        <v>3.4</v>
      </c>
      <c r="I478" t="s">
        <v>390</v>
      </c>
      <c r="J478" s="1">
        <v>21271</v>
      </c>
      <c r="K478" t="s">
        <v>453</v>
      </c>
      <c r="L478" t="s">
        <v>477</v>
      </c>
      <c r="M478" t="s">
        <v>199</v>
      </c>
    </row>
    <row r="479" spans="1:13" x14ac:dyDescent="0.25">
      <c r="C479" s="15"/>
      <c r="D479" s="16"/>
    </row>
    <row r="480" spans="1:13" x14ac:dyDescent="0.25">
      <c r="A480">
        <v>17</v>
      </c>
      <c r="B480" t="s">
        <v>200</v>
      </c>
      <c r="C480" s="15">
        <v>45254</v>
      </c>
      <c r="D480" s="16">
        <v>0.83333333333333337</v>
      </c>
      <c r="E480" t="s">
        <v>394</v>
      </c>
      <c r="F480">
        <v>0.7</v>
      </c>
      <c r="G480" t="s">
        <v>208</v>
      </c>
      <c r="H480">
        <v>1.6</v>
      </c>
      <c r="I480" t="s">
        <v>386</v>
      </c>
      <c r="J480" s="1">
        <v>11471</v>
      </c>
      <c r="K480" t="s">
        <v>458</v>
      </c>
      <c r="L480" t="s">
        <v>454</v>
      </c>
      <c r="M480" t="s">
        <v>199</v>
      </c>
    </row>
    <row r="481" spans="1:13" x14ac:dyDescent="0.25">
      <c r="A481">
        <v>17</v>
      </c>
      <c r="B481" t="s">
        <v>202</v>
      </c>
      <c r="C481" s="15">
        <v>45255</v>
      </c>
      <c r="D481" s="16">
        <v>0.625</v>
      </c>
      <c r="E481" t="s">
        <v>397</v>
      </c>
      <c r="F481">
        <v>0.8</v>
      </c>
      <c r="G481" t="s">
        <v>201</v>
      </c>
      <c r="H481">
        <v>1.7</v>
      </c>
      <c r="I481" t="s">
        <v>379</v>
      </c>
      <c r="J481" s="1">
        <v>22652</v>
      </c>
      <c r="K481" t="s">
        <v>436</v>
      </c>
      <c r="L481" t="s">
        <v>470</v>
      </c>
      <c r="M481" t="s">
        <v>199</v>
      </c>
    </row>
    <row r="482" spans="1:13" x14ac:dyDescent="0.25">
      <c r="A482">
        <v>17</v>
      </c>
      <c r="B482" t="s">
        <v>202</v>
      </c>
      <c r="C482" s="15">
        <v>45255</v>
      </c>
      <c r="D482" s="16">
        <v>0.625</v>
      </c>
      <c r="E482" t="s">
        <v>380</v>
      </c>
      <c r="F482">
        <v>1.9</v>
      </c>
      <c r="G482" t="s">
        <v>226</v>
      </c>
      <c r="H482">
        <v>0.8</v>
      </c>
      <c r="I482" t="s">
        <v>388</v>
      </c>
      <c r="J482" s="1">
        <v>21694</v>
      </c>
      <c r="K482" t="s">
        <v>432</v>
      </c>
      <c r="L482" t="s">
        <v>437</v>
      </c>
      <c r="M482" t="s">
        <v>199</v>
      </c>
    </row>
    <row r="483" spans="1:13" x14ac:dyDescent="0.25">
      <c r="A483">
        <v>17</v>
      </c>
      <c r="B483" t="s">
        <v>202</v>
      </c>
      <c r="C483" s="15">
        <v>45255</v>
      </c>
      <c r="D483" s="16">
        <v>0.625</v>
      </c>
      <c r="E483" t="s">
        <v>399</v>
      </c>
      <c r="F483">
        <v>1.3</v>
      </c>
      <c r="G483" t="s">
        <v>212</v>
      </c>
      <c r="H483">
        <v>1.4</v>
      </c>
      <c r="I483" t="s">
        <v>384</v>
      </c>
      <c r="J483" s="1">
        <v>14864</v>
      </c>
      <c r="K483" t="s">
        <v>445</v>
      </c>
      <c r="L483" t="s">
        <v>442</v>
      </c>
      <c r="M483" t="s">
        <v>199</v>
      </c>
    </row>
    <row r="484" spans="1:13" x14ac:dyDescent="0.25">
      <c r="A484">
        <v>17</v>
      </c>
      <c r="B484" t="s">
        <v>202</v>
      </c>
      <c r="C484" s="15">
        <v>45255</v>
      </c>
      <c r="D484" s="16">
        <v>0.625</v>
      </c>
      <c r="E484" t="s">
        <v>390</v>
      </c>
      <c r="F484">
        <v>0.8</v>
      </c>
      <c r="G484" t="s">
        <v>215</v>
      </c>
      <c r="H484">
        <v>0.6</v>
      </c>
      <c r="I484" t="s">
        <v>393</v>
      </c>
      <c r="J484" s="1">
        <v>25650</v>
      </c>
      <c r="K484" t="s">
        <v>443</v>
      </c>
      <c r="L484" t="s">
        <v>467</v>
      </c>
      <c r="M484" t="s">
        <v>199</v>
      </c>
    </row>
    <row r="485" spans="1:13" x14ac:dyDescent="0.25">
      <c r="A485">
        <v>17</v>
      </c>
      <c r="B485" t="s">
        <v>202</v>
      </c>
      <c r="C485" s="15">
        <v>45255</v>
      </c>
      <c r="D485" s="16">
        <v>0.625</v>
      </c>
      <c r="E485" t="s">
        <v>383</v>
      </c>
      <c r="F485">
        <v>0.5</v>
      </c>
      <c r="G485" t="s">
        <v>208</v>
      </c>
      <c r="H485">
        <v>1.5</v>
      </c>
      <c r="I485" t="s">
        <v>396</v>
      </c>
      <c r="J485" s="1">
        <v>19387</v>
      </c>
      <c r="K485" t="s">
        <v>451</v>
      </c>
      <c r="L485" t="s">
        <v>433</v>
      </c>
      <c r="M485" t="s">
        <v>199</v>
      </c>
    </row>
    <row r="486" spans="1:13" x14ac:dyDescent="0.25">
      <c r="A486">
        <v>17</v>
      </c>
      <c r="B486" t="s">
        <v>202</v>
      </c>
      <c r="C486" s="15">
        <v>45255</v>
      </c>
      <c r="D486" s="16">
        <v>0.625</v>
      </c>
      <c r="E486" t="s">
        <v>387</v>
      </c>
      <c r="F486">
        <v>2.9</v>
      </c>
      <c r="G486" t="s">
        <v>221</v>
      </c>
      <c r="H486">
        <v>0.8</v>
      </c>
      <c r="I486" t="s">
        <v>400</v>
      </c>
      <c r="J486" s="1">
        <v>31577</v>
      </c>
      <c r="K486" t="s">
        <v>447</v>
      </c>
      <c r="L486" t="s">
        <v>469</v>
      </c>
      <c r="M486" t="s">
        <v>199</v>
      </c>
    </row>
    <row r="487" spans="1:13" x14ac:dyDescent="0.25">
      <c r="A487">
        <v>17</v>
      </c>
      <c r="B487" t="s">
        <v>202</v>
      </c>
      <c r="C487" s="15">
        <v>45255</v>
      </c>
      <c r="D487" s="16">
        <v>0.625</v>
      </c>
      <c r="E487" t="s">
        <v>378</v>
      </c>
      <c r="F487">
        <v>1.5</v>
      </c>
      <c r="G487" t="s">
        <v>203</v>
      </c>
      <c r="H487">
        <v>2</v>
      </c>
      <c r="I487" t="s">
        <v>395</v>
      </c>
      <c r="J487" s="1">
        <v>20941</v>
      </c>
      <c r="K487" t="s">
        <v>463</v>
      </c>
      <c r="L487" t="s">
        <v>477</v>
      </c>
      <c r="M487" t="s">
        <v>199</v>
      </c>
    </row>
    <row r="488" spans="1:13" x14ac:dyDescent="0.25">
      <c r="A488">
        <v>17</v>
      </c>
      <c r="B488" t="s">
        <v>202</v>
      </c>
      <c r="C488" s="15">
        <v>45255</v>
      </c>
      <c r="D488" s="16">
        <v>0.625</v>
      </c>
      <c r="E488" t="s">
        <v>392</v>
      </c>
      <c r="F488">
        <v>0.5</v>
      </c>
      <c r="G488" t="s">
        <v>229</v>
      </c>
      <c r="H488">
        <v>0.8</v>
      </c>
      <c r="I488" t="s">
        <v>381</v>
      </c>
      <c r="J488" s="1">
        <v>14593</v>
      </c>
      <c r="K488" t="s">
        <v>457</v>
      </c>
      <c r="L488" t="s">
        <v>231</v>
      </c>
      <c r="M488" t="s">
        <v>199</v>
      </c>
    </row>
    <row r="489" spans="1:13" x14ac:dyDescent="0.25">
      <c r="A489">
        <v>17</v>
      </c>
      <c r="B489" t="s">
        <v>202</v>
      </c>
      <c r="C489" s="15">
        <v>45255</v>
      </c>
      <c r="D489" s="16">
        <v>0.625</v>
      </c>
      <c r="E489" t="s">
        <v>391</v>
      </c>
      <c r="F489">
        <v>0.8</v>
      </c>
      <c r="G489" t="s">
        <v>221</v>
      </c>
      <c r="H489">
        <v>1.8</v>
      </c>
      <c r="I489" t="s">
        <v>398</v>
      </c>
      <c r="J489" s="1">
        <v>16457</v>
      </c>
      <c r="K489" t="s">
        <v>434</v>
      </c>
      <c r="L489" t="s">
        <v>464</v>
      </c>
      <c r="M489" t="s">
        <v>199</v>
      </c>
    </row>
    <row r="490" spans="1:13" x14ac:dyDescent="0.25">
      <c r="A490">
        <v>17</v>
      </c>
      <c r="B490" t="s">
        <v>202</v>
      </c>
      <c r="C490" s="15">
        <v>45255</v>
      </c>
      <c r="D490" s="16">
        <v>0.625</v>
      </c>
      <c r="E490" t="s">
        <v>389</v>
      </c>
      <c r="F490">
        <v>1.4</v>
      </c>
      <c r="G490" t="s">
        <v>201</v>
      </c>
      <c r="H490">
        <v>2.6</v>
      </c>
      <c r="I490" t="s">
        <v>382</v>
      </c>
      <c r="J490" s="1">
        <v>18067</v>
      </c>
      <c r="K490" t="s">
        <v>462</v>
      </c>
      <c r="L490" t="s">
        <v>232</v>
      </c>
      <c r="M490" t="s">
        <v>199</v>
      </c>
    </row>
    <row r="491" spans="1:13" x14ac:dyDescent="0.25">
      <c r="A491">
        <v>17</v>
      </c>
      <c r="B491" t="s">
        <v>202</v>
      </c>
      <c r="C491" s="15">
        <v>45255</v>
      </c>
      <c r="D491" s="16">
        <v>0.72916666666666663</v>
      </c>
      <c r="E491" t="s">
        <v>401</v>
      </c>
      <c r="F491">
        <v>1.7</v>
      </c>
      <c r="G491" t="s">
        <v>221</v>
      </c>
      <c r="H491">
        <v>0.2</v>
      </c>
      <c r="I491" t="s">
        <v>385</v>
      </c>
      <c r="J491" s="1">
        <v>24001</v>
      </c>
      <c r="K491" t="s">
        <v>452</v>
      </c>
      <c r="L491" t="s">
        <v>439</v>
      </c>
      <c r="M491" t="s">
        <v>199</v>
      </c>
    </row>
    <row r="492" spans="1:13" x14ac:dyDescent="0.25">
      <c r="C492" s="15"/>
      <c r="D492" s="16"/>
    </row>
    <row r="493" spans="1:13" x14ac:dyDescent="0.25">
      <c r="A493">
        <v>18</v>
      </c>
      <c r="B493" t="s">
        <v>239</v>
      </c>
      <c r="C493" s="15">
        <v>45258</v>
      </c>
      <c r="D493" s="16">
        <v>0.82291666666666663</v>
      </c>
      <c r="E493" t="s">
        <v>393</v>
      </c>
      <c r="F493">
        <v>2.2000000000000002</v>
      </c>
      <c r="G493" t="s">
        <v>459</v>
      </c>
      <c r="H493">
        <v>0.8</v>
      </c>
      <c r="I493" t="s">
        <v>397</v>
      </c>
      <c r="J493" s="1">
        <v>16901</v>
      </c>
      <c r="K493" t="s">
        <v>465</v>
      </c>
      <c r="L493" t="s">
        <v>446</v>
      </c>
      <c r="M493" t="s">
        <v>199</v>
      </c>
    </row>
    <row r="494" spans="1:13" x14ac:dyDescent="0.25">
      <c r="A494">
        <v>18</v>
      </c>
      <c r="B494" t="s">
        <v>239</v>
      </c>
      <c r="C494" s="15">
        <v>45258</v>
      </c>
      <c r="D494" s="16">
        <v>0.82291666666666663</v>
      </c>
      <c r="E494" t="s">
        <v>388</v>
      </c>
      <c r="F494">
        <v>3</v>
      </c>
      <c r="G494" t="s">
        <v>222</v>
      </c>
      <c r="H494">
        <v>0.2</v>
      </c>
      <c r="I494" t="s">
        <v>392</v>
      </c>
      <c r="J494" s="1">
        <v>24502</v>
      </c>
      <c r="K494" t="s">
        <v>438</v>
      </c>
      <c r="L494" t="s">
        <v>470</v>
      </c>
      <c r="M494" t="s">
        <v>199</v>
      </c>
    </row>
    <row r="495" spans="1:13" x14ac:dyDescent="0.25">
      <c r="A495">
        <v>18</v>
      </c>
      <c r="B495" t="s">
        <v>239</v>
      </c>
      <c r="C495" s="15">
        <v>45258</v>
      </c>
      <c r="D495" s="16">
        <v>0.82291666666666663</v>
      </c>
      <c r="E495" t="s">
        <v>384</v>
      </c>
      <c r="F495">
        <v>3.7</v>
      </c>
      <c r="G495" t="s">
        <v>206</v>
      </c>
      <c r="H495">
        <v>0.5</v>
      </c>
      <c r="I495" t="s">
        <v>394</v>
      </c>
      <c r="J495" s="1">
        <v>19766</v>
      </c>
      <c r="K495" t="s">
        <v>460</v>
      </c>
      <c r="L495" t="s">
        <v>477</v>
      </c>
      <c r="M495" t="s">
        <v>199</v>
      </c>
    </row>
    <row r="496" spans="1:13" x14ac:dyDescent="0.25">
      <c r="A496">
        <v>18</v>
      </c>
      <c r="B496" t="s">
        <v>239</v>
      </c>
      <c r="C496" s="15">
        <v>45258</v>
      </c>
      <c r="D496" s="16">
        <v>0.82291666666666663</v>
      </c>
      <c r="E496" t="s">
        <v>382</v>
      </c>
      <c r="F496">
        <v>1.4</v>
      </c>
      <c r="G496" t="s">
        <v>215</v>
      </c>
      <c r="H496">
        <v>0.6</v>
      </c>
      <c r="I496" t="s">
        <v>391</v>
      </c>
      <c r="J496" s="1">
        <v>22790</v>
      </c>
      <c r="K496" t="s">
        <v>450</v>
      </c>
      <c r="L496" t="s">
        <v>475</v>
      </c>
      <c r="M496" t="s">
        <v>199</v>
      </c>
    </row>
    <row r="497" spans="1:13" x14ac:dyDescent="0.25">
      <c r="A497">
        <v>18</v>
      </c>
      <c r="B497" t="s">
        <v>239</v>
      </c>
      <c r="C497" s="15">
        <v>45258</v>
      </c>
      <c r="D497" s="16">
        <v>0.82291666666666663</v>
      </c>
      <c r="E497" t="s">
        <v>381</v>
      </c>
      <c r="F497">
        <v>0.5</v>
      </c>
      <c r="G497" t="s">
        <v>204</v>
      </c>
      <c r="H497">
        <v>1.2</v>
      </c>
      <c r="I497" t="s">
        <v>401</v>
      </c>
      <c r="J497" s="1">
        <v>18248</v>
      </c>
      <c r="K497" t="s">
        <v>453</v>
      </c>
      <c r="L497" t="s">
        <v>234</v>
      </c>
      <c r="M497" t="s">
        <v>199</v>
      </c>
    </row>
    <row r="498" spans="1:13" x14ac:dyDescent="0.25">
      <c r="A498">
        <v>18</v>
      </c>
      <c r="B498" t="s">
        <v>239</v>
      </c>
      <c r="C498" s="15">
        <v>45258</v>
      </c>
      <c r="D498" s="16">
        <v>0.83333333333333337</v>
      </c>
      <c r="E498" t="s">
        <v>400</v>
      </c>
      <c r="F498">
        <v>1.6</v>
      </c>
      <c r="G498" t="s">
        <v>226</v>
      </c>
      <c r="H498">
        <v>0.6</v>
      </c>
      <c r="I498" t="s">
        <v>390</v>
      </c>
      <c r="J498" s="1">
        <v>16714</v>
      </c>
      <c r="K498" t="s">
        <v>440</v>
      </c>
      <c r="L498" t="s">
        <v>216</v>
      </c>
      <c r="M498" t="s">
        <v>199</v>
      </c>
    </row>
    <row r="499" spans="1:13" x14ac:dyDescent="0.25">
      <c r="A499">
        <v>18</v>
      </c>
      <c r="B499" t="s">
        <v>247</v>
      </c>
      <c r="C499" s="15">
        <v>45259</v>
      </c>
      <c r="D499" s="16">
        <v>0.82291666666666663</v>
      </c>
      <c r="E499" t="s">
        <v>386</v>
      </c>
      <c r="F499">
        <v>2.4</v>
      </c>
      <c r="G499" t="s">
        <v>218</v>
      </c>
      <c r="H499">
        <v>0.3</v>
      </c>
      <c r="I499" t="s">
        <v>399</v>
      </c>
      <c r="J499" s="1">
        <v>34905</v>
      </c>
      <c r="K499" t="s">
        <v>448</v>
      </c>
      <c r="L499" t="s">
        <v>469</v>
      </c>
      <c r="M499" t="s">
        <v>199</v>
      </c>
    </row>
    <row r="500" spans="1:13" x14ac:dyDescent="0.25">
      <c r="A500">
        <v>18</v>
      </c>
      <c r="B500" t="s">
        <v>247</v>
      </c>
      <c r="C500" s="15">
        <v>45259</v>
      </c>
      <c r="D500" s="16">
        <v>0.82291666666666663</v>
      </c>
      <c r="E500" t="s">
        <v>395</v>
      </c>
      <c r="F500">
        <v>1.5</v>
      </c>
      <c r="G500" t="s">
        <v>208</v>
      </c>
      <c r="H500">
        <v>1.1000000000000001</v>
      </c>
      <c r="I500" t="s">
        <v>387</v>
      </c>
      <c r="J500" s="1">
        <v>26036</v>
      </c>
      <c r="K500" t="s">
        <v>431</v>
      </c>
      <c r="L500" t="s">
        <v>240</v>
      </c>
      <c r="M500" t="s">
        <v>199</v>
      </c>
    </row>
    <row r="501" spans="1:13" x14ac:dyDescent="0.25">
      <c r="A501">
        <v>18</v>
      </c>
      <c r="B501" t="s">
        <v>247</v>
      </c>
      <c r="C501" s="15">
        <v>45259</v>
      </c>
      <c r="D501" s="16">
        <v>0.82291666666666663</v>
      </c>
      <c r="E501" t="s">
        <v>396</v>
      </c>
      <c r="F501">
        <v>0.7</v>
      </c>
      <c r="G501" t="s">
        <v>215</v>
      </c>
      <c r="H501">
        <v>0.8</v>
      </c>
      <c r="I501" t="s">
        <v>380</v>
      </c>
      <c r="J501" s="1">
        <v>28047</v>
      </c>
      <c r="K501" t="s">
        <v>461</v>
      </c>
      <c r="L501" t="s">
        <v>444</v>
      </c>
      <c r="M501" t="s">
        <v>199</v>
      </c>
    </row>
    <row r="502" spans="1:13" x14ac:dyDescent="0.25">
      <c r="A502">
        <v>18</v>
      </c>
      <c r="B502" t="s">
        <v>247</v>
      </c>
      <c r="C502" s="15">
        <v>45259</v>
      </c>
      <c r="D502" s="16">
        <v>0.82291666666666663</v>
      </c>
      <c r="E502" t="s">
        <v>398</v>
      </c>
      <c r="F502">
        <v>2.6</v>
      </c>
      <c r="G502" t="s">
        <v>229</v>
      </c>
      <c r="H502">
        <v>0.9</v>
      </c>
      <c r="I502" t="s">
        <v>383</v>
      </c>
      <c r="J502" s="1">
        <v>37728</v>
      </c>
      <c r="K502" t="s">
        <v>449</v>
      </c>
      <c r="L502" t="s">
        <v>435</v>
      </c>
      <c r="M502" t="s">
        <v>199</v>
      </c>
    </row>
    <row r="503" spans="1:13" x14ac:dyDescent="0.25">
      <c r="A503">
        <v>18</v>
      </c>
      <c r="B503" t="s">
        <v>247</v>
      </c>
      <c r="C503" s="15">
        <v>45259</v>
      </c>
      <c r="D503" s="16">
        <v>0.82291666666666663</v>
      </c>
      <c r="E503" t="s">
        <v>379</v>
      </c>
      <c r="F503">
        <v>1.6</v>
      </c>
      <c r="G503" t="s">
        <v>459</v>
      </c>
      <c r="H503">
        <v>1.3</v>
      </c>
      <c r="I503" t="s">
        <v>378</v>
      </c>
      <c r="J503" s="1">
        <v>12693</v>
      </c>
      <c r="K503" t="s">
        <v>441</v>
      </c>
      <c r="L503" t="s">
        <v>471</v>
      </c>
      <c r="M503" t="s">
        <v>199</v>
      </c>
    </row>
    <row r="504" spans="1:13" x14ac:dyDescent="0.25">
      <c r="A504">
        <v>18</v>
      </c>
      <c r="B504" t="s">
        <v>247</v>
      </c>
      <c r="C504" s="15">
        <v>45259</v>
      </c>
      <c r="D504" s="16">
        <v>0.83333333333333337</v>
      </c>
      <c r="E504" t="s">
        <v>385</v>
      </c>
      <c r="F504">
        <v>1.3</v>
      </c>
      <c r="G504" t="s">
        <v>218</v>
      </c>
      <c r="H504">
        <v>0.4</v>
      </c>
      <c r="I504" t="s">
        <v>389</v>
      </c>
      <c r="J504" s="1">
        <v>27702</v>
      </c>
      <c r="K504" t="s">
        <v>456</v>
      </c>
      <c r="L504" t="s">
        <v>219</v>
      </c>
      <c r="M504" t="s">
        <v>199</v>
      </c>
    </row>
    <row r="505" spans="1:13" x14ac:dyDescent="0.25">
      <c r="C505" s="15"/>
      <c r="D505" s="16"/>
    </row>
    <row r="506" spans="1:13" x14ac:dyDescent="0.25">
      <c r="A506">
        <v>19</v>
      </c>
      <c r="B506" t="s">
        <v>200</v>
      </c>
      <c r="C506" s="15">
        <v>45261</v>
      </c>
      <c r="D506" s="16">
        <v>0.83333333333333337</v>
      </c>
      <c r="E506" t="s">
        <v>392</v>
      </c>
      <c r="F506">
        <v>0.3</v>
      </c>
      <c r="G506" t="s">
        <v>224</v>
      </c>
      <c r="H506">
        <v>1.3</v>
      </c>
      <c r="I506" t="s">
        <v>393</v>
      </c>
      <c r="J506" s="1">
        <v>14280</v>
      </c>
      <c r="K506" t="s">
        <v>457</v>
      </c>
      <c r="L506" t="s">
        <v>234</v>
      </c>
      <c r="M506" t="s">
        <v>199</v>
      </c>
    </row>
    <row r="507" spans="1:13" x14ac:dyDescent="0.25">
      <c r="A507">
        <v>19</v>
      </c>
      <c r="B507" t="s">
        <v>202</v>
      </c>
      <c r="C507" s="15">
        <v>45262</v>
      </c>
      <c r="D507" s="16">
        <v>0.52083333333333337</v>
      </c>
      <c r="E507" t="s">
        <v>401</v>
      </c>
      <c r="F507">
        <v>1</v>
      </c>
      <c r="G507" t="s">
        <v>229</v>
      </c>
      <c r="H507">
        <v>1.3</v>
      </c>
      <c r="I507" t="s">
        <v>387</v>
      </c>
      <c r="J507" s="1">
        <v>24382</v>
      </c>
      <c r="K507" t="s">
        <v>452</v>
      </c>
      <c r="L507" t="s">
        <v>225</v>
      </c>
      <c r="M507" t="s">
        <v>199</v>
      </c>
    </row>
    <row r="508" spans="1:13" x14ac:dyDescent="0.25">
      <c r="A508">
        <v>19</v>
      </c>
      <c r="B508" t="s">
        <v>202</v>
      </c>
      <c r="C508" s="15">
        <v>45262</v>
      </c>
      <c r="D508" s="16">
        <v>0.625</v>
      </c>
      <c r="E508" t="s">
        <v>396</v>
      </c>
      <c r="F508">
        <v>2.5</v>
      </c>
      <c r="G508" t="s">
        <v>221</v>
      </c>
      <c r="H508">
        <v>0.8</v>
      </c>
      <c r="I508" t="s">
        <v>381</v>
      </c>
      <c r="J508" s="1">
        <v>28659</v>
      </c>
      <c r="K508" t="s">
        <v>461</v>
      </c>
      <c r="L508" t="s">
        <v>464</v>
      </c>
      <c r="M508" t="s">
        <v>199</v>
      </c>
    </row>
    <row r="509" spans="1:13" x14ac:dyDescent="0.25">
      <c r="A509">
        <v>19</v>
      </c>
      <c r="B509" t="s">
        <v>202</v>
      </c>
      <c r="C509" s="15">
        <v>45262</v>
      </c>
      <c r="D509" s="16">
        <v>0.625</v>
      </c>
      <c r="E509" t="s">
        <v>389</v>
      </c>
      <c r="F509">
        <v>0.8</v>
      </c>
      <c r="G509" t="s">
        <v>208</v>
      </c>
      <c r="H509">
        <v>1.6</v>
      </c>
      <c r="I509" t="s">
        <v>398</v>
      </c>
      <c r="J509" s="1">
        <v>17815</v>
      </c>
      <c r="K509" t="s">
        <v>462</v>
      </c>
      <c r="L509" t="s">
        <v>446</v>
      </c>
      <c r="M509" t="s">
        <v>199</v>
      </c>
    </row>
    <row r="510" spans="1:13" x14ac:dyDescent="0.25">
      <c r="A510">
        <v>19</v>
      </c>
      <c r="B510" t="s">
        <v>202</v>
      </c>
      <c r="C510" s="15">
        <v>45262</v>
      </c>
      <c r="D510" s="16">
        <v>0.625</v>
      </c>
      <c r="E510" t="s">
        <v>395</v>
      </c>
      <c r="F510">
        <v>1</v>
      </c>
      <c r="G510" t="s">
        <v>218</v>
      </c>
      <c r="H510">
        <v>1.5</v>
      </c>
      <c r="I510" t="s">
        <v>379</v>
      </c>
      <c r="J510" s="1">
        <v>24507</v>
      </c>
      <c r="K510" t="s">
        <v>431</v>
      </c>
      <c r="L510" t="s">
        <v>433</v>
      </c>
      <c r="M510" t="s">
        <v>199</v>
      </c>
    </row>
    <row r="511" spans="1:13" x14ac:dyDescent="0.25">
      <c r="A511">
        <v>19</v>
      </c>
      <c r="B511" t="s">
        <v>202</v>
      </c>
      <c r="C511" s="15">
        <v>45262</v>
      </c>
      <c r="D511" s="16">
        <v>0.625</v>
      </c>
      <c r="E511" t="s">
        <v>386</v>
      </c>
      <c r="F511">
        <v>3</v>
      </c>
      <c r="G511" t="s">
        <v>226</v>
      </c>
      <c r="H511">
        <v>1.5</v>
      </c>
      <c r="I511" t="s">
        <v>388</v>
      </c>
      <c r="J511" s="1">
        <v>36812</v>
      </c>
      <c r="K511" t="s">
        <v>448</v>
      </c>
      <c r="L511" t="s">
        <v>232</v>
      </c>
      <c r="M511" t="s">
        <v>199</v>
      </c>
    </row>
    <row r="512" spans="1:13" x14ac:dyDescent="0.25">
      <c r="A512">
        <v>19</v>
      </c>
      <c r="B512" t="s">
        <v>202</v>
      </c>
      <c r="C512" s="15">
        <v>45262</v>
      </c>
      <c r="D512" s="16">
        <v>0.625</v>
      </c>
      <c r="E512" t="s">
        <v>384</v>
      </c>
      <c r="F512">
        <v>1.9</v>
      </c>
      <c r="G512" t="s">
        <v>229</v>
      </c>
      <c r="H512">
        <v>0.6</v>
      </c>
      <c r="I512" t="s">
        <v>400</v>
      </c>
      <c r="J512" s="1">
        <v>20057</v>
      </c>
      <c r="K512" t="s">
        <v>460</v>
      </c>
      <c r="L512" t="s">
        <v>437</v>
      </c>
      <c r="M512" t="s">
        <v>199</v>
      </c>
    </row>
    <row r="513" spans="1:13" x14ac:dyDescent="0.25">
      <c r="A513">
        <v>19</v>
      </c>
      <c r="B513" t="s">
        <v>202</v>
      </c>
      <c r="C513" s="15">
        <v>45262</v>
      </c>
      <c r="D513" s="16">
        <v>0.625</v>
      </c>
      <c r="E513" t="s">
        <v>391</v>
      </c>
      <c r="F513">
        <v>1.8</v>
      </c>
      <c r="G513" t="s">
        <v>203</v>
      </c>
      <c r="H513">
        <v>2.2000000000000002</v>
      </c>
      <c r="I513" t="s">
        <v>397</v>
      </c>
      <c r="J513" s="1">
        <v>16371</v>
      </c>
      <c r="K513" t="s">
        <v>434</v>
      </c>
      <c r="L513" t="s">
        <v>240</v>
      </c>
      <c r="M513" t="s">
        <v>199</v>
      </c>
    </row>
    <row r="514" spans="1:13" x14ac:dyDescent="0.25">
      <c r="A514">
        <v>19</v>
      </c>
      <c r="B514" t="s">
        <v>202</v>
      </c>
      <c r="C514" s="15">
        <v>45262</v>
      </c>
      <c r="D514" s="16">
        <v>0.625</v>
      </c>
      <c r="E514" t="s">
        <v>378</v>
      </c>
      <c r="F514">
        <v>0.6</v>
      </c>
      <c r="G514" t="s">
        <v>233</v>
      </c>
      <c r="H514">
        <v>1.1000000000000001</v>
      </c>
      <c r="I514" t="s">
        <v>394</v>
      </c>
      <c r="J514" s="1">
        <v>20748</v>
      </c>
      <c r="K514" t="s">
        <v>463</v>
      </c>
      <c r="L514" t="s">
        <v>475</v>
      </c>
      <c r="M514" t="s">
        <v>199</v>
      </c>
    </row>
    <row r="515" spans="1:13" x14ac:dyDescent="0.25">
      <c r="A515">
        <v>19</v>
      </c>
      <c r="B515" t="s">
        <v>202</v>
      </c>
      <c r="C515" s="15">
        <v>45262</v>
      </c>
      <c r="D515" s="16">
        <v>0.625</v>
      </c>
      <c r="E515" t="s">
        <v>385</v>
      </c>
      <c r="F515">
        <v>1.7</v>
      </c>
      <c r="G515" t="s">
        <v>203</v>
      </c>
      <c r="H515">
        <v>1.3</v>
      </c>
      <c r="I515" t="s">
        <v>382</v>
      </c>
      <c r="J515" s="1">
        <v>29378</v>
      </c>
      <c r="K515" t="s">
        <v>456</v>
      </c>
      <c r="L515" t="s">
        <v>470</v>
      </c>
      <c r="M515" t="s">
        <v>199</v>
      </c>
    </row>
    <row r="516" spans="1:13" x14ac:dyDescent="0.25">
      <c r="A516">
        <v>19</v>
      </c>
      <c r="B516" t="s">
        <v>202</v>
      </c>
      <c r="C516" s="15">
        <v>45262</v>
      </c>
      <c r="D516" s="16">
        <v>0.625</v>
      </c>
      <c r="E516" t="s">
        <v>399</v>
      </c>
      <c r="F516">
        <v>1.6</v>
      </c>
      <c r="G516" t="s">
        <v>208</v>
      </c>
      <c r="H516">
        <v>0.3</v>
      </c>
      <c r="I516" t="s">
        <v>383</v>
      </c>
      <c r="J516" s="1">
        <v>14725</v>
      </c>
      <c r="K516" t="s">
        <v>445</v>
      </c>
      <c r="L516" t="s">
        <v>474</v>
      </c>
      <c r="M516" t="s">
        <v>199</v>
      </c>
    </row>
    <row r="517" spans="1:13" x14ac:dyDescent="0.25">
      <c r="A517">
        <v>19</v>
      </c>
      <c r="B517" t="s">
        <v>211</v>
      </c>
      <c r="C517" s="15">
        <v>45263</v>
      </c>
      <c r="D517" s="16">
        <v>0.5625</v>
      </c>
      <c r="E517" t="s">
        <v>380</v>
      </c>
      <c r="F517">
        <v>1.1000000000000001</v>
      </c>
      <c r="G517" t="s">
        <v>229</v>
      </c>
      <c r="H517">
        <v>1.1000000000000001</v>
      </c>
      <c r="I517" t="s">
        <v>390</v>
      </c>
      <c r="J517" s="1">
        <v>20424</v>
      </c>
      <c r="K517" t="s">
        <v>432</v>
      </c>
      <c r="L517" t="s">
        <v>439</v>
      </c>
      <c r="M517" t="s">
        <v>199</v>
      </c>
    </row>
    <row r="518" spans="1:13" x14ac:dyDescent="0.25">
      <c r="C518" s="15"/>
    </row>
    <row r="519" spans="1:13" x14ac:dyDescent="0.25">
      <c r="A519">
        <v>20</v>
      </c>
      <c r="B519" t="s">
        <v>200</v>
      </c>
      <c r="C519" s="15">
        <v>45268</v>
      </c>
      <c r="D519" s="16">
        <v>0.83333333333333337</v>
      </c>
      <c r="E519" t="s">
        <v>382</v>
      </c>
      <c r="F519">
        <v>1.2</v>
      </c>
      <c r="G519" t="s">
        <v>221</v>
      </c>
      <c r="H519">
        <v>0.5</v>
      </c>
      <c r="I519" t="s">
        <v>378</v>
      </c>
      <c r="J519" s="1">
        <v>26729</v>
      </c>
      <c r="K519" t="s">
        <v>450</v>
      </c>
      <c r="L519" t="s">
        <v>469</v>
      </c>
      <c r="M519" t="s">
        <v>199</v>
      </c>
    </row>
    <row r="520" spans="1:13" x14ac:dyDescent="0.25">
      <c r="A520">
        <v>20</v>
      </c>
      <c r="B520" t="s">
        <v>202</v>
      </c>
      <c r="C520" s="15">
        <v>45269</v>
      </c>
      <c r="D520" s="16">
        <v>0.52083333333333337</v>
      </c>
      <c r="E520" t="s">
        <v>398</v>
      </c>
      <c r="F520">
        <v>1.4</v>
      </c>
      <c r="G520" t="s">
        <v>203</v>
      </c>
      <c r="H520">
        <v>0.6</v>
      </c>
      <c r="I520" t="s">
        <v>401</v>
      </c>
      <c r="J520" s="1">
        <v>40101</v>
      </c>
      <c r="K520" t="s">
        <v>449</v>
      </c>
      <c r="L520" t="s">
        <v>217</v>
      </c>
      <c r="M520" t="s">
        <v>199</v>
      </c>
    </row>
    <row r="521" spans="1:13" x14ac:dyDescent="0.25">
      <c r="A521">
        <v>20</v>
      </c>
      <c r="B521" t="s">
        <v>202</v>
      </c>
      <c r="C521" s="15">
        <v>45269</v>
      </c>
      <c r="D521" s="16">
        <v>0.52083333333333337</v>
      </c>
      <c r="E521" t="s">
        <v>379</v>
      </c>
      <c r="F521">
        <v>0.7</v>
      </c>
      <c r="G521" t="s">
        <v>224</v>
      </c>
      <c r="H521">
        <v>1</v>
      </c>
      <c r="I521" t="s">
        <v>386</v>
      </c>
      <c r="J521" s="1">
        <v>20963</v>
      </c>
      <c r="K521" t="s">
        <v>441</v>
      </c>
      <c r="L521" t="s">
        <v>231</v>
      </c>
      <c r="M521" t="s">
        <v>199</v>
      </c>
    </row>
    <row r="522" spans="1:13" x14ac:dyDescent="0.25">
      <c r="A522">
        <v>20</v>
      </c>
      <c r="B522" t="s">
        <v>202</v>
      </c>
      <c r="C522" s="15">
        <v>45269</v>
      </c>
      <c r="D522" s="16">
        <v>0.625</v>
      </c>
      <c r="E522" t="s">
        <v>381</v>
      </c>
      <c r="F522">
        <v>0.8</v>
      </c>
      <c r="G522" t="s">
        <v>215</v>
      </c>
      <c r="H522">
        <v>1.5</v>
      </c>
      <c r="I522" t="s">
        <v>389</v>
      </c>
      <c r="J522" s="1">
        <v>19426</v>
      </c>
      <c r="K522" t="s">
        <v>453</v>
      </c>
      <c r="L522" t="s">
        <v>470</v>
      </c>
      <c r="M522" t="s">
        <v>199</v>
      </c>
    </row>
    <row r="523" spans="1:13" x14ac:dyDescent="0.25">
      <c r="A523">
        <v>20</v>
      </c>
      <c r="B523" t="s">
        <v>202</v>
      </c>
      <c r="C523" s="15">
        <v>45269</v>
      </c>
      <c r="D523" s="16">
        <v>0.625</v>
      </c>
      <c r="E523" t="s">
        <v>390</v>
      </c>
      <c r="F523">
        <v>1.3</v>
      </c>
      <c r="G523" t="s">
        <v>233</v>
      </c>
      <c r="H523">
        <v>0.8</v>
      </c>
      <c r="I523" t="s">
        <v>392</v>
      </c>
      <c r="J523" s="1">
        <v>25761</v>
      </c>
      <c r="K523" t="s">
        <v>443</v>
      </c>
      <c r="L523" t="s">
        <v>454</v>
      </c>
      <c r="M523" t="s">
        <v>199</v>
      </c>
    </row>
    <row r="524" spans="1:13" x14ac:dyDescent="0.25">
      <c r="A524">
        <v>20</v>
      </c>
      <c r="B524" t="s">
        <v>202</v>
      </c>
      <c r="C524" s="15">
        <v>45269</v>
      </c>
      <c r="D524" s="16">
        <v>0.625</v>
      </c>
      <c r="E524" t="s">
        <v>397</v>
      </c>
      <c r="F524">
        <v>1.8</v>
      </c>
      <c r="G524" t="s">
        <v>204</v>
      </c>
      <c r="H524">
        <v>0.8</v>
      </c>
      <c r="I524" t="s">
        <v>395</v>
      </c>
      <c r="J524" s="1">
        <v>22347</v>
      </c>
      <c r="K524" t="s">
        <v>436</v>
      </c>
      <c r="L524" t="s">
        <v>207</v>
      </c>
      <c r="M524" t="s">
        <v>199</v>
      </c>
    </row>
    <row r="525" spans="1:13" x14ac:dyDescent="0.25">
      <c r="A525">
        <v>20</v>
      </c>
      <c r="B525" t="s">
        <v>202</v>
      </c>
      <c r="C525" s="15">
        <v>45269</v>
      </c>
      <c r="D525" s="16">
        <v>0.625</v>
      </c>
      <c r="E525" t="s">
        <v>394</v>
      </c>
      <c r="F525">
        <v>0.5</v>
      </c>
      <c r="G525" t="s">
        <v>229</v>
      </c>
      <c r="H525">
        <v>2</v>
      </c>
      <c r="I525" t="s">
        <v>399</v>
      </c>
      <c r="J525" s="1">
        <v>9414</v>
      </c>
      <c r="K525" t="s">
        <v>458</v>
      </c>
      <c r="L525" t="s">
        <v>234</v>
      </c>
      <c r="M525" t="s">
        <v>199</v>
      </c>
    </row>
    <row r="526" spans="1:13" x14ac:dyDescent="0.25">
      <c r="A526">
        <v>20</v>
      </c>
      <c r="B526" t="s">
        <v>202</v>
      </c>
      <c r="C526" s="15">
        <v>45269</v>
      </c>
      <c r="D526" s="16">
        <v>0.625</v>
      </c>
      <c r="E526" t="s">
        <v>387</v>
      </c>
      <c r="F526">
        <v>3</v>
      </c>
      <c r="G526" t="s">
        <v>222</v>
      </c>
      <c r="H526">
        <v>1.2</v>
      </c>
      <c r="I526" t="s">
        <v>391</v>
      </c>
      <c r="J526" s="1">
        <v>31265</v>
      </c>
      <c r="K526" t="s">
        <v>447</v>
      </c>
      <c r="L526" t="s">
        <v>478</v>
      </c>
      <c r="M526" t="s">
        <v>199</v>
      </c>
    </row>
    <row r="527" spans="1:13" x14ac:dyDescent="0.25">
      <c r="A527">
        <v>20</v>
      </c>
      <c r="B527" t="s">
        <v>202</v>
      </c>
      <c r="C527" s="15">
        <v>45269</v>
      </c>
      <c r="D527" s="16">
        <v>0.625</v>
      </c>
      <c r="E527" t="s">
        <v>393</v>
      </c>
      <c r="F527">
        <v>0.8</v>
      </c>
      <c r="G527" t="s">
        <v>221</v>
      </c>
      <c r="H527">
        <v>0.8</v>
      </c>
      <c r="I527" t="s">
        <v>384</v>
      </c>
      <c r="J527" s="1">
        <v>16967</v>
      </c>
      <c r="K527" t="s">
        <v>465</v>
      </c>
      <c r="L527" t="s">
        <v>464</v>
      </c>
      <c r="M527" t="s">
        <v>199</v>
      </c>
    </row>
    <row r="528" spans="1:13" x14ac:dyDescent="0.25">
      <c r="A528">
        <v>20</v>
      </c>
      <c r="B528" t="s">
        <v>202</v>
      </c>
      <c r="C528" s="15">
        <v>45269</v>
      </c>
      <c r="D528" s="16">
        <v>0.625</v>
      </c>
      <c r="E528" t="s">
        <v>383</v>
      </c>
      <c r="F528">
        <v>0.4</v>
      </c>
      <c r="G528" t="s">
        <v>208</v>
      </c>
      <c r="H528">
        <v>1.1000000000000001</v>
      </c>
      <c r="I528" t="s">
        <v>380</v>
      </c>
      <c r="J528" s="1">
        <v>17429</v>
      </c>
      <c r="K528" t="s">
        <v>451</v>
      </c>
      <c r="L528" t="s">
        <v>475</v>
      </c>
      <c r="M528" t="s">
        <v>199</v>
      </c>
    </row>
    <row r="529" spans="1:13" x14ac:dyDescent="0.25">
      <c r="A529">
        <v>20</v>
      </c>
      <c r="B529" t="s">
        <v>202</v>
      </c>
      <c r="C529" s="15">
        <v>45269</v>
      </c>
      <c r="D529" s="16">
        <v>0.625</v>
      </c>
      <c r="E529" t="s">
        <v>400</v>
      </c>
      <c r="F529">
        <v>0.6</v>
      </c>
      <c r="G529" t="s">
        <v>208</v>
      </c>
      <c r="H529">
        <v>0.8</v>
      </c>
      <c r="I529" t="s">
        <v>396</v>
      </c>
      <c r="J529" s="1">
        <v>19797</v>
      </c>
      <c r="K529" t="s">
        <v>440</v>
      </c>
      <c r="L529" t="s">
        <v>455</v>
      </c>
      <c r="M529" t="s">
        <v>199</v>
      </c>
    </row>
    <row r="530" spans="1:13" x14ac:dyDescent="0.25">
      <c r="A530">
        <v>20</v>
      </c>
      <c r="B530" t="s">
        <v>202</v>
      </c>
      <c r="C530" s="15">
        <v>45269</v>
      </c>
      <c r="D530" s="16">
        <v>0.625</v>
      </c>
      <c r="E530" t="s">
        <v>388</v>
      </c>
      <c r="F530">
        <v>0.5</v>
      </c>
      <c r="G530" t="s">
        <v>224</v>
      </c>
      <c r="H530">
        <v>0.9</v>
      </c>
      <c r="I530" t="s">
        <v>385</v>
      </c>
      <c r="J530" s="1">
        <v>27960</v>
      </c>
      <c r="K530" t="s">
        <v>438</v>
      </c>
      <c r="L530" t="s">
        <v>442</v>
      </c>
      <c r="M530" t="s">
        <v>199</v>
      </c>
    </row>
    <row r="531" spans="1:13" x14ac:dyDescent="0.25">
      <c r="C531" s="15"/>
    </row>
    <row r="532" spans="1:13" x14ac:dyDescent="0.25">
      <c r="A532">
        <v>21</v>
      </c>
      <c r="B532" t="s">
        <v>239</v>
      </c>
      <c r="C532" s="15">
        <v>45272</v>
      </c>
      <c r="D532" s="16">
        <v>0.82291666666666663</v>
      </c>
      <c r="E532" t="s">
        <v>400</v>
      </c>
      <c r="F532">
        <v>1.5</v>
      </c>
      <c r="G532" t="s">
        <v>229</v>
      </c>
      <c r="H532">
        <v>1.8</v>
      </c>
      <c r="I532" t="s">
        <v>385</v>
      </c>
      <c r="J532" s="1">
        <v>18109</v>
      </c>
      <c r="K532" t="s">
        <v>440</v>
      </c>
      <c r="L532" t="s">
        <v>232</v>
      </c>
      <c r="M532" t="s">
        <v>199</v>
      </c>
    </row>
    <row r="533" spans="1:13" x14ac:dyDescent="0.25">
      <c r="A533">
        <v>21</v>
      </c>
      <c r="B533" t="s">
        <v>239</v>
      </c>
      <c r="C533" s="15">
        <v>45272</v>
      </c>
      <c r="D533" s="16">
        <v>0.82291666666666663</v>
      </c>
      <c r="E533" t="s">
        <v>397</v>
      </c>
      <c r="F533">
        <v>2.7</v>
      </c>
      <c r="G533" t="s">
        <v>208</v>
      </c>
      <c r="H533">
        <v>0.7</v>
      </c>
      <c r="I533" t="s">
        <v>399</v>
      </c>
      <c r="J533" s="1">
        <v>18555</v>
      </c>
      <c r="K533" t="s">
        <v>436</v>
      </c>
      <c r="L533" t="s">
        <v>433</v>
      </c>
      <c r="M533" t="s">
        <v>199</v>
      </c>
    </row>
    <row r="534" spans="1:13" x14ac:dyDescent="0.25">
      <c r="A534">
        <v>21</v>
      </c>
      <c r="B534" t="s">
        <v>239</v>
      </c>
      <c r="C534" s="15">
        <v>45272</v>
      </c>
      <c r="D534" s="16">
        <v>0.82291666666666663</v>
      </c>
      <c r="E534" t="s">
        <v>379</v>
      </c>
      <c r="F534">
        <v>1.3</v>
      </c>
      <c r="G534" t="s">
        <v>203</v>
      </c>
      <c r="H534">
        <v>0.8</v>
      </c>
      <c r="I534" t="s">
        <v>380</v>
      </c>
      <c r="J534" s="1">
        <v>11092</v>
      </c>
      <c r="K534" t="s">
        <v>441</v>
      </c>
      <c r="L534" t="s">
        <v>446</v>
      </c>
      <c r="M534" t="s">
        <v>199</v>
      </c>
    </row>
    <row r="535" spans="1:13" x14ac:dyDescent="0.25">
      <c r="A535">
        <v>21</v>
      </c>
      <c r="B535" t="s">
        <v>239</v>
      </c>
      <c r="C535" s="15">
        <v>45272</v>
      </c>
      <c r="D535" s="16">
        <v>0.82291666666666663</v>
      </c>
      <c r="E535" t="s">
        <v>394</v>
      </c>
      <c r="F535">
        <v>0.1</v>
      </c>
      <c r="G535" t="s">
        <v>224</v>
      </c>
      <c r="H535">
        <v>0.5</v>
      </c>
      <c r="I535" t="s">
        <v>401</v>
      </c>
      <c r="J535" s="1">
        <v>9567</v>
      </c>
      <c r="K535" t="s">
        <v>458</v>
      </c>
      <c r="L535" t="s">
        <v>240</v>
      </c>
      <c r="M535" t="s">
        <v>199</v>
      </c>
    </row>
    <row r="536" spans="1:13" x14ac:dyDescent="0.25">
      <c r="A536">
        <v>21</v>
      </c>
      <c r="B536" t="s">
        <v>239</v>
      </c>
      <c r="C536" s="15">
        <v>45272</v>
      </c>
      <c r="D536" s="16">
        <v>0.82291666666666663</v>
      </c>
      <c r="E536" t="s">
        <v>383</v>
      </c>
      <c r="F536">
        <v>0.6</v>
      </c>
      <c r="G536" t="s">
        <v>228</v>
      </c>
      <c r="H536">
        <v>0.5</v>
      </c>
      <c r="I536" t="s">
        <v>392</v>
      </c>
      <c r="J536" s="1">
        <v>17549</v>
      </c>
      <c r="K536" t="s">
        <v>451</v>
      </c>
      <c r="L536" t="s">
        <v>437</v>
      </c>
      <c r="M536" t="s">
        <v>199</v>
      </c>
    </row>
    <row r="537" spans="1:13" x14ac:dyDescent="0.25">
      <c r="A537">
        <v>21</v>
      </c>
      <c r="B537" t="s">
        <v>239</v>
      </c>
      <c r="C537" s="15">
        <v>45272</v>
      </c>
      <c r="D537" s="16">
        <v>0.83333333333333337</v>
      </c>
      <c r="E537" t="s">
        <v>398</v>
      </c>
      <c r="F537">
        <v>1.2</v>
      </c>
      <c r="G537" t="s">
        <v>215</v>
      </c>
      <c r="H537">
        <v>0.6</v>
      </c>
      <c r="I537" t="s">
        <v>386</v>
      </c>
      <c r="J537" s="1">
        <v>40531</v>
      </c>
      <c r="K537" t="s">
        <v>449</v>
      </c>
      <c r="L537" t="s">
        <v>442</v>
      </c>
      <c r="M537" t="s">
        <v>199</v>
      </c>
    </row>
    <row r="538" spans="1:13" x14ac:dyDescent="0.25">
      <c r="A538">
        <v>21</v>
      </c>
      <c r="B538" t="s">
        <v>247</v>
      </c>
      <c r="C538" s="15">
        <v>45273</v>
      </c>
      <c r="D538" s="16">
        <v>0.82291666666666663</v>
      </c>
      <c r="E538" t="s">
        <v>390</v>
      </c>
      <c r="F538">
        <v>1.6</v>
      </c>
      <c r="G538" t="s">
        <v>218</v>
      </c>
      <c r="H538">
        <v>1.4</v>
      </c>
      <c r="I538" t="s">
        <v>395</v>
      </c>
      <c r="J538" s="1">
        <v>25521</v>
      </c>
      <c r="K538" t="s">
        <v>443</v>
      </c>
      <c r="L538" t="s">
        <v>435</v>
      </c>
      <c r="M538" t="s">
        <v>199</v>
      </c>
    </row>
    <row r="539" spans="1:13" x14ac:dyDescent="0.25">
      <c r="A539">
        <v>21</v>
      </c>
      <c r="B539" t="s">
        <v>247</v>
      </c>
      <c r="C539" s="15">
        <v>45273</v>
      </c>
      <c r="D539" s="16">
        <v>0.82291666666666663</v>
      </c>
      <c r="E539" t="s">
        <v>387</v>
      </c>
      <c r="F539">
        <v>2</v>
      </c>
      <c r="G539" t="s">
        <v>226</v>
      </c>
      <c r="H539">
        <v>1.3</v>
      </c>
      <c r="I539" t="s">
        <v>389</v>
      </c>
      <c r="J539" s="1">
        <v>28960</v>
      </c>
      <c r="K539" t="s">
        <v>447</v>
      </c>
      <c r="L539" t="s">
        <v>444</v>
      </c>
      <c r="M539" t="s">
        <v>199</v>
      </c>
    </row>
    <row r="540" spans="1:13" x14ac:dyDescent="0.25">
      <c r="A540">
        <v>21</v>
      </c>
      <c r="B540" t="s">
        <v>247</v>
      </c>
      <c r="C540" s="15">
        <v>45273</v>
      </c>
      <c r="D540" s="16">
        <v>0.82291666666666663</v>
      </c>
      <c r="E540" t="s">
        <v>381</v>
      </c>
      <c r="F540">
        <v>1</v>
      </c>
      <c r="G540" t="s">
        <v>204</v>
      </c>
      <c r="H540">
        <v>1.9</v>
      </c>
      <c r="I540" t="s">
        <v>378</v>
      </c>
      <c r="J540" s="1">
        <v>17669</v>
      </c>
      <c r="K540" t="s">
        <v>453</v>
      </c>
      <c r="L540" t="s">
        <v>467</v>
      </c>
      <c r="M540" t="s">
        <v>199</v>
      </c>
    </row>
    <row r="541" spans="1:13" x14ac:dyDescent="0.25">
      <c r="A541">
        <v>21</v>
      </c>
      <c r="B541" t="s">
        <v>247</v>
      </c>
      <c r="C541" s="15">
        <v>45273</v>
      </c>
      <c r="D541" s="16">
        <v>0.82291666666666663</v>
      </c>
      <c r="E541" t="s">
        <v>382</v>
      </c>
      <c r="F541">
        <v>0.6</v>
      </c>
      <c r="G541" t="s">
        <v>208</v>
      </c>
      <c r="H541">
        <v>0.7</v>
      </c>
      <c r="I541" t="s">
        <v>396</v>
      </c>
      <c r="J541" s="1">
        <v>23996</v>
      </c>
      <c r="K541" t="s">
        <v>450</v>
      </c>
      <c r="L541" t="s">
        <v>479</v>
      </c>
      <c r="M541" t="s">
        <v>199</v>
      </c>
    </row>
    <row r="542" spans="1:13" x14ac:dyDescent="0.25">
      <c r="A542">
        <v>21</v>
      </c>
      <c r="B542" t="s">
        <v>247</v>
      </c>
      <c r="C542" s="15">
        <v>45273</v>
      </c>
      <c r="D542" s="16">
        <v>0.82291666666666663</v>
      </c>
      <c r="E542" t="s">
        <v>393</v>
      </c>
      <c r="F542">
        <v>1.4</v>
      </c>
      <c r="G542" t="s">
        <v>233</v>
      </c>
      <c r="H542">
        <v>0.7</v>
      </c>
      <c r="I542" t="s">
        <v>391</v>
      </c>
      <c r="J542" s="1">
        <v>16339</v>
      </c>
      <c r="K542" t="s">
        <v>465</v>
      </c>
      <c r="L542" t="s">
        <v>235</v>
      </c>
      <c r="M542" t="s">
        <v>199</v>
      </c>
    </row>
    <row r="543" spans="1:13" x14ac:dyDescent="0.25">
      <c r="A543">
        <v>21</v>
      </c>
      <c r="B543" t="s">
        <v>247</v>
      </c>
      <c r="C543" s="15">
        <v>45273</v>
      </c>
      <c r="D543" s="16">
        <v>0.83333333333333337</v>
      </c>
      <c r="E543" t="s">
        <v>388</v>
      </c>
      <c r="F543">
        <v>1.3</v>
      </c>
      <c r="G543" t="s">
        <v>229</v>
      </c>
      <c r="H543">
        <v>1.2</v>
      </c>
      <c r="I543" t="s">
        <v>384</v>
      </c>
      <c r="J543" s="1">
        <v>24158</v>
      </c>
      <c r="K543" t="s">
        <v>438</v>
      </c>
      <c r="L543" t="s">
        <v>454</v>
      </c>
      <c r="M543" t="s">
        <v>199</v>
      </c>
    </row>
    <row r="544" spans="1:13" x14ac:dyDescent="0.25">
      <c r="C544" s="15"/>
    </row>
    <row r="545" spans="1:13" x14ac:dyDescent="0.25">
      <c r="A545">
        <v>22</v>
      </c>
      <c r="B545" t="s">
        <v>202</v>
      </c>
      <c r="C545" s="15">
        <v>45276</v>
      </c>
      <c r="D545" s="16">
        <v>0.52083333333333337</v>
      </c>
      <c r="E545" t="s">
        <v>385</v>
      </c>
      <c r="F545">
        <v>2.1</v>
      </c>
      <c r="G545" t="s">
        <v>212</v>
      </c>
      <c r="H545">
        <v>0.8</v>
      </c>
      <c r="I545" t="s">
        <v>390</v>
      </c>
      <c r="J545" s="1">
        <v>29611</v>
      </c>
      <c r="K545" t="s">
        <v>456</v>
      </c>
      <c r="L545" t="s">
        <v>234</v>
      </c>
      <c r="M545" t="s">
        <v>199</v>
      </c>
    </row>
    <row r="546" spans="1:13" x14ac:dyDescent="0.25">
      <c r="A546">
        <v>22</v>
      </c>
      <c r="B546" t="s">
        <v>202</v>
      </c>
      <c r="C546" s="15">
        <v>45276</v>
      </c>
      <c r="D546" s="16">
        <v>0.625</v>
      </c>
      <c r="E546" t="s">
        <v>391</v>
      </c>
      <c r="F546">
        <v>2.6</v>
      </c>
      <c r="G546" t="s">
        <v>226</v>
      </c>
      <c r="H546">
        <v>1.5</v>
      </c>
      <c r="I546" t="s">
        <v>394</v>
      </c>
      <c r="J546" s="1">
        <v>16025</v>
      </c>
      <c r="K546" t="s">
        <v>434</v>
      </c>
      <c r="L546" t="s">
        <v>439</v>
      </c>
      <c r="M546" t="s">
        <v>199</v>
      </c>
    </row>
    <row r="547" spans="1:13" x14ac:dyDescent="0.25">
      <c r="A547">
        <v>22</v>
      </c>
      <c r="B547" t="s">
        <v>202</v>
      </c>
      <c r="C547" s="15">
        <v>45276</v>
      </c>
      <c r="D547" s="16">
        <v>0.625</v>
      </c>
      <c r="E547" t="s">
        <v>386</v>
      </c>
      <c r="F547">
        <v>1.6</v>
      </c>
      <c r="G547" t="s">
        <v>208</v>
      </c>
      <c r="H547">
        <v>0.5</v>
      </c>
      <c r="I547" t="s">
        <v>382</v>
      </c>
      <c r="J547" s="1">
        <v>36700</v>
      </c>
      <c r="K547" t="s">
        <v>448</v>
      </c>
      <c r="L547" t="s">
        <v>455</v>
      </c>
      <c r="M547" t="s">
        <v>199</v>
      </c>
    </row>
    <row r="548" spans="1:13" x14ac:dyDescent="0.25">
      <c r="A548">
        <v>22</v>
      </c>
      <c r="B548" t="s">
        <v>202</v>
      </c>
      <c r="C548" s="15">
        <v>45276</v>
      </c>
      <c r="D548" s="16">
        <v>0.625</v>
      </c>
      <c r="E548" t="s">
        <v>396</v>
      </c>
      <c r="F548">
        <v>3.9</v>
      </c>
      <c r="G548" t="s">
        <v>222</v>
      </c>
      <c r="H548">
        <v>0.7</v>
      </c>
      <c r="I548" t="s">
        <v>379</v>
      </c>
      <c r="J548" s="1">
        <v>27545</v>
      </c>
      <c r="K548" t="s">
        <v>461</v>
      </c>
      <c r="L548" t="s">
        <v>238</v>
      </c>
      <c r="M548" t="s">
        <v>199</v>
      </c>
    </row>
    <row r="549" spans="1:13" x14ac:dyDescent="0.25">
      <c r="A549">
        <v>22</v>
      </c>
      <c r="B549" t="s">
        <v>202</v>
      </c>
      <c r="C549" s="15">
        <v>45276</v>
      </c>
      <c r="D549" s="16">
        <v>0.625</v>
      </c>
      <c r="E549" t="s">
        <v>384</v>
      </c>
      <c r="F549">
        <v>1.9</v>
      </c>
      <c r="G549" t="s">
        <v>223</v>
      </c>
      <c r="H549">
        <v>0.7</v>
      </c>
      <c r="I549" t="s">
        <v>381</v>
      </c>
      <c r="J549" s="1">
        <v>20352</v>
      </c>
      <c r="K549" t="s">
        <v>460</v>
      </c>
      <c r="L549" t="s">
        <v>444</v>
      </c>
      <c r="M549" t="s">
        <v>199</v>
      </c>
    </row>
    <row r="550" spans="1:13" x14ac:dyDescent="0.25">
      <c r="A550">
        <v>22</v>
      </c>
      <c r="B550" t="s">
        <v>202</v>
      </c>
      <c r="C550" s="15">
        <v>45276</v>
      </c>
      <c r="D550" s="16">
        <v>0.625</v>
      </c>
      <c r="E550" t="s">
        <v>380</v>
      </c>
      <c r="F550">
        <v>1</v>
      </c>
      <c r="G550" t="s">
        <v>215</v>
      </c>
      <c r="H550">
        <v>0.8</v>
      </c>
      <c r="I550" t="s">
        <v>398</v>
      </c>
      <c r="J550" s="1">
        <v>22701</v>
      </c>
      <c r="K550" t="s">
        <v>432</v>
      </c>
      <c r="L550" t="s">
        <v>474</v>
      </c>
      <c r="M550" t="s">
        <v>199</v>
      </c>
    </row>
    <row r="551" spans="1:13" x14ac:dyDescent="0.25">
      <c r="A551">
        <v>22</v>
      </c>
      <c r="B551" t="s">
        <v>202</v>
      </c>
      <c r="C551" s="15">
        <v>45276</v>
      </c>
      <c r="D551" s="16">
        <v>0.625</v>
      </c>
      <c r="E551" t="s">
        <v>395</v>
      </c>
      <c r="F551">
        <v>1.3</v>
      </c>
      <c r="G551" t="s">
        <v>203</v>
      </c>
      <c r="H551">
        <v>0.4</v>
      </c>
      <c r="I551" t="s">
        <v>393</v>
      </c>
      <c r="J551" s="1">
        <v>24739</v>
      </c>
      <c r="K551" t="s">
        <v>431</v>
      </c>
      <c r="L551" t="s">
        <v>475</v>
      </c>
      <c r="M551" t="s">
        <v>199</v>
      </c>
    </row>
    <row r="552" spans="1:13" x14ac:dyDescent="0.25">
      <c r="A552">
        <v>22</v>
      </c>
      <c r="B552" t="s">
        <v>202</v>
      </c>
      <c r="C552" s="15">
        <v>45276</v>
      </c>
      <c r="D552" s="16">
        <v>0.625</v>
      </c>
      <c r="E552" t="s">
        <v>399</v>
      </c>
      <c r="F552">
        <v>1.3</v>
      </c>
      <c r="G552" t="s">
        <v>229</v>
      </c>
      <c r="H552">
        <v>1.1000000000000001</v>
      </c>
      <c r="I552" t="s">
        <v>388</v>
      </c>
      <c r="J552" s="1">
        <v>15084</v>
      </c>
      <c r="K552" t="s">
        <v>445</v>
      </c>
      <c r="L552" t="s">
        <v>435</v>
      </c>
      <c r="M552" t="s">
        <v>199</v>
      </c>
    </row>
    <row r="553" spans="1:13" x14ac:dyDescent="0.25">
      <c r="A553">
        <v>22</v>
      </c>
      <c r="B553" t="s">
        <v>202</v>
      </c>
      <c r="C553" s="15">
        <v>45276</v>
      </c>
      <c r="D553" s="16">
        <v>0.625</v>
      </c>
      <c r="E553" t="s">
        <v>392</v>
      </c>
      <c r="F553">
        <v>2.1</v>
      </c>
      <c r="G553" t="s">
        <v>480</v>
      </c>
      <c r="H553">
        <v>3.3</v>
      </c>
      <c r="I553" t="s">
        <v>400</v>
      </c>
      <c r="J553" s="1">
        <v>14389</v>
      </c>
      <c r="K553" t="s">
        <v>457</v>
      </c>
      <c r="L553" t="s">
        <v>478</v>
      </c>
      <c r="M553" t="s">
        <v>199</v>
      </c>
    </row>
    <row r="554" spans="1:13" x14ac:dyDescent="0.25">
      <c r="A554">
        <v>22</v>
      </c>
      <c r="B554" t="s">
        <v>202</v>
      </c>
      <c r="C554" s="15">
        <v>45276</v>
      </c>
      <c r="D554" s="16">
        <v>0.625</v>
      </c>
      <c r="E554" t="s">
        <v>389</v>
      </c>
      <c r="F554">
        <v>1.4</v>
      </c>
      <c r="G554" t="s">
        <v>208</v>
      </c>
      <c r="H554">
        <v>1.5</v>
      </c>
      <c r="I554" t="s">
        <v>383</v>
      </c>
      <c r="J554" s="1">
        <v>15040</v>
      </c>
      <c r="K554" t="s">
        <v>462</v>
      </c>
      <c r="L554" t="s">
        <v>217</v>
      </c>
      <c r="M554" t="s">
        <v>199</v>
      </c>
    </row>
    <row r="555" spans="1:13" x14ac:dyDescent="0.25">
      <c r="A555">
        <v>22</v>
      </c>
      <c r="B555" t="s">
        <v>211</v>
      </c>
      <c r="C555" s="15">
        <v>45277</v>
      </c>
      <c r="D555" s="16">
        <v>0.5</v>
      </c>
      <c r="E555" t="s">
        <v>401</v>
      </c>
      <c r="F555">
        <v>1.3</v>
      </c>
      <c r="G555" t="s">
        <v>208</v>
      </c>
      <c r="H555">
        <v>0.4</v>
      </c>
      <c r="I555" t="s">
        <v>397</v>
      </c>
      <c r="J555" s="1">
        <v>23298</v>
      </c>
      <c r="K555" t="s">
        <v>452</v>
      </c>
      <c r="L555" t="s">
        <v>470</v>
      </c>
      <c r="M555" t="s">
        <v>199</v>
      </c>
    </row>
    <row r="556" spans="1:13" x14ac:dyDescent="0.25">
      <c r="A556">
        <v>22</v>
      </c>
      <c r="B556" t="s">
        <v>214</v>
      </c>
      <c r="C556" s="15">
        <v>45278</v>
      </c>
      <c r="D556" s="16">
        <v>0.83333333333333337</v>
      </c>
      <c r="E556" t="s">
        <v>378</v>
      </c>
      <c r="F556">
        <v>0.5</v>
      </c>
      <c r="G556" t="s">
        <v>242</v>
      </c>
      <c r="H556">
        <v>2.2999999999999998</v>
      </c>
      <c r="I556" t="s">
        <v>387</v>
      </c>
      <c r="J556" s="1">
        <v>20334</v>
      </c>
      <c r="K556" t="s">
        <v>463</v>
      </c>
      <c r="L556" t="s">
        <v>433</v>
      </c>
      <c r="M556" t="s">
        <v>199</v>
      </c>
    </row>
    <row r="558" spans="1:13" x14ac:dyDescent="0.25">
      <c r="A558">
        <v>23</v>
      </c>
      <c r="B558" t="s">
        <v>200</v>
      </c>
      <c r="C558" s="15">
        <v>45282</v>
      </c>
      <c r="D558" s="16">
        <v>0.82291666666666663</v>
      </c>
      <c r="E558" t="s">
        <v>380</v>
      </c>
      <c r="I558" t="s">
        <v>384</v>
      </c>
      <c r="K558" t="s">
        <v>432</v>
      </c>
      <c r="M558" t="s">
        <v>248</v>
      </c>
    </row>
    <row r="559" spans="1:13" x14ac:dyDescent="0.25">
      <c r="A559">
        <v>23</v>
      </c>
      <c r="B559" t="s">
        <v>200</v>
      </c>
      <c r="C559" s="15">
        <v>45282</v>
      </c>
      <c r="D559" s="16">
        <v>0.82291666666666663</v>
      </c>
      <c r="E559" t="s">
        <v>399</v>
      </c>
      <c r="I559" t="s">
        <v>392</v>
      </c>
      <c r="K559" t="s">
        <v>445</v>
      </c>
      <c r="M559" t="s">
        <v>248</v>
      </c>
    </row>
    <row r="560" spans="1:13" x14ac:dyDescent="0.25">
      <c r="A560">
        <v>23</v>
      </c>
      <c r="B560" t="s">
        <v>202</v>
      </c>
      <c r="C560" s="15">
        <v>45283</v>
      </c>
      <c r="D560" s="16">
        <v>0.52083333333333337</v>
      </c>
      <c r="E560" t="s">
        <v>386</v>
      </c>
      <c r="I560" t="s">
        <v>385</v>
      </c>
      <c r="K560" t="s">
        <v>448</v>
      </c>
      <c r="M560" t="s">
        <v>248</v>
      </c>
    </row>
    <row r="561" spans="1:13" x14ac:dyDescent="0.25">
      <c r="A561">
        <v>23</v>
      </c>
      <c r="B561" t="s">
        <v>202</v>
      </c>
      <c r="C561" s="15">
        <v>45283</v>
      </c>
      <c r="D561" s="16">
        <v>0.625</v>
      </c>
      <c r="E561" t="s">
        <v>387</v>
      </c>
      <c r="I561" t="s">
        <v>394</v>
      </c>
      <c r="K561" t="s">
        <v>447</v>
      </c>
      <c r="M561" t="s">
        <v>248</v>
      </c>
    </row>
    <row r="562" spans="1:13" x14ac:dyDescent="0.25">
      <c r="A562">
        <v>23</v>
      </c>
      <c r="B562" t="s">
        <v>202</v>
      </c>
      <c r="C562" s="15">
        <v>45283</v>
      </c>
      <c r="D562" s="16">
        <v>0.625</v>
      </c>
      <c r="E562" t="s">
        <v>393</v>
      </c>
      <c r="I562" t="s">
        <v>396</v>
      </c>
      <c r="K562" t="s">
        <v>465</v>
      </c>
      <c r="M562" t="s">
        <v>248</v>
      </c>
    </row>
    <row r="563" spans="1:13" x14ac:dyDescent="0.25">
      <c r="A563">
        <v>23</v>
      </c>
      <c r="B563" t="s">
        <v>202</v>
      </c>
      <c r="C563" s="15">
        <v>45283</v>
      </c>
      <c r="D563" s="16">
        <v>0.625</v>
      </c>
      <c r="E563" t="s">
        <v>379</v>
      </c>
      <c r="I563" t="s">
        <v>400</v>
      </c>
      <c r="K563" t="s">
        <v>441</v>
      </c>
      <c r="M563" t="s">
        <v>248</v>
      </c>
    </row>
    <row r="564" spans="1:13" x14ac:dyDescent="0.25">
      <c r="A564">
        <v>23</v>
      </c>
      <c r="B564" t="s">
        <v>202</v>
      </c>
      <c r="C564" s="15">
        <v>45283</v>
      </c>
      <c r="D564" s="16">
        <v>0.625</v>
      </c>
      <c r="E564" t="s">
        <v>398</v>
      </c>
      <c r="I564" t="s">
        <v>382</v>
      </c>
      <c r="K564" t="s">
        <v>449</v>
      </c>
      <c r="M564" t="s">
        <v>248</v>
      </c>
    </row>
    <row r="565" spans="1:13" x14ac:dyDescent="0.25">
      <c r="A565">
        <v>23</v>
      </c>
      <c r="B565" t="s">
        <v>202</v>
      </c>
      <c r="C565" s="15">
        <v>45283</v>
      </c>
      <c r="D565" s="16">
        <v>0.625</v>
      </c>
      <c r="E565" t="s">
        <v>395</v>
      </c>
      <c r="I565" t="s">
        <v>381</v>
      </c>
      <c r="K565" t="s">
        <v>431</v>
      </c>
      <c r="M565" t="s">
        <v>248</v>
      </c>
    </row>
    <row r="566" spans="1:13" x14ac:dyDescent="0.25">
      <c r="A566">
        <v>23</v>
      </c>
      <c r="B566" t="s">
        <v>202</v>
      </c>
      <c r="C566" s="15">
        <v>45283</v>
      </c>
      <c r="D566" s="16">
        <v>0.625</v>
      </c>
      <c r="E566" t="s">
        <v>388</v>
      </c>
      <c r="I566" t="s">
        <v>401</v>
      </c>
      <c r="K566" t="s">
        <v>438</v>
      </c>
      <c r="M566" t="s">
        <v>248</v>
      </c>
    </row>
    <row r="567" spans="1:13" x14ac:dyDescent="0.25">
      <c r="A567">
        <v>23</v>
      </c>
      <c r="B567" t="s">
        <v>202</v>
      </c>
      <c r="C567" s="15">
        <v>45283</v>
      </c>
      <c r="D567" s="16">
        <v>0.625</v>
      </c>
      <c r="E567" t="s">
        <v>397</v>
      </c>
      <c r="I567" t="s">
        <v>389</v>
      </c>
      <c r="K567" t="s">
        <v>436</v>
      </c>
      <c r="M567" t="s">
        <v>248</v>
      </c>
    </row>
    <row r="568" spans="1:13" x14ac:dyDescent="0.25">
      <c r="A568">
        <v>23</v>
      </c>
      <c r="B568" t="s">
        <v>202</v>
      </c>
      <c r="C568" s="15">
        <v>45283</v>
      </c>
      <c r="D568" s="16">
        <v>0.625</v>
      </c>
      <c r="E568" t="s">
        <v>390</v>
      </c>
      <c r="I568" t="s">
        <v>383</v>
      </c>
      <c r="K568" t="s">
        <v>443</v>
      </c>
      <c r="M568" t="s">
        <v>248</v>
      </c>
    </row>
    <row r="569" spans="1:13" x14ac:dyDescent="0.25">
      <c r="A569">
        <v>23</v>
      </c>
      <c r="B569" t="s">
        <v>202</v>
      </c>
      <c r="C569" s="15">
        <v>45283</v>
      </c>
      <c r="D569" s="16">
        <v>0.625</v>
      </c>
      <c r="E569" t="s">
        <v>391</v>
      </c>
      <c r="I569" t="s">
        <v>378</v>
      </c>
      <c r="K569" t="s">
        <v>434</v>
      </c>
      <c r="M569" t="s">
        <v>248</v>
      </c>
    </row>
    <row r="570" spans="1:13" x14ac:dyDescent="0.25">
      <c r="C570" s="15"/>
    </row>
    <row r="571" spans="1:13" x14ac:dyDescent="0.25">
      <c r="A571">
        <v>24</v>
      </c>
      <c r="B571" t="s">
        <v>239</v>
      </c>
      <c r="C571" s="15">
        <v>45286</v>
      </c>
      <c r="D571" s="16">
        <v>0.54166666666666663</v>
      </c>
      <c r="E571" t="s">
        <v>389</v>
      </c>
      <c r="I571" t="s">
        <v>393</v>
      </c>
      <c r="K571" t="s">
        <v>462</v>
      </c>
      <c r="M571" t="s">
        <v>248</v>
      </c>
    </row>
    <row r="572" spans="1:13" x14ac:dyDescent="0.25">
      <c r="A572">
        <v>24</v>
      </c>
      <c r="B572" t="s">
        <v>239</v>
      </c>
      <c r="C572" s="15">
        <v>45286</v>
      </c>
      <c r="D572" s="16">
        <v>0.625</v>
      </c>
      <c r="E572" t="s">
        <v>400</v>
      </c>
      <c r="I572" t="s">
        <v>380</v>
      </c>
      <c r="K572" t="s">
        <v>440</v>
      </c>
      <c r="M572" t="s">
        <v>248</v>
      </c>
    </row>
    <row r="573" spans="1:13" x14ac:dyDescent="0.25">
      <c r="A573">
        <v>24</v>
      </c>
      <c r="B573" t="s">
        <v>239</v>
      </c>
      <c r="C573" s="15">
        <v>45286</v>
      </c>
      <c r="D573" s="16">
        <v>0.625</v>
      </c>
      <c r="E573" t="s">
        <v>384</v>
      </c>
      <c r="I573" t="s">
        <v>398</v>
      </c>
      <c r="K573" t="s">
        <v>460</v>
      </c>
      <c r="M573" t="s">
        <v>248</v>
      </c>
    </row>
    <row r="574" spans="1:13" x14ac:dyDescent="0.25">
      <c r="A574">
        <v>24</v>
      </c>
      <c r="B574" t="s">
        <v>239</v>
      </c>
      <c r="C574" s="15">
        <v>45286</v>
      </c>
      <c r="D574" s="16">
        <v>0.625</v>
      </c>
      <c r="E574" t="s">
        <v>383</v>
      </c>
      <c r="I574" t="s">
        <v>379</v>
      </c>
      <c r="K574" t="s">
        <v>451</v>
      </c>
      <c r="M574" t="s">
        <v>248</v>
      </c>
    </row>
    <row r="575" spans="1:13" x14ac:dyDescent="0.25">
      <c r="A575">
        <v>24</v>
      </c>
      <c r="B575" t="s">
        <v>239</v>
      </c>
      <c r="C575" s="15">
        <v>45286</v>
      </c>
      <c r="D575" s="16">
        <v>0.625</v>
      </c>
      <c r="E575" t="s">
        <v>394</v>
      </c>
      <c r="I575" t="s">
        <v>388</v>
      </c>
      <c r="K575" t="s">
        <v>458</v>
      </c>
      <c r="M575" t="s">
        <v>248</v>
      </c>
    </row>
    <row r="576" spans="1:13" x14ac:dyDescent="0.25">
      <c r="A576">
        <v>24</v>
      </c>
      <c r="B576" t="s">
        <v>239</v>
      </c>
      <c r="C576" s="15">
        <v>45286</v>
      </c>
      <c r="D576" s="16">
        <v>0.625</v>
      </c>
      <c r="E576" t="s">
        <v>382</v>
      </c>
      <c r="I576" t="s">
        <v>395</v>
      </c>
      <c r="K576" t="s">
        <v>450</v>
      </c>
      <c r="M576" t="s">
        <v>248</v>
      </c>
    </row>
    <row r="577" spans="1:13" x14ac:dyDescent="0.25">
      <c r="A577">
        <v>24</v>
      </c>
      <c r="B577" t="s">
        <v>239</v>
      </c>
      <c r="C577" s="15">
        <v>45286</v>
      </c>
      <c r="D577" s="16">
        <v>0.625</v>
      </c>
      <c r="E577" t="s">
        <v>396</v>
      </c>
      <c r="I577" t="s">
        <v>399</v>
      </c>
      <c r="K577" t="s">
        <v>461</v>
      </c>
      <c r="M577" t="s">
        <v>248</v>
      </c>
    </row>
    <row r="578" spans="1:13" x14ac:dyDescent="0.25">
      <c r="A578">
        <v>24</v>
      </c>
      <c r="B578" t="s">
        <v>239</v>
      </c>
      <c r="C578" s="15">
        <v>45286</v>
      </c>
      <c r="D578" s="16">
        <v>0.625</v>
      </c>
      <c r="E578" t="s">
        <v>378</v>
      </c>
      <c r="I578" t="s">
        <v>397</v>
      </c>
      <c r="K578" t="s">
        <v>463</v>
      </c>
      <c r="M578" t="s">
        <v>248</v>
      </c>
    </row>
    <row r="579" spans="1:13" x14ac:dyDescent="0.25">
      <c r="A579">
        <v>24</v>
      </c>
      <c r="B579" t="s">
        <v>239</v>
      </c>
      <c r="C579" s="15">
        <v>45286</v>
      </c>
      <c r="D579" s="16">
        <v>0.625</v>
      </c>
      <c r="E579" t="s">
        <v>401</v>
      </c>
      <c r="I579" t="s">
        <v>390</v>
      </c>
      <c r="K579" t="s">
        <v>452</v>
      </c>
      <c r="M579" t="s">
        <v>248</v>
      </c>
    </row>
    <row r="580" spans="1:13" x14ac:dyDescent="0.25">
      <c r="A580">
        <v>24</v>
      </c>
      <c r="B580" t="s">
        <v>239</v>
      </c>
      <c r="C580" s="15">
        <v>45286</v>
      </c>
      <c r="D580" s="16">
        <v>0.625</v>
      </c>
      <c r="E580" t="s">
        <v>381</v>
      </c>
      <c r="I580" t="s">
        <v>391</v>
      </c>
      <c r="K580" t="s">
        <v>453</v>
      </c>
      <c r="M580" t="s">
        <v>248</v>
      </c>
    </row>
    <row r="581" spans="1:13" x14ac:dyDescent="0.25">
      <c r="A581">
        <v>24</v>
      </c>
      <c r="B581" t="s">
        <v>239</v>
      </c>
      <c r="C581" s="15">
        <v>45286</v>
      </c>
      <c r="D581" s="16">
        <v>0.64583333333333337</v>
      </c>
      <c r="E581" t="s">
        <v>392</v>
      </c>
      <c r="I581" t="s">
        <v>386</v>
      </c>
      <c r="K581" t="s">
        <v>457</v>
      </c>
      <c r="M581" t="s">
        <v>248</v>
      </c>
    </row>
    <row r="582" spans="1:13" x14ac:dyDescent="0.25">
      <c r="A582">
        <v>24</v>
      </c>
      <c r="B582" t="s">
        <v>239</v>
      </c>
      <c r="C582" s="15">
        <v>45286</v>
      </c>
      <c r="D582" s="16">
        <v>0.82291666666666663</v>
      </c>
      <c r="E582" t="s">
        <v>385</v>
      </c>
      <c r="I582" t="s">
        <v>387</v>
      </c>
      <c r="K582" t="s">
        <v>456</v>
      </c>
      <c r="M582" t="s">
        <v>248</v>
      </c>
    </row>
    <row r="583" spans="1:13" x14ac:dyDescent="0.25">
      <c r="C583" s="15"/>
    </row>
    <row r="584" spans="1:13" x14ac:dyDescent="0.25">
      <c r="A584">
        <v>25</v>
      </c>
      <c r="B584" t="s">
        <v>200</v>
      </c>
      <c r="C584" s="15">
        <v>45289</v>
      </c>
      <c r="D584" s="16">
        <v>0.82291666666666663</v>
      </c>
      <c r="E584" t="s">
        <v>394</v>
      </c>
      <c r="I584" t="s">
        <v>398</v>
      </c>
      <c r="K584" t="s">
        <v>458</v>
      </c>
      <c r="M584" t="s">
        <v>248</v>
      </c>
    </row>
    <row r="585" spans="1:13" x14ac:dyDescent="0.25">
      <c r="A585">
        <v>25</v>
      </c>
      <c r="B585" t="s">
        <v>200</v>
      </c>
      <c r="C585" s="15">
        <v>45289</v>
      </c>
      <c r="D585" s="16">
        <v>0.82291666666666663</v>
      </c>
      <c r="E585" t="s">
        <v>382</v>
      </c>
      <c r="I585" t="s">
        <v>399</v>
      </c>
      <c r="K585" t="s">
        <v>450</v>
      </c>
      <c r="M585" t="s">
        <v>248</v>
      </c>
    </row>
    <row r="586" spans="1:13" x14ac:dyDescent="0.25">
      <c r="A586">
        <v>25</v>
      </c>
      <c r="B586" t="s">
        <v>200</v>
      </c>
      <c r="C586" s="15">
        <v>45289</v>
      </c>
      <c r="D586" s="16">
        <v>0.82291666666666663</v>
      </c>
      <c r="E586" t="s">
        <v>396</v>
      </c>
      <c r="I586" t="s">
        <v>391</v>
      </c>
      <c r="K586" t="s">
        <v>461</v>
      </c>
      <c r="M586" t="s">
        <v>248</v>
      </c>
    </row>
    <row r="587" spans="1:13" x14ac:dyDescent="0.25">
      <c r="A587">
        <v>25</v>
      </c>
      <c r="B587" t="s">
        <v>200</v>
      </c>
      <c r="C587" s="15">
        <v>45289</v>
      </c>
      <c r="D587" s="16">
        <v>0.82291666666666663</v>
      </c>
      <c r="E587" t="s">
        <v>383</v>
      </c>
      <c r="I587" t="s">
        <v>388</v>
      </c>
      <c r="K587" t="s">
        <v>451</v>
      </c>
      <c r="M587" t="s">
        <v>248</v>
      </c>
    </row>
    <row r="588" spans="1:13" x14ac:dyDescent="0.25">
      <c r="A588">
        <v>25</v>
      </c>
      <c r="B588" t="s">
        <v>200</v>
      </c>
      <c r="C588" s="15">
        <v>45289</v>
      </c>
      <c r="D588" s="16">
        <v>0.82291666666666663</v>
      </c>
      <c r="E588" t="s">
        <v>378</v>
      </c>
      <c r="I588" t="s">
        <v>380</v>
      </c>
      <c r="K588" t="s">
        <v>463</v>
      </c>
      <c r="M588" t="s">
        <v>248</v>
      </c>
    </row>
    <row r="589" spans="1:13" x14ac:dyDescent="0.25">
      <c r="A589">
        <v>25</v>
      </c>
      <c r="B589" t="s">
        <v>200</v>
      </c>
      <c r="C589" s="15">
        <v>45289</v>
      </c>
      <c r="D589" s="16">
        <v>0.82291666666666663</v>
      </c>
      <c r="E589" t="s">
        <v>392</v>
      </c>
      <c r="I589" t="s">
        <v>395</v>
      </c>
      <c r="K589" t="s">
        <v>457</v>
      </c>
      <c r="M589" t="s">
        <v>248</v>
      </c>
    </row>
    <row r="590" spans="1:13" x14ac:dyDescent="0.25">
      <c r="A590">
        <v>25</v>
      </c>
      <c r="B590" t="s">
        <v>200</v>
      </c>
      <c r="C590" s="15">
        <v>45289</v>
      </c>
      <c r="D590" s="16">
        <v>0.82291666666666663</v>
      </c>
      <c r="E590" t="s">
        <v>384</v>
      </c>
      <c r="I590" t="s">
        <v>379</v>
      </c>
      <c r="K590" t="s">
        <v>460</v>
      </c>
      <c r="M590" t="s">
        <v>248</v>
      </c>
    </row>
    <row r="591" spans="1:13" x14ac:dyDescent="0.25">
      <c r="A591">
        <v>25</v>
      </c>
      <c r="B591" t="s">
        <v>200</v>
      </c>
      <c r="C591" s="15">
        <v>45289</v>
      </c>
      <c r="D591" s="16">
        <v>0.82291666666666663</v>
      </c>
      <c r="E591" t="s">
        <v>400</v>
      </c>
      <c r="I591" t="s">
        <v>397</v>
      </c>
      <c r="K591" t="s">
        <v>440</v>
      </c>
      <c r="M591" t="s">
        <v>248</v>
      </c>
    </row>
    <row r="592" spans="1:13" x14ac:dyDescent="0.25">
      <c r="A592">
        <v>25</v>
      </c>
      <c r="B592" t="s">
        <v>200</v>
      </c>
      <c r="C592" s="15">
        <v>45289</v>
      </c>
      <c r="D592" s="16">
        <v>0.82291666666666663</v>
      </c>
      <c r="E592" t="s">
        <v>389</v>
      </c>
      <c r="I592" t="s">
        <v>390</v>
      </c>
      <c r="K592" t="s">
        <v>462</v>
      </c>
      <c r="M592" t="s">
        <v>248</v>
      </c>
    </row>
    <row r="593" spans="1:13" x14ac:dyDescent="0.25">
      <c r="A593">
        <v>25</v>
      </c>
      <c r="B593" t="s">
        <v>200</v>
      </c>
      <c r="C593" s="15">
        <v>45289</v>
      </c>
      <c r="D593" s="16">
        <v>0.82291666666666663</v>
      </c>
      <c r="E593" t="s">
        <v>381</v>
      </c>
      <c r="I593" t="s">
        <v>387</v>
      </c>
      <c r="K593" t="s">
        <v>453</v>
      </c>
      <c r="M593" t="s">
        <v>248</v>
      </c>
    </row>
    <row r="594" spans="1:13" x14ac:dyDescent="0.25">
      <c r="A594">
        <v>25</v>
      </c>
      <c r="B594" t="s">
        <v>200</v>
      </c>
      <c r="C594" s="15">
        <v>45289</v>
      </c>
      <c r="D594" s="16">
        <v>0.82291666666666663</v>
      </c>
      <c r="E594" t="s">
        <v>385</v>
      </c>
      <c r="I594" t="s">
        <v>393</v>
      </c>
      <c r="K594" t="s">
        <v>456</v>
      </c>
      <c r="M594" t="s">
        <v>248</v>
      </c>
    </row>
    <row r="595" spans="1:13" x14ac:dyDescent="0.25">
      <c r="A595">
        <v>25</v>
      </c>
      <c r="B595" t="s">
        <v>200</v>
      </c>
      <c r="C595" s="15">
        <v>45289</v>
      </c>
      <c r="D595" s="16">
        <v>0.84375</v>
      </c>
      <c r="E595" t="s">
        <v>401</v>
      </c>
      <c r="I595" t="s">
        <v>386</v>
      </c>
      <c r="K595" t="s">
        <v>452</v>
      </c>
      <c r="M595" t="s">
        <v>248</v>
      </c>
    </row>
    <row r="596" spans="1:13" x14ac:dyDescent="0.25">
      <c r="C596" s="15"/>
    </row>
    <row r="597" spans="1:13" x14ac:dyDescent="0.25">
      <c r="A597">
        <v>26</v>
      </c>
      <c r="B597" t="s">
        <v>214</v>
      </c>
      <c r="C597" s="15">
        <v>45292</v>
      </c>
      <c r="D597" s="16">
        <v>0.52083333333333337</v>
      </c>
      <c r="E597" t="s">
        <v>398</v>
      </c>
      <c r="I597" t="s">
        <v>392</v>
      </c>
      <c r="K597" t="s">
        <v>449</v>
      </c>
      <c r="M597" t="s">
        <v>248</v>
      </c>
    </row>
    <row r="598" spans="1:13" x14ac:dyDescent="0.25">
      <c r="A598">
        <v>26</v>
      </c>
      <c r="B598" t="s">
        <v>214</v>
      </c>
      <c r="C598" s="15">
        <v>45292</v>
      </c>
      <c r="D598" s="16">
        <v>0.625</v>
      </c>
      <c r="E598" t="s">
        <v>391</v>
      </c>
      <c r="I598" t="s">
        <v>400</v>
      </c>
      <c r="K598" t="s">
        <v>434</v>
      </c>
      <c r="M598" t="s">
        <v>248</v>
      </c>
    </row>
    <row r="599" spans="1:13" x14ac:dyDescent="0.25">
      <c r="A599">
        <v>26</v>
      </c>
      <c r="B599" t="s">
        <v>214</v>
      </c>
      <c r="C599" s="15">
        <v>45292</v>
      </c>
      <c r="D599" s="16">
        <v>0.625</v>
      </c>
      <c r="E599" t="s">
        <v>397</v>
      </c>
      <c r="I599" t="s">
        <v>385</v>
      </c>
      <c r="K599" t="s">
        <v>436</v>
      </c>
      <c r="M599" t="s">
        <v>248</v>
      </c>
    </row>
    <row r="600" spans="1:13" x14ac:dyDescent="0.25">
      <c r="A600">
        <v>26</v>
      </c>
      <c r="B600" t="s">
        <v>214</v>
      </c>
      <c r="C600" s="15">
        <v>45292</v>
      </c>
      <c r="D600" s="16">
        <v>0.625</v>
      </c>
      <c r="E600" t="s">
        <v>379</v>
      </c>
      <c r="I600" t="s">
        <v>394</v>
      </c>
      <c r="K600" t="s">
        <v>441</v>
      </c>
      <c r="M600" t="s">
        <v>248</v>
      </c>
    </row>
    <row r="601" spans="1:13" x14ac:dyDescent="0.25">
      <c r="A601">
        <v>26</v>
      </c>
      <c r="B601" t="s">
        <v>214</v>
      </c>
      <c r="C601" s="15">
        <v>45292</v>
      </c>
      <c r="D601" s="16">
        <v>0.625</v>
      </c>
      <c r="E601" t="s">
        <v>386</v>
      </c>
      <c r="I601" t="s">
        <v>378</v>
      </c>
      <c r="K601" t="s">
        <v>448</v>
      </c>
      <c r="M601" t="s">
        <v>248</v>
      </c>
    </row>
    <row r="602" spans="1:13" x14ac:dyDescent="0.25">
      <c r="A602">
        <v>26</v>
      </c>
      <c r="B602" t="s">
        <v>214</v>
      </c>
      <c r="C602" s="15">
        <v>45292</v>
      </c>
      <c r="D602" s="16">
        <v>0.625</v>
      </c>
      <c r="E602" t="s">
        <v>390</v>
      </c>
      <c r="I602" t="s">
        <v>396</v>
      </c>
      <c r="K602" t="s">
        <v>443</v>
      </c>
      <c r="M602" t="s">
        <v>248</v>
      </c>
    </row>
    <row r="603" spans="1:13" x14ac:dyDescent="0.25">
      <c r="A603">
        <v>26</v>
      </c>
      <c r="B603" t="s">
        <v>214</v>
      </c>
      <c r="C603" s="15">
        <v>45292</v>
      </c>
      <c r="D603" s="16">
        <v>0.625</v>
      </c>
      <c r="E603" t="s">
        <v>380</v>
      </c>
      <c r="I603" t="s">
        <v>389</v>
      </c>
      <c r="K603" t="s">
        <v>432</v>
      </c>
      <c r="M603" t="s">
        <v>248</v>
      </c>
    </row>
    <row r="604" spans="1:13" x14ac:dyDescent="0.25">
      <c r="A604">
        <v>26</v>
      </c>
      <c r="B604" t="s">
        <v>214</v>
      </c>
      <c r="C604" s="15">
        <v>45292</v>
      </c>
      <c r="D604" s="16">
        <v>0.625</v>
      </c>
      <c r="E604" t="s">
        <v>388</v>
      </c>
      <c r="I604" t="s">
        <v>382</v>
      </c>
      <c r="K604" t="s">
        <v>438</v>
      </c>
      <c r="M604" t="s">
        <v>248</v>
      </c>
    </row>
    <row r="605" spans="1:13" x14ac:dyDescent="0.25">
      <c r="A605">
        <v>26</v>
      </c>
      <c r="B605" t="s">
        <v>214</v>
      </c>
      <c r="C605" s="15">
        <v>45292</v>
      </c>
      <c r="D605" s="16">
        <v>0.625</v>
      </c>
      <c r="E605" t="s">
        <v>387</v>
      </c>
      <c r="I605" t="s">
        <v>383</v>
      </c>
      <c r="K605" t="s">
        <v>447</v>
      </c>
      <c r="M605" t="s">
        <v>248</v>
      </c>
    </row>
    <row r="606" spans="1:13" x14ac:dyDescent="0.25">
      <c r="A606">
        <v>26</v>
      </c>
      <c r="B606" t="s">
        <v>214</v>
      </c>
      <c r="C606" s="15">
        <v>45292</v>
      </c>
      <c r="D606" s="16">
        <v>0.625</v>
      </c>
      <c r="E606" t="s">
        <v>399</v>
      </c>
      <c r="I606" t="s">
        <v>401</v>
      </c>
      <c r="K606" t="s">
        <v>445</v>
      </c>
      <c r="M606" t="s">
        <v>248</v>
      </c>
    </row>
    <row r="607" spans="1:13" x14ac:dyDescent="0.25">
      <c r="A607">
        <v>26</v>
      </c>
      <c r="B607" t="s">
        <v>214</v>
      </c>
      <c r="C607" s="15">
        <v>45292</v>
      </c>
      <c r="D607" s="16">
        <v>0.625</v>
      </c>
      <c r="E607" t="s">
        <v>393</v>
      </c>
      <c r="I607" t="s">
        <v>381</v>
      </c>
      <c r="K607" t="s">
        <v>465</v>
      </c>
      <c r="M607" t="s">
        <v>248</v>
      </c>
    </row>
    <row r="608" spans="1:13" x14ac:dyDescent="0.25">
      <c r="A608">
        <v>26</v>
      </c>
      <c r="B608" t="s">
        <v>214</v>
      </c>
      <c r="C608" s="15">
        <v>45292</v>
      </c>
      <c r="D608" s="16">
        <v>0.71875</v>
      </c>
      <c r="E608" t="s">
        <v>395</v>
      </c>
      <c r="I608" t="s">
        <v>384</v>
      </c>
      <c r="K608" t="s">
        <v>431</v>
      </c>
      <c r="M608" t="s">
        <v>248</v>
      </c>
    </row>
    <row r="609" spans="1:13" x14ac:dyDescent="0.25">
      <c r="C609" s="15"/>
    </row>
    <row r="610" spans="1:13" x14ac:dyDescent="0.25">
      <c r="A610">
        <v>27</v>
      </c>
      <c r="B610" t="s">
        <v>202</v>
      </c>
      <c r="C610" s="15">
        <v>45304</v>
      </c>
      <c r="D610" s="16">
        <v>0.625</v>
      </c>
      <c r="E610" t="s">
        <v>382</v>
      </c>
      <c r="I610" t="s">
        <v>387</v>
      </c>
      <c r="K610" t="s">
        <v>450</v>
      </c>
      <c r="M610" t="s">
        <v>248</v>
      </c>
    </row>
    <row r="611" spans="1:13" x14ac:dyDescent="0.25">
      <c r="A611">
        <v>27</v>
      </c>
      <c r="B611" t="s">
        <v>202</v>
      </c>
      <c r="C611" s="15">
        <v>45304</v>
      </c>
      <c r="D611" s="16">
        <v>0.625</v>
      </c>
      <c r="E611" t="s">
        <v>394</v>
      </c>
      <c r="I611" t="s">
        <v>397</v>
      </c>
      <c r="K611" t="s">
        <v>458</v>
      </c>
      <c r="M611" t="s">
        <v>248</v>
      </c>
    </row>
    <row r="612" spans="1:13" x14ac:dyDescent="0.25">
      <c r="A612">
        <v>27</v>
      </c>
      <c r="B612" t="s">
        <v>202</v>
      </c>
      <c r="C612" s="15">
        <v>45304</v>
      </c>
      <c r="D612" s="16">
        <v>0.625</v>
      </c>
      <c r="E612" t="s">
        <v>392</v>
      </c>
      <c r="I612" t="s">
        <v>380</v>
      </c>
      <c r="K612" t="s">
        <v>457</v>
      </c>
      <c r="M612" t="s">
        <v>248</v>
      </c>
    </row>
    <row r="613" spans="1:13" x14ac:dyDescent="0.25">
      <c r="A613">
        <v>27</v>
      </c>
      <c r="B613" t="s">
        <v>202</v>
      </c>
      <c r="C613" s="15">
        <v>45304</v>
      </c>
      <c r="D613" s="16">
        <v>0.625</v>
      </c>
      <c r="E613" t="s">
        <v>385</v>
      </c>
      <c r="I613" t="s">
        <v>398</v>
      </c>
      <c r="K613" t="s">
        <v>456</v>
      </c>
      <c r="M613" t="s">
        <v>248</v>
      </c>
    </row>
    <row r="614" spans="1:13" x14ac:dyDescent="0.25">
      <c r="A614">
        <v>27</v>
      </c>
      <c r="B614" t="s">
        <v>202</v>
      </c>
      <c r="C614" s="15">
        <v>45304</v>
      </c>
      <c r="D614" s="16">
        <v>0.625</v>
      </c>
      <c r="E614" t="s">
        <v>393</v>
      </c>
      <c r="I614" t="s">
        <v>400</v>
      </c>
      <c r="K614" t="s">
        <v>465</v>
      </c>
      <c r="M614" t="s">
        <v>248</v>
      </c>
    </row>
    <row r="615" spans="1:13" x14ac:dyDescent="0.25">
      <c r="A615">
        <v>27</v>
      </c>
      <c r="B615" t="s">
        <v>202</v>
      </c>
      <c r="C615" s="15">
        <v>45304</v>
      </c>
      <c r="D615" s="16">
        <v>0.625</v>
      </c>
      <c r="E615" t="s">
        <v>396</v>
      </c>
      <c r="I615" t="s">
        <v>395</v>
      </c>
      <c r="K615" t="s">
        <v>461</v>
      </c>
      <c r="M615" t="s">
        <v>248</v>
      </c>
    </row>
    <row r="616" spans="1:13" x14ac:dyDescent="0.25">
      <c r="A616">
        <v>27</v>
      </c>
      <c r="B616" t="s">
        <v>202</v>
      </c>
      <c r="C616" s="15">
        <v>45304</v>
      </c>
      <c r="D616" s="16">
        <v>0.625</v>
      </c>
      <c r="E616" t="s">
        <v>384</v>
      </c>
      <c r="I616" t="s">
        <v>390</v>
      </c>
      <c r="K616" t="s">
        <v>460</v>
      </c>
      <c r="M616" t="s">
        <v>248</v>
      </c>
    </row>
    <row r="617" spans="1:13" x14ac:dyDescent="0.25">
      <c r="A617">
        <v>27</v>
      </c>
      <c r="B617" t="s">
        <v>202</v>
      </c>
      <c r="C617" s="15">
        <v>45304</v>
      </c>
      <c r="D617" s="16">
        <v>0.625</v>
      </c>
      <c r="E617" t="s">
        <v>383</v>
      </c>
      <c r="I617" t="s">
        <v>391</v>
      </c>
      <c r="K617" t="s">
        <v>451</v>
      </c>
      <c r="M617" t="s">
        <v>248</v>
      </c>
    </row>
    <row r="618" spans="1:13" x14ac:dyDescent="0.25">
      <c r="A618">
        <v>27</v>
      </c>
      <c r="B618" t="s">
        <v>202</v>
      </c>
      <c r="C618" s="15">
        <v>45304</v>
      </c>
      <c r="D618" s="16">
        <v>0.625</v>
      </c>
      <c r="E618" t="s">
        <v>381</v>
      </c>
      <c r="I618" t="s">
        <v>386</v>
      </c>
      <c r="K618" t="s">
        <v>453</v>
      </c>
      <c r="M618" t="s">
        <v>248</v>
      </c>
    </row>
    <row r="619" spans="1:13" x14ac:dyDescent="0.25">
      <c r="A619">
        <v>27</v>
      </c>
      <c r="B619" t="s">
        <v>202</v>
      </c>
      <c r="C619" s="15">
        <v>45304</v>
      </c>
      <c r="D619" s="16">
        <v>0.625</v>
      </c>
      <c r="E619" t="s">
        <v>401</v>
      </c>
      <c r="I619" t="s">
        <v>379</v>
      </c>
      <c r="K619" t="s">
        <v>452</v>
      </c>
      <c r="M619" t="s">
        <v>248</v>
      </c>
    </row>
    <row r="620" spans="1:13" x14ac:dyDescent="0.25">
      <c r="A620">
        <v>27</v>
      </c>
      <c r="B620" t="s">
        <v>202</v>
      </c>
      <c r="C620" s="15">
        <v>45304</v>
      </c>
      <c r="D620" s="16">
        <v>0.625</v>
      </c>
      <c r="E620" t="s">
        <v>378</v>
      </c>
      <c r="I620" t="s">
        <v>399</v>
      </c>
      <c r="K620" t="s">
        <v>463</v>
      </c>
      <c r="M620" t="s">
        <v>248</v>
      </c>
    </row>
    <row r="621" spans="1:13" x14ac:dyDescent="0.25">
      <c r="A621">
        <v>27</v>
      </c>
      <c r="B621" t="s">
        <v>202</v>
      </c>
      <c r="C621" s="15">
        <v>45304</v>
      </c>
      <c r="D621" s="16">
        <v>0.625</v>
      </c>
      <c r="E621" t="s">
        <v>389</v>
      </c>
      <c r="I621" t="s">
        <v>388</v>
      </c>
      <c r="K621" t="s">
        <v>462</v>
      </c>
      <c r="M621" t="s">
        <v>248</v>
      </c>
    </row>
    <row r="622" spans="1:13" x14ac:dyDescent="0.25">
      <c r="C622" s="15"/>
    </row>
    <row r="623" spans="1:13" x14ac:dyDescent="0.25">
      <c r="A623">
        <v>28</v>
      </c>
      <c r="B623" t="s">
        <v>202</v>
      </c>
      <c r="C623" s="15">
        <v>45311</v>
      </c>
      <c r="D623" s="16">
        <v>0.625</v>
      </c>
      <c r="E623" t="s">
        <v>386</v>
      </c>
      <c r="I623" t="s">
        <v>392</v>
      </c>
      <c r="K623" t="s">
        <v>448</v>
      </c>
      <c r="M623" t="s">
        <v>248</v>
      </c>
    </row>
    <row r="624" spans="1:13" x14ac:dyDescent="0.25">
      <c r="A624">
        <v>28</v>
      </c>
      <c r="B624" t="s">
        <v>202</v>
      </c>
      <c r="C624" s="15">
        <v>45311</v>
      </c>
      <c r="D624" s="16">
        <v>0.625</v>
      </c>
      <c r="E624" t="s">
        <v>390</v>
      </c>
      <c r="I624" t="s">
        <v>401</v>
      </c>
      <c r="K624" t="s">
        <v>443</v>
      </c>
      <c r="M624" t="s">
        <v>248</v>
      </c>
    </row>
    <row r="625" spans="1:13" x14ac:dyDescent="0.25">
      <c r="A625">
        <v>28</v>
      </c>
      <c r="B625" t="s">
        <v>202</v>
      </c>
      <c r="C625" s="15">
        <v>45311</v>
      </c>
      <c r="D625" s="16">
        <v>0.625</v>
      </c>
      <c r="E625" t="s">
        <v>388</v>
      </c>
      <c r="I625" t="s">
        <v>394</v>
      </c>
      <c r="K625" t="s">
        <v>438</v>
      </c>
      <c r="M625" t="s">
        <v>248</v>
      </c>
    </row>
    <row r="626" spans="1:13" x14ac:dyDescent="0.25">
      <c r="A626">
        <v>28</v>
      </c>
      <c r="B626" t="s">
        <v>202</v>
      </c>
      <c r="C626" s="15">
        <v>45311</v>
      </c>
      <c r="D626" s="16">
        <v>0.625</v>
      </c>
      <c r="E626" t="s">
        <v>393</v>
      </c>
      <c r="I626" t="s">
        <v>389</v>
      </c>
      <c r="K626" t="s">
        <v>465</v>
      </c>
      <c r="M626" t="s">
        <v>248</v>
      </c>
    </row>
    <row r="627" spans="1:13" x14ac:dyDescent="0.25">
      <c r="A627">
        <v>28</v>
      </c>
      <c r="B627" t="s">
        <v>202</v>
      </c>
      <c r="C627" s="15">
        <v>45311</v>
      </c>
      <c r="D627" s="16">
        <v>0.625</v>
      </c>
      <c r="E627" t="s">
        <v>379</v>
      </c>
      <c r="I627" t="s">
        <v>383</v>
      </c>
      <c r="K627" t="s">
        <v>441</v>
      </c>
      <c r="M627" t="s">
        <v>248</v>
      </c>
    </row>
    <row r="628" spans="1:13" x14ac:dyDescent="0.25">
      <c r="A628">
        <v>28</v>
      </c>
      <c r="B628" t="s">
        <v>202</v>
      </c>
      <c r="C628" s="15">
        <v>45311</v>
      </c>
      <c r="D628" s="16">
        <v>0.625</v>
      </c>
      <c r="E628" t="s">
        <v>397</v>
      </c>
      <c r="I628" t="s">
        <v>378</v>
      </c>
      <c r="K628" t="s">
        <v>436</v>
      </c>
      <c r="M628" t="s">
        <v>248</v>
      </c>
    </row>
    <row r="629" spans="1:13" x14ac:dyDescent="0.25">
      <c r="A629">
        <v>28</v>
      </c>
      <c r="B629" t="s">
        <v>202</v>
      </c>
      <c r="C629" s="15">
        <v>45311</v>
      </c>
      <c r="D629" s="16">
        <v>0.625</v>
      </c>
      <c r="E629" t="s">
        <v>398</v>
      </c>
      <c r="I629" t="s">
        <v>384</v>
      </c>
      <c r="K629" t="s">
        <v>449</v>
      </c>
      <c r="M629" t="s">
        <v>248</v>
      </c>
    </row>
    <row r="630" spans="1:13" x14ac:dyDescent="0.25">
      <c r="A630">
        <v>28</v>
      </c>
      <c r="B630" t="s">
        <v>202</v>
      </c>
      <c r="C630" s="15">
        <v>45311</v>
      </c>
      <c r="D630" s="16">
        <v>0.625</v>
      </c>
      <c r="E630" t="s">
        <v>380</v>
      </c>
      <c r="I630" t="s">
        <v>400</v>
      </c>
      <c r="K630" t="s">
        <v>432</v>
      </c>
      <c r="M630" t="s">
        <v>248</v>
      </c>
    </row>
    <row r="631" spans="1:13" x14ac:dyDescent="0.25">
      <c r="A631">
        <v>28</v>
      </c>
      <c r="B631" t="s">
        <v>202</v>
      </c>
      <c r="C631" s="15">
        <v>45311</v>
      </c>
      <c r="D631" s="16">
        <v>0.625</v>
      </c>
      <c r="E631" t="s">
        <v>387</v>
      </c>
      <c r="I631" t="s">
        <v>385</v>
      </c>
      <c r="K631" t="s">
        <v>447</v>
      </c>
      <c r="M631" t="s">
        <v>248</v>
      </c>
    </row>
    <row r="632" spans="1:13" x14ac:dyDescent="0.25">
      <c r="A632">
        <v>28</v>
      </c>
      <c r="B632" t="s">
        <v>202</v>
      </c>
      <c r="C632" s="15">
        <v>45311</v>
      </c>
      <c r="D632" s="16">
        <v>0.625</v>
      </c>
      <c r="E632" t="s">
        <v>399</v>
      </c>
      <c r="I632" t="s">
        <v>396</v>
      </c>
      <c r="K632" t="s">
        <v>445</v>
      </c>
      <c r="M632" t="s">
        <v>248</v>
      </c>
    </row>
    <row r="633" spans="1:13" x14ac:dyDescent="0.25">
      <c r="A633">
        <v>28</v>
      </c>
      <c r="B633" t="s">
        <v>202</v>
      </c>
      <c r="C633" s="15">
        <v>45311</v>
      </c>
      <c r="D633" s="16">
        <v>0.625</v>
      </c>
      <c r="E633" t="s">
        <v>391</v>
      </c>
      <c r="I633" t="s">
        <v>381</v>
      </c>
      <c r="K633" t="s">
        <v>434</v>
      </c>
      <c r="M633" t="s">
        <v>248</v>
      </c>
    </row>
    <row r="634" spans="1:13" x14ac:dyDescent="0.25">
      <c r="A634">
        <v>28</v>
      </c>
      <c r="B634" t="s">
        <v>202</v>
      </c>
      <c r="C634" s="15">
        <v>45311</v>
      </c>
      <c r="D634" s="16">
        <v>0.75</v>
      </c>
      <c r="E634" t="s">
        <v>395</v>
      </c>
      <c r="I634" t="s">
        <v>382</v>
      </c>
      <c r="K634" t="s">
        <v>431</v>
      </c>
      <c r="M634" t="s">
        <v>248</v>
      </c>
    </row>
    <row r="635" spans="1:13" x14ac:dyDescent="0.25">
      <c r="C635" s="15"/>
    </row>
    <row r="636" spans="1:13" x14ac:dyDescent="0.25">
      <c r="A636">
        <v>29</v>
      </c>
      <c r="B636" t="s">
        <v>202</v>
      </c>
      <c r="C636" s="15">
        <v>45318</v>
      </c>
      <c r="D636" s="16">
        <v>0.625</v>
      </c>
      <c r="E636" t="s">
        <v>386</v>
      </c>
      <c r="I636" t="s">
        <v>390</v>
      </c>
      <c r="K636" t="s">
        <v>448</v>
      </c>
      <c r="M636" t="s">
        <v>248</v>
      </c>
    </row>
    <row r="637" spans="1:13" x14ac:dyDescent="0.25">
      <c r="A637">
        <v>29</v>
      </c>
      <c r="B637" t="s">
        <v>202</v>
      </c>
      <c r="C637" s="15">
        <v>45318</v>
      </c>
      <c r="D637" s="16">
        <v>0.625</v>
      </c>
      <c r="E637" t="s">
        <v>378</v>
      </c>
      <c r="I637" t="s">
        <v>388</v>
      </c>
      <c r="K637" t="s">
        <v>463</v>
      </c>
      <c r="M637" t="s">
        <v>248</v>
      </c>
    </row>
    <row r="638" spans="1:13" x14ac:dyDescent="0.25">
      <c r="A638">
        <v>29</v>
      </c>
      <c r="B638" t="s">
        <v>202</v>
      </c>
      <c r="C638" s="15">
        <v>45318</v>
      </c>
      <c r="D638" s="16">
        <v>0.625</v>
      </c>
      <c r="E638" t="s">
        <v>381</v>
      </c>
      <c r="I638" t="s">
        <v>379</v>
      </c>
      <c r="K638" t="s">
        <v>453</v>
      </c>
      <c r="M638" t="s">
        <v>248</v>
      </c>
    </row>
    <row r="639" spans="1:13" x14ac:dyDescent="0.25">
      <c r="A639">
        <v>29</v>
      </c>
      <c r="B639" t="s">
        <v>202</v>
      </c>
      <c r="C639" s="15">
        <v>45318</v>
      </c>
      <c r="D639" s="16">
        <v>0.625</v>
      </c>
      <c r="E639" t="s">
        <v>391</v>
      </c>
      <c r="I639" t="s">
        <v>401</v>
      </c>
      <c r="K639" t="s">
        <v>434</v>
      </c>
      <c r="M639" t="s">
        <v>248</v>
      </c>
    </row>
    <row r="640" spans="1:13" x14ac:dyDescent="0.25">
      <c r="A640">
        <v>29</v>
      </c>
      <c r="B640" t="s">
        <v>202</v>
      </c>
      <c r="C640" s="15">
        <v>45318</v>
      </c>
      <c r="D640" s="16">
        <v>0.625</v>
      </c>
      <c r="E640" t="s">
        <v>382</v>
      </c>
      <c r="I640" t="s">
        <v>380</v>
      </c>
      <c r="K640" t="s">
        <v>450</v>
      </c>
      <c r="M640" t="s">
        <v>248</v>
      </c>
    </row>
    <row r="641" spans="1:13" x14ac:dyDescent="0.25">
      <c r="A641">
        <v>29</v>
      </c>
      <c r="B641" t="s">
        <v>202</v>
      </c>
      <c r="C641" s="15">
        <v>45318</v>
      </c>
      <c r="D641" s="16">
        <v>0.625</v>
      </c>
      <c r="E641" t="s">
        <v>395</v>
      </c>
      <c r="I641" t="s">
        <v>400</v>
      </c>
      <c r="K641" t="s">
        <v>431</v>
      </c>
      <c r="M641" t="s">
        <v>248</v>
      </c>
    </row>
    <row r="642" spans="1:13" x14ac:dyDescent="0.25">
      <c r="A642">
        <v>29</v>
      </c>
      <c r="B642" t="s">
        <v>202</v>
      </c>
      <c r="C642" s="15">
        <v>45318</v>
      </c>
      <c r="D642" s="16">
        <v>0.625</v>
      </c>
      <c r="E642" t="s">
        <v>385</v>
      </c>
      <c r="I642" t="s">
        <v>394</v>
      </c>
      <c r="K642" t="s">
        <v>456</v>
      </c>
      <c r="M642" t="s">
        <v>248</v>
      </c>
    </row>
    <row r="643" spans="1:13" x14ac:dyDescent="0.25">
      <c r="A643">
        <v>29</v>
      </c>
      <c r="B643" t="s">
        <v>202</v>
      </c>
      <c r="C643" s="15">
        <v>45318</v>
      </c>
      <c r="D643" s="16">
        <v>0.625</v>
      </c>
      <c r="E643" t="s">
        <v>396</v>
      </c>
      <c r="I643" t="s">
        <v>384</v>
      </c>
      <c r="K643" t="s">
        <v>461</v>
      </c>
      <c r="M643" t="s">
        <v>248</v>
      </c>
    </row>
    <row r="644" spans="1:13" x14ac:dyDescent="0.25">
      <c r="A644">
        <v>29</v>
      </c>
      <c r="B644" t="s">
        <v>202</v>
      </c>
      <c r="C644" s="15">
        <v>45318</v>
      </c>
      <c r="D644" s="16">
        <v>0.625</v>
      </c>
      <c r="E644" t="s">
        <v>389</v>
      </c>
      <c r="I644" t="s">
        <v>392</v>
      </c>
      <c r="K644" t="s">
        <v>462</v>
      </c>
      <c r="M644" t="s">
        <v>248</v>
      </c>
    </row>
    <row r="645" spans="1:13" x14ac:dyDescent="0.25">
      <c r="A645">
        <v>29</v>
      </c>
      <c r="B645" t="s">
        <v>202</v>
      </c>
      <c r="C645" s="15">
        <v>45318</v>
      </c>
      <c r="D645" s="16">
        <v>0.625</v>
      </c>
      <c r="E645" t="s">
        <v>387</v>
      </c>
      <c r="I645" t="s">
        <v>399</v>
      </c>
      <c r="K645" t="s">
        <v>447</v>
      </c>
      <c r="M645" t="s">
        <v>248</v>
      </c>
    </row>
    <row r="646" spans="1:13" x14ac:dyDescent="0.25">
      <c r="A646">
        <v>29</v>
      </c>
      <c r="B646" t="s">
        <v>202</v>
      </c>
      <c r="C646" s="15">
        <v>45318</v>
      </c>
      <c r="D646" s="16">
        <v>0.625</v>
      </c>
      <c r="E646" t="s">
        <v>398</v>
      </c>
      <c r="I646" t="s">
        <v>397</v>
      </c>
      <c r="K646" t="s">
        <v>449</v>
      </c>
      <c r="M646" t="s">
        <v>248</v>
      </c>
    </row>
    <row r="647" spans="1:13" x14ac:dyDescent="0.25">
      <c r="A647">
        <v>29</v>
      </c>
      <c r="B647" t="s">
        <v>202</v>
      </c>
      <c r="C647" s="15">
        <v>45318</v>
      </c>
      <c r="D647" s="16">
        <v>0.625</v>
      </c>
      <c r="E647" t="s">
        <v>393</v>
      </c>
      <c r="I647" t="s">
        <v>383</v>
      </c>
      <c r="K647" t="s">
        <v>465</v>
      </c>
      <c r="M647" t="s">
        <v>248</v>
      </c>
    </row>
    <row r="648" spans="1:13" x14ac:dyDescent="0.25">
      <c r="C648" s="15"/>
    </row>
    <row r="649" spans="1:13" x14ac:dyDescent="0.25">
      <c r="A649">
        <v>30</v>
      </c>
      <c r="B649" t="s">
        <v>202</v>
      </c>
      <c r="C649" s="15">
        <v>45325</v>
      </c>
      <c r="D649" s="16">
        <v>0.625</v>
      </c>
      <c r="E649" t="s">
        <v>380</v>
      </c>
      <c r="I649" t="s">
        <v>386</v>
      </c>
      <c r="K649" t="s">
        <v>432</v>
      </c>
      <c r="M649" t="s">
        <v>248</v>
      </c>
    </row>
    <row r="650" spans="1:13" x14ac:dyDescent="0.25">
      <c r="A650">
        <v>30</v>
      </c>
      <c r="B650" t="s">
        <v>202</v>
      </c>
      <c r="C650" s="15">
        <v>45325</v>
      </c>
      <c r="D650" s="16">
        <v>0.625</v>
      </c>
      <c r="E650" t="s">
        <v>394</v>
      </c>
      <c r="I650" t="s">
        <v>396</v>
      </c>
      <c r="K650" t="s">
        <v>458</v>
      </c>
      <c r="M650" t="s">
        <v>248</v>
      </c>
    </row>
    <row r="651" spans="1:13" x14ac:dyDescent="0.25">
      <c r="A651">
        <v>30</v>
      </c>
      <c r="B651" t="s">
        <v>202</v>
      </c>
      <c r="C651" s="15">
        <v>45325</v>
      </c>
      <c r="D651" s="16">
        <v>0.625</v>
      </c>
      <c r="E651" t="s">
        <v>379</v>
      </c>
      <c r="I651" t="s">
        <v>393</v>
      </c>
      <c r="K651" t="s">
        <v>441</v>
      </c>
      <c r="M651" t="s">
        <v>248</v>
      </c>
    </row>
    <row r="652" spans="1:13" x14ac:dyDescent="0.25">
      <c r="A652">
        <v>30</v>
      </c>
      <c r="B652" t="s">
        <v>202</v>
      </c>
      <c r="C652" s="15">
        <v>45325</v>
      </c>
      <c r="D652" s="16">
        <v>0.625</v>
      </c>
      <c r="E652" t="s">
        <v>392</v>
      </c>
      <c r="I652" t="s">
        <v>385</v>
      </c>
      <c r="K652" t="s">
        <v>457</v>
      </c>
      <c r="M652" t="s">
        <v>248</v>
      </c>
    </row>
    <row r="653" spans="1:13" x14ac:dyDescent="0.25">
      <c r="A653">
        <v>30</v>
      </c>
      <c r="B653" t="s">
        <v>202</v>
      </c>
      <c r="C653" s="15">
        <v>45325</v>
      </c>
      <c r="D653" s="16">
        <v>0.625</v>
      </c>
      <c r="E653" t="s">
        <v>384</v>
      </c>
      <c r="I653" t="s">
        <v>389</v>
      </c>
      <c r="K653" t="s">
        <v>460</v>
      </c>
      <c r="M653" t="s">
        <v>248</v>
      </c>
    </row>
    <row r="654" spans="1:13" x14ac:dyDescent="0.25">
      <c r="A654">
        <v>30</v>
      </c>
      <c r="B654" t="s">
        <v>202</v>
      </c>
      <c r="C654" s="15">
        <v>45325</v>
      </c>
      <c r="D654" s="16">
        <v>0.625</v>
      </c>
      <c r="E654" t="s">
        <v>401</v>
      </c>
      <c r="I654" t="s">
        <v>378</v>
      </c>
      <c r="K654" t="s">
        <v>452</v>
      </c>
      <c r="M654" t="s">
        <v>248</v>
      </c>
    </row>
    <row r="655" spans="1:13" x14ac:dyDescent="0.25">
      <c r="A655">
        <v>30</v>
      </c>
      <c r="B655" t="s">
        <v>202</v>
      </c>
      <c r="C655" s="15">
        <v>45325</v>
      </c>
      <c r="D655" s="16">
        <v>0.625</v>
      </c>
      <c r="E655" t="s">
        <v>400</v>
      </c>
      <c r="I655" t="s">
        <v>381</v>
      </c>
      <c r="K655" t="s">
        <v>440</v>
      </c>
      <c r="M655" t="s">
        <v>248</v>
      </c>
    </row>
    <row r="656" spans="1:13" x14ac:dyDescent="0.25">
      <c r="A656">
        <v>30</v>
      </c>
      <c r="B656" t="s">
        <v>202</v>
      </c>
      <c r="C656" s="15">
        <v>45325</v>
      </c>
      <c r="D656" s="16">
        <v>0.625</v>
      </c>
      <c r="E656" t="s">
        <v>388</v>
      </c>
      <c r="I656" t="s">
        <v>398</v>
      </c>
      <c r="K656" t="s">
        <v>438</v>
      </c>
      <c r="M656" t="s">
        <v>248</v>
      </c>
    </row>
    <row r="657" spans="1:13" x14ac:dyDescent="0.25">
      <c r="A657">
        <v>30</v>
      </c>
      <c r="B657" t="s">
        <v>202</v>
      </c>
      <c r="C657" s="15">
        <v>45325</v>
      </c>
      <c r="D657" s="16">
        <v>0.625</v>
      </c>
      <c r="E657" t="s">
        <v>399</v>
      </c>
      <c r="I657" t="s">
        <v>391</v>
      </c>
      <c r="K657" t="s">
        <v>445</v>
      </c>
      <c r="M657" t="s">
        <v>248</v>
      </c>
    </row>
    <row r="658" spans="1:13" x14ac:dyDescent="0.25">
      <c r="A658">
        <v>30</v>
      </c>
      <c r="B658" t="s">
        <v>202</v>
      </c>
      <c r="C658" s="15">
        <v>45325</v>
      </c>
      <c r="D658" s="16">
        <v>0.625</v>
      </c>
      <c r="E658" t="s">
        <v>383</v>
      </c>
      <c r="I658" t="s">
        <v>395</v>
      </c>
      <c r="K658" t="s">
        <v>451</v>
      </c>
      <c r="M658" t="s">
        <v>248</v>
      </c>
    </row>
    <row r="659" spans="1:13" x14ac:dyDescent="0.25">
      <c r="A659">
        <v>30</v>
      </c>
      <c r="B659" t="s">
        <v>202</v>
      </c>
      <c r="C659" s="15">
        <v>45325</v>
      </c>
      <c r="D659" s="16">
        <v>0.625</v>
      </c>
      <c r="E659" t="s">
        <v>397</v>
      </c>
      <c r="I659" t="s">
        <v>387</v>
      </c>
      <c r="K659" t="s">
        <v>436</v>
      </c>
      <c r="M659" t="s">
        <v>248</v>
      </c>
    </row>
    <row r="660" spans="1:13" x14ac:dyDescent="0.25">
      <c r="A660">
        <v>30</v>
      </c>
      <c r="B660" t="s">
        <v>202</v>
      </c>
      <c r="C660" s="15">
        <v>45325</v>
      </c>
      <c r="D660" s="16">
        <v>0.625</v>
      </c>
      <c r="E660" t="s">
        <v>390</v>
      </c>
      <c r="I660" t="s">
        <v>382</v>
      </c>
      <c r="K660" t="s">
        <v>443</v>
      </c>
      <c r="M660" t="s">
        <v>248</v>
      </c>
    </row>
    <row r="661" spans="1:13" x14ac:dyDescent="0.25">
      <c r="C661" s="15"/>
    </row>
    <row r="662" spans="1:13" x14ac:dyDescent="0.25">
      <c r="A662">
        <v>31</v>
      </c>
      <c r="B662" t="s">
        <v>202</v>
      </c>
      <c r="C662" s="15">
        <v>45332</v>
      </c>
      <c r="D662" s="16">
        <v>0.625</v>
      </c>
      <c r="E662" t="s">
        <v>393</v>
      </c>
      <c r="I662" t="s">
        <v>390</v>
      </c>
      <c r="K662" t="s">
        <v>465</v>
      </c>
      <c r="M662" t="s">
        <v>248</v>
      </c>
    </row>
    <row r="663" spans="1:13" x14ac:dyDescent="0.25">
      <c r="A663">
        <v>31</v>
      </c>
      <c r="B663" t="s">
        <v>202</v>
      </c>
      <c r="C663" s="15">
        <v>45332</v>
      </c>
      <c r="D663" s="16">
        <v>0.625</v>
      </c>
      <c r="E663" t="s">
        <v>381</v>
      </c>
      <c r="I663" t="s">
        <v>392</v>
      </c>
      <c r="K663" t="s">
        <v>453</v>
      </c>
      <c r="M663" t="s">
        <v>248</v>
      </c>
    </row>
    <row r="664" spans="1:13" x14ac:dyDescent="0.25">
      <c r="A664">
        <v>31</v>
      </c>
      <c r="B664" t="s">
        <v>202</v>
      </c>
      <c r="C664" s="15">
        <v>45332</v>
      </c>
      <c r="D664" s="16">
        <v>0.625</v>
      </c>
      <c r="E664" t="s">
        <v>384</v>
      </c>
      <c r="I664" t="s">
        <v>399</v>
      </c>
      <c r="K664" t="s">
        <v>460</v>
      </c>
      <c r="M664" t="s">
        <v>248</v>
      </c>
    </row>
    <row r="665" spans="1:13" x14ac:dyDescent="0.25">
      <c r="A665">
        <v>31</v>
      </c>
      <c r="B665" t="s">
        <v>202</v>
      </c>
      <c r="C665" s="15">
        <v>45332</v>
      </c>
      <c r="D665" s="16">
        <v>0.625</v>
      </c>
      <c r="E665" t="s">
        <v>398</v>
      </c>
      <c r="I665" t="s">
        <v>391</v>
      </c>
      <c r="K665" t="s">
        <v>449</v>
      </c>
      <c r="M665" t="s">
        <v>248</v>
      </c>
    </row>
    <row r="666" spans="1:13" x14ac:dyDescent="0.25">
      <c r="A666">
        <v>31</v>
      </c>
      <c r="B666" t="s">
        <v>202</v>
      </c>
      <c r="C666" s="15">
        <v>45332</v>
      </c>
      <c r="D666" s="16">
        <v>0.625</v>
      </c>
      <c r="E666" t="s">
        <v>379</v>
      </c>
      <c r="I666" t="s">
        <v>397</v>
      </c>
      <c r="K666" t="s">
        <v>441</v>
      </c>
      <c r="M666" t="s">
        <v>248</v>
      </c>
    </row>
    <row r="667" spans="1:13" x14ac:dyDescent="0.25">
      <c r="A667">
        <v>31</v>
      </c>
      <c r="B667" t="s">
        <v>202</v>
      </c>
      <c r="C667" s="15">
        <v>45332</v>
      </c>
      <c r="D667" s="16">
        <v>0.625</v>
      </c>
      <c r="E667" t="s">
        <v>382</v>
      </c>
      <c r="I667" t="s">
        <v>389</v>
      </c>
      <c r="K667" t="s">
        <v>450</v>
      </c>
      <c r="M667" t="s">
        <v>248</v>
      </c>
    </row>
    <row r="668" spans="1:13" x14ac:dyDescent="0.25">
      <c r="A668">
        <v>31</v>
      </c>
      <c r="B668" t="s">
        <v>202</v>
      </c>
      <c r="C668" s="15">
        <v>45332</v>
      </c>
      <c r="D668" s="16">
        <v>0.625</v>
      </c>
      <c r="E668" t="s">
        <v>400</v>
      </c>
      <c r="I668" t="s">
        <v>387</v>
      </c>
      <c r="K668" t="s">
        <v>440</v>
      </c>
      <c r="M668" t="s">
        <v>248</v>
      </c>
    </row>
    <row r="669" spans="1:13" x14ac:dyDescent="0.25">
      <c r="A669">
        <v>31</v>
      </c>
      <c r="B669" t="s">
        <v>202</v>
      </c>
      <c r="C669" s="15">
        <v>45332</v>
      </c>
      <c r="D669" s="16">
        <v>0.625</v>
      </c>
      <c r="E669" t="s">
        <v>385</v>
      </c>
      <c r="I669" t="s">
        <v>401</v>
      </c>
      <c r="K669" t="s">
        <v>456</v>
      </c>
      <c r="M669" t="s">
        <v>248</v>
      </c>
    </row>
    <row r="670" spans="1:13" x14ac:dyDescent="0.25">
      <c r="A670">
        <v>31</v>
      </c>
      <c r="B670" t="s">
        <v>202</v>
      </c>
      <c r="C670" s="15">
        <v>45332</v>
      </c>
      <c r="D670" s="16">
        <v>0.625</v>
      </c>
      <c r="E670" t="s">
        <v>396</v>
      </c>
      <c r="I670" t="s">
        <v>383</v>
      </c>
      <c r="K670" t="s">
        <v>461</v>
      </c>
      <c r="M670" t="s">
        <v>248</v>
      </c>
    </row>
    <row r="671" spans="1:13" x14ac:dyDescent="0.25">
      <c r="A671">
        <v>31</v>
      </c>
      <c r="B671" t="s">
        <v>202</v>
      </c>
      <c r="C671" s="15">
        <v>45332</v>
      </c>
      <c r="D671" s="16">
        <v>0.625</v>
      </c>
      <c r="E671" t="s">
        <v>386</v>
      </c>
      <c r="I671" t="s">
        <v>394</v>
      </c>
      <c r="K671" t="s">
        <v>448</v>
      </c>
      <c r="M671" t="s">
        <v>248</v>
      </c>
    </row>
    <row r="672" spans="1:13" x14ac:dyDescent="0.25">
      <c r="A672">
        <v>31</v>
      </c>
      <c r="B672" t="s">
        <v>202</v>
      </c>
      <c r="C672" s="15">
        <v>45332</v>
      </c>
      <c r="D672" s="16">
        <v>0.625</v>
      </c>
      <c r="E672" t="s">
        <v>395</v>
      </c>
      <c r="I672" t="s">
        <v>378</v>
      </c>
      <c r="K672" t="s">
        <v>431</v>
      </c>
      <c r="M672" t="s">
        <v>248</v>
      </c>
    </row>
    <row r="673" spans="1:13" x14ac:dyDescent="0.25">
      <c r="A673">
        <v>31</v>
      </c>
      <c r="B673" t="s">
        <v>202</v>
      </c>
      <c r="C673" s="15">
        <v>45332</v>
      </c>
      <c r="D673" s="16">
        <v>0.625</v>
      </c>
      <c r="E673" t="s">
        <v>388</v>
      </c>
      <c r="I673" t="s">
        <v>380</v>
      </c>
      <c r="K673" t="s">
        <v>438</v>
      </c>
      <c r="M673" t="s">
        <v>248</v>
      </c>
    </row>
    <row r="674" spans="1:13" x14ac:dyDescent="0.25">
      <c r="C674" s="15"/>
    </row>
    <row r="675" spans="1:13" x14ac:dyDescent="0.25">
      <c r="A675">
        <v>32</v>
      </c>
      <c r="B675" t="s">
        <v>239</v>
      </c>
      <c r="C675" s="15">
        <v>45335</v>
      </c>
      <c r="D675" s="16">
        <v>0.82291666666666663</v>
      </c>
      <c r="E675" t="s">
        <v>387</v>
      </c>
      <c r="I675" t="s">
        <v>395</v>
      </c>
      <c r="K675" t="s">
        <v>447</v>
      </c>
      <c r="M675" t="s">
        <v>248</v>
      </c>
    </row>
    <row r="676" spans="1:13" x14ac:dyDescent="0.25">
      <c r="A676">
        <v>32</v>
      </c>
      <c r="B676" t="s">
        <v>239</v>
      </c>
      <c r="C676" s="15">
        <v>45335</v>
      </c>
      <c r="D676" s="16">
        <v>0.82291666666666663</v>
      </c>
      <c r="E676" t="s">
        <v>399</v>
      </c>
      <c r="I676" t="s">
        <v>386</v>
      </c>
      <c r="K676" t="s">
        <v>445</v>
      </c>
      <c r="M676" t="s">
        <v>248</v>
      </c>
    </row>
    <row r="677" spans="1:13" x14ac:dyDescent="0.25">
      <c r="A677">
        <v>32</v>
      </c>
      <c r="B677" t="s">
        <v>239</v>
      </c>
      <c r="C677" s="15">
        <v>45335</v>
      </c>
      <c r="D677" s="16">
        <v>0.82291666666666663</v>
      </c>
      <c r="E677" t="s">
        <v>378</v>
      </c>
      <c r="I677" t="s">
        <v>379</v>
      </c>
      <c r="K677" t="s">
        <v>463</v>
      </c>
      <c r="M677" t="s">
        <v>248</v>
      </c>
    </row>
    <row r="678" spans="1:13" x14ac:dyDescent="0.25">
      <c r="A678">
        <v>32</v>
      </c>
      <c r="B678" t="s">
        <v>239</v>
      </c>
      <c r="C678" s="15">
        <v>45335</v>
      </c>
      <c r="D678" s="16">
        <v>0.82291666666666663</v>
      </c>
      <c r="E678" t="s">
        <v>390</v>
      </c>
      <c r="I678" t="s">
        <v>400</v>
      </c>
      <c r="K678" t="s">
        <v>443</v>
      </c>
      <c r="M678" t="s">
        <v>248</v>
      </c>
    </row>
    <row r="679" spans="1:13" x14ac:dyDescent="0.25">
      <c r="A679">
        <v>32</v>
      </c>
      <c r="B679" t="s">
        <v>239</v>
      </c>
      <c r="C679" s="15">
        <v>45335</v>
      </c>
      <c r="D679" s="16">
        <v>0.82291666666666663</v>
      </c>
      <c r="E679" t="s">
        <v>394</v>
      </c>
      <c r="I679" t="s">
        <v>384</v>
      </c>
      <c r="K679" t="s">
        <v>458</v>
      </c>
      <c r="M679" t="s">
        <v>248</v>
      </c>
    </row>
    <row r="680" spans="1:13" x14ac:dyDescent="0.25">
      <c r="A680">
        <v>32</v>
      </c>
      <c r="B680" t="s">
        <v>239</v>
      </c>
      <c r="C680" s="15">
        <v>45335</v>
      </c>
      <c r="D680" s="16">
        <v>0.82291666666666663</v>
      </c>
      <c r="E680" t="s">
        <v>380</v>
      </c>
      <c r="I680" t="s">
        <v>396</v>
      </c>
      <c r="K680" t="s">
        <v>432</v>
      </c>
      <c r="M680" t="s">
        <v>248</v>
      </c>
    </row>
    <row r="681" spans="1:13" x14ac:dyDescent="0.25">
      <c r="A681">
        <v>32</v>
      </c>
      <c r="B681" t="s">
        <v>247</v>
      </c>
      <c r="C681" s="15">
        <v>45336</v>
      </c>
      <c r="D681" s="16">
        <v>0.82291666666666663</v>
      </c>
      <c r="E681" t="s">
        <v>392</v>
      </c>
      <c r="I681" t="s">
        <v>388</v>
      </c>
      <c r="K681" t="s">
        <v>457</v>
      </c>
      <c r="M681" t="s">
        <v>248</v>
      </c>
    </row>
    <row r="682" spans="1:13" x14ac:dyDescent="0.25">
      <c r="A682">
        <v>32</v>
      </c>
      <c r="B682" t="s">
        <v>247</v>
      </c>
      <c r="C682" s="15">
        <v>45336</v>
      </c>
      <c r="D682" s="16">
        <v>0.82291666666666663</v>
      </c>
      <c r="E682" t="s">
        <v>389</v>
      </c>
      <c r="I682" t="s">
        <v>385</v>
      </c>
      <c r="K682" t="s">
        <v>462</v>
      </c>
      <c r="M682" t="s">
        <v>248</v>
      </c>
    </row>
    <row r="683" spans="1:13" x14ac:dyDescent="0.25">
      <c r="A683">
        <v>32</v>
      </c>
      <c r="B683" t="s">
        <v>247</v>
      </c>
      <c r="C683" s="15">
        <v>45336</v>
      </c>
      <c r="D683" s="16">
        <v>0.82291666666666663</v>
      </c>
      <c r="E683" t="s">
        <v>383</v>
      </c>
      <c r="I683" t="s">
        <v>398</v>
      </c>
      <c r="K683" t="s">
        <v>451</v>
      </c>
      <c r="M683" t="s">
        <v>248</v>
      </c>
    </row>
    <row r="684" spans="1:13" x14ac:dyDescent="0.25">
      <c r="A684">
        <v>32</v>
      </c>
      <c r="B684" t="s">
        <v>247</v>
      </c>
      <c r="C684" s="15">
        <v>45336</v>
      </c>
      <c r="D684" s="16">
        <v>0.82291666666666663</v>
      </c>
      <c r="E684" t="s">
        <v>391</v>
      </c>
      <c r="I684" t="s">
        <v>382</v>
      </c>
      <c r="K684" t="s">
        <v>434</v>
      </c>
      <c r="M684" t="s">
        <v>248</v>
      </c>
    </row>
    <row r="685" spans="1:13" x14ac:dyDescent="0.25">
      <c r="A685">
        <v>32</v>
      </c>
      <c r="B685" t="s">
        <v>247</v>
      </c>
      <c r="C685" s="15">
        <v>45336</v>
      </c>
      <c r="D685" s="16">
        <v>0.82291666666666663</v>
      </c>
      <c r="E685" t="s">
        <v>397</v>
      </c>
      <c r="I685" t="s">
        <v>393</v>
      </c>
      <c r="K685" t="s">
        <v>436</v>
      </c>
      <c r="M685" t="s">
        <v>248</v>
      </c>
    </row>
    <row r="686" spans="1:13" x14ac:dyDescent="0.25">
      <c r="A686">
        <v>32</v>
      </c>
      <c r="B686" t="s">
        <v>247</v>
      </c>
      <c r="C686" s="15">
        <v>45336</v>
      </c>
      <c r="D686" s="16">
        <v>0.83333333333333337</v>
      </c>
      <c r="E686" t="s">
        <v>401</v>
      </c>
      <c r="I686" t="s">
        <v>381</v>
      </c>
      <c r="K686" t="s">
        <v>452</v>
      </c>
      <c r="M686" t="s">
        <v>248</v>
      </c>
    </row>
    <row r="687" spans="1:13" x14ac:dyDescent="0.25">
      <c r="C687" s="15"/>
    </row>
    <row r="688" spans="1:13" x14ac:dyDescent="0.25">
      <c r="A688">
        <v>33</v>
      </c>
      <c r="B688" t="s">
        <v>202</v>
      </c>
      <c r="C688" s="15">
        <v>45339</v>
      </c>
      <c r="D688" s="16">
        <v>0.625</v>
      </c>
      <c r="E688" t="s">
        <v>378</v>
      </c>
      <c r="I688" t="s">
        <v>398</v>
      </c>
      <c r="K688" t="s">
        <v>463</v>
      </c>
      <c r="M688" t="s">
        <v>248</v>
      </c>
    </row>
    <row r="689" spans="1:13" x14ac:dyDescent="0.25">
      <c r="A689">
        <v>33</v>
      </c>
      <c r="B689" t="s">
        <v>202</v>
      </c>
      <c r="C689" s="15">
        <v>45339</v>
      </c>
      <c r="D689" s="16">
        <v>0.625</v>
      </c>
      <c r="E689" t="s">
        <v>401</v>
      </c>
      <c r="I689" t="s">
        <v>396</v>
      </c>
      <c r="J689" s="1"/>
      <c r="K689" t="s">
        <v>452</v>
      </c>
      <c r="M689" t="s">
        <v>248</v>
      </c>
    </row>
    <row r="690" spans="1:13" x14ac:dyDescent="0.25">
      <c r="A690">
        <v>33</v>
      </c>
      <c r="B690" t="s">
        <v>202</v>
      </c>
      <c r="C690" s="15">
        <v>45339</v>
      </c>
      <c r="D690" s="16">
        <v>0.625</v>
      </c>
      <c r="E690" t="s">
        <v>392</v>
      </c>
      <c r="I690" t="s">
        <v>379</v>
      </c>
      <c r="J690" s="1"/>
      <c r="K690" t="s">
        <v>457</v>
      </c>
      <c r="M690" t="s">
        <v>248</v>
      </c>
    </row>
    <row r="691" spans="1:13" x14ac:dyDescent="0.25">
      <c r="A691">
        <v>33</v>
      </c>
      <c r="B691" t="s">
        <v>202</v>
      </c>
      <c r="C691" s="15">
        <v>45339</v>
      </c>
      <c r="D691" s="16">
        <v>0.625</v>
      </c>
      <c r="E691" t="s">
        <v>390</v>
      </c>
      <c r="I691" t="s">
        <v>381</v>
      </c>
      <c r="J691" s="1"/>
      <c r="K691" t="s">
        <v>443</v>
      </c>
      <c r="M691" t="s">
        <v>248</v>
      </c>
    </row>
    <row r="692" spans="1:13" x14ac:dyDescent="0.25">
      <c r="A692">
        <v>33</v>
      </c>
      <c r="B692" t="s">
        <v>202</v>
      </c>
      <c r="C692" s="15">
        <v>45339</v>
      </c>
      <c r="D692" s="16">
        <v>0.625</v>
      </c>
      <c r="E692" t="s">
        <v>387</v>
      </c>
      <c r="I692" t="s">
        <v>388</v>
      </c>
      <c r="J692" s="1"/>
      <c r="K692" t="s">
        <v>447</v>
      </c>
      <c r="M692" t="s">
        <v>248</v>
      </c>
    </row>
    <row r="693" spans="1:13" x14ac:dyDescent="0.25">
      <c r="A693">
        <v>33</v>
      </c>
      <c r="B693" t="s">
        <v>202</v>
      </c>
      <c r="C693" s="15">
        <v>45339</v>
      </c>
      <c r="D693" s="16">
        <v>0.625</v>
      </c>
      <c r="E693" t="s">
        <v>397</v>
      </c>
      <c r="I693" t="s">
        <v>382</v>
      </c>
      <c r="J693" s="1"/>
      <c r="K693" t="s">
        <v>436</v>
      </c>
      <c r="M693" t="s">
        <v>248</v>
      </c>
    </row>
    <row r="694" spans="1:13" x14ac:dyDescent="0.25">
      <c r="A694">
        <v>33</v>
      </c>
      <c r="B694" t="s">
        <v>202</v>
      </c>
      <c r="C694" s="15">
        <v>45339</v>
      </c>
      <c r="D694" s="16">
        <v>0.625</v>
      </c>
      <c r="E694" t="s">
        <v>391</v>
      </c>
      <c r="I694" t="s">
        <v>386</v>
      </c>
      <c r="J694" s="1"/>
      <c r="K694" t="s">
        <v>434</v>
      </c>
      <c r="M694" t="s">
        <v>248</v>
      </c>
    </row>
    <row r="695" spans="1:13" x14ac:dyDescent="0.25">
      <c r="A695">
        <v>33</v>
      </c>
      <c r="B695" t="s">
        <v>202</v>
      </c>
      <c r="C695" s="15">
        <v>45339</v>
      </c>
      <c r="D695" s="16">
        <v>0.625</v>
      </c>
      <c r="E695" t="s">
        <v>380</v>
      </c>
      <c r="I695" t="s">
        <v>393</v>
      </c>
      <c r="J695" s="1"/>
      <c r="K695" t="s">
        <v>432</v>
      </c>
      <c r="M695" t="s">
        <v>248</v>
      </c>
    </row>
    <row r="696" spans="1:13" x14ac:dyDescent="0.25">
      <c r="A696">
        <v>33</v>
      </c>
      <c r="B696" t="s">
        <v>202</v>
      </c>
      <c r="C696" s="15">
        <v>45339</v>
      </c>
      <c r="D696" s="16">
        <v>0.625</v>
      </c>
      <c r="E696" t="s">
        <v>394</v>
      </c>
      <c r="I696" t="s">
        <v>400</v>
      </c>
      <c r="J696" s="1"/>
      <c r="K696" t="s">
        <v>458</v>
      </c>
      <c r="M696" t="s">
        <v>248</v>
      </c>
    </row>
    <row r="697" spans="1:13" x14ac:dyDescent="0.25">
      <c r="A697">
        <v>33</v>
      </c>
      <c r="B697" t="s">
        <v>202</v>
      </c>
      <c r="C697" s="15">
        <v>45339</v>
      </c>
      <c r="D697" s="16">
        <v>0.625</v>
      </c>
      <c r="E697" t="s">
        <v>389</v>
      </c>
      <c r="I697" t="s">
        <v>395</v>
      </c>
      <c r="J697" s="1"/>
      <c r="K697" t="s">
        <v>462</v>
      </c>
      <c r="M697" t="s">
        <v>248</v>
      </c>
    </row>
    <row r="698" spans="1:13" x14ac:dyDescent="0.25">
      <c r="A698">
        <v>33</v>
      </c>
      <c r="B698" t="s">
        <v>202</v>
      </c>
      <c r="C698" s="15">
        <v>45339</v>
      </c>
      <c r="D698" s="16">
        <v>0.625</v>
      </c>
      <c r="E698" t="s">
        <v>383</v>
      </c>
      <c r="I698" t="s">
        <v>384</v>
      </c>
      <c r="J698" s="1"/>
      <c r="K698" t="s">
        <v>451</v>
      </c>
      <c r="M698" t="s">
        <v>248</v>
      </c>
    </row>
    <row r="699" spans="1:13" x14ac:dyDescent="0.25">
      <c r="A699">
        <v>33</v>
      </c>
      <c r="B699" t="s">
        <v>202</v>
      </c>
      <c r="C699" s="15">
        <v>45339</v>
      </c>
      <c r="D699" s="16">
        <v>0.625</v>
      </c>
      <c r="E699" t="s">
        <v>399</v>
      </c>
      <c r="I699" t="s">
        <v>385</v>
      </c>
      <c r="J699" s="1"/>
      <c r="K699" t="s">
        <v>445</v>
      </c>
      <c r="M699" t="s">
        <v>248</v>
      </c>
    </row>
    <row r="700" spans="1:13" x14ac:dyDescent="0.25">
      <c r="C700" s="15"/>
      <c r="D700" s="16"/>
      <c r="J700" s="1"/>
    </row>
    <row r="701" spans="1:13" x14ac:dyDescent="0.25">
      <c r="A701">
        <v>34</v>
      </c>
      <c r="B701" t="s">
        <v>202</v>
      </c>
      <c r="C701" s="15">
        <v>45346</v>
      </c>
      <c r="D701" s="16">
        <v>0.625</v>
      </c>
      <c r="E701" t="s">
        <v>386</v>
      </c>
      <c r="I701" t="s">
        <v>387</v>
      </c>
      <c r="J701" s="1"/>
      <c r="K701" t="s">
        <v>448</v>
      </c>
      <c r="M701" t="s">
        <v>248</v>
      </c>
    </row>
    <row r="702" spans="1:13" x14ac:dyDescent="0.25">
      <c r="A702">
        <v>34</v>
      </c>
      <c r="B702" t="s">
        <v>202</v>
      </c>
      <c r="C702" s="15">
        <v>45346</v>
      </c>
      <c r="D702" s="16">
        <v>0.625</v>
      </c>
      <c r="E702" t="s">
        <v>395</v>
      </c>
      <c r="I702" t="s">
        <v>380</v>
      </c>
      <c r="J702" s="1"/>
      <c r="K702" t="s">
        <v>431</v>
      </c>
      <c r="M702" t="s">
        <v>248</v>
      </c>
    </row>
    <row r="703" spans="1:13" x14ac:dyDescent="0.25">
      <c r="A703">
        <v>34</v>
      </c>
      <c r="B703" t="s">
        <v>202</v>
      </c>
      <c r="C703" s="15">
        <v>45346</v>
      </c>
      <c r="D703" s="16">
        <v>0.625</v>
      </c>
      <c r="E703" t="s">
        <v>396</v>
      </c>
      <c r="I703" t="s">
        <v>389</v>
      </c>
      <c r="J703" s="1"/>
      <c r="K703" t="s">
        <v>461</v>
      </c>
      <c r="M703" t="s">
        <v>248</v>
      </c>
    </row>
    <row r="704" spans="1:13" x14ac:dyDescent="0.25">
      <c r="A704">
        <v>34</v>
      </c>
      <c r="B704" t="s">
        <v>202</v>
      </c>
      <c r="C704" s="15">
        <v>45346</v>
      </c>
      <c r="D704" s="16">
        <v>0.625</v>
      </c>
      <c r="E704" t="s">
        <v>379</v>
      </c>
      <c r="I704" t="s">
        <v>390</v>
      </c>
      <c r="J704" s="1"/>
      <c r="K704" t="s">
        <v>441</v>
      </c>
      <c r="M704" t="s">
        <v>248</v>
      </c>
    </row>
    <row r="705" spans="1:13" x14ac:dyDescent="0.25">
      <c r="A705">
        <v>34</v>
      </c>
      <c r="B705" t="s">
        <v>202</v>
      </c>
      <c r="C705" s="15">
        <v>45346</v>
      </c>
      <c r="D705" s="16">
        <v>0.625</v>
      </c>
      <c r="E705" t="s">
        <v>384</v>
      </c>
      <c r="I705" t="s">
        <v>401</v>
      </c>
      <c r="J705" s="1"/>
      <c r="K705" t="s">
        <v>460</v>
      </c>
      <c r="M705" t="s">
        <v>248</v>
      </c>
    </row>
    <row r="706" spans="1:13" x14ac:dyDescent="0.25">
      <c r="A706">
        <v>34</v>
      </c>
      <c r="B706" t="s">
        <v>202</v>
      </c>
      <c r="C706" s="15">
        <v>45346</v>
      </c>
      <c r="D706" s="16">
        <v>0.625</v>
      </c>
      <c r="E706" t="s">
        <v>382</v>
      </c>
      <c r="I706" t="s">
        <v>392</v>
      </c>
      <c r="J706" s="1"/>
      <c r="K706" t="s">
        <v>450</v>
      </c>
      <c r="M706" t="s">
        <v>248</v>
      </c>
    </row>
    <row r="707" spans="1:13" x14ac:dyDescent="0.25">
      <c r="A707">
        <v>34</v>
      </c>
      <c r="B707" t="s">
        <v>202</v>
      </c>
      <c r="C707" s="15">
        <v>45346</v>
      </c>
      <c r="D707" s="16">
        <v>0.625</v>
      </c>
      <c r="E707" t="s">
        <v>398</v>
      </c>
      <c r="I707" t="s">
        <v>399</v>
      </c>
      <c r="J707" s="1"/>
      <c r="K707" t="s">
        <v>449</v>
      </c>
      <c r="M707" t="s">
        <v>248</v>
      </c>
    </row>
    <row r="708" spans="1:13" x14ac:dyDescent="0.25">
      <c r="A708">
        <v>34</v>
      </c>
      <c r="B708" t="s">
        <v>202</v>
      </c>
      <c r="C708" s="15">
        <v>45346</v>
      </c>
      <c r="D708" s="16">
        <v>0.625</v>
      </c>
      <c r="E708" t="s">
        <v>388</v>
      </c>
      <c r="I708" t="s">
        <v>391</v>
      </c>
      <c r="J708" s="1"/>
      <c r="K708" t="s">
        <v>438</v>
      </c>
      <c r="M708" t="s">
        <v>248</v>
      </c>
    </row>
    <row r="709" spans="1:13" x14ac:dyDescent="0.25">
      <c r="A709">
        <v>34</v>
      </c>
      <c r="B709" t="s">
        <v>202</v>
      </c>
      <c r="C709" s="15">
        <v>45346</v>
      </c>
      <c r="D709" s="16">
        <v>0.625</v>
      </c>
      <c r="E709" t="s">
        <v>400</v>
      </c>
      <c r="I709" t="s">
        <v>383</v>
      </c>
      <c r="J709" s="1"/>
      <c r="K709" t="s">
        <v>440</v>
      </c>
      <c r="M709" t="s">
        <v>248</v>
      </c>
    </row>
    <row r="710" spans="1:13" x14ac:dyDescent="0.25">
      <c r="A710">
        <v>34</v>
      </c>
      <c r="B710" t="s">
        <v>202</v>
      </c>
      <c r="C710" s="15">
        <v>45346</v>
      </c>
      <c r="D710" s="16">
        <v>0.625</v>
      </c>
      <c r="E710" t="s">
        <v>393</v>
      </c>
      <c r="I710" t="s">
        <v>394</v>
      </c>
      <c r="J710" s="1"/>
      <c r="K710" t="s">
        <v>465</v>
      </c>
      <c r="M710" t="s">
        <v>248</v>
      </c>
    </row>
    <row r="711" spans="1:13" x14ac:dyDescent="0.25">
      <c r="A711">
        <v>34</v>
      </c>
      <c r="B711" t="s">
        <v>202</v>
      </c>
      <c r="C711" s="15">
        <v>45346</v>
      </c>
      <c r="D711" s="16">
        <v>0.625</v>
      </c>
      <c r="E711" t="s">
        <v>385</v>
      </c>
      <c r="I711" t="s">
        <v>378</v>
      </c>
      <c r="J711" s="1"/>
      <c r="K711" t="s">
        <v>456</v>
      </c>
      <c r="M711" t="s">
        <v>248</v>
      </c>
    </row>
    <row r="712" spans="1:13" x14ac:dyDescent="0.25">
      <c r="A712">
        <v>34</v>
      </c>
      <c r="B712" t="s">
        <v>202</v>
      </c>
      <c r="C712" s="15">
        <v>45346</v>
      </c>
      <c r="D712" s="16">
        <v>0.625</v>
      </c>
      <c r="E712" t="s">
        <v>381</v>
      </c>
      <c r="I712" t="s">
        <v>397</v>
      </c>
      <c r="J712" s="1"/>
      <c r="K712" t="s">
        <v>453</v>
      </c>
      <c r="M712" t="s">
        <v>248</v>
      </c>
    </row>
    <row r="713" spans="1:13" x14ac:dyDescent="0.25">
      <c r="C713" s="15"/>
      <c r="D713" s="16"/>
      <c r="J713" s="1"/>
    </row>
    <row r="714" spans="1:13" x14ac:dyDescent="0.25">
      <c r="A714">
        <v>35</v>
      </c>
      <c r="B714" t="s">
        <v>202</v>
      </c>
      <c r="C714" s="15">
        <v>45353</v>
      </c>
      <c r="D714" s="16">
        <v>0.52083333333333337</v>
      </c>
      <c r="E714" t="s">
        <v>383</v>
      </c>
      <c r="I714" t="s">
        <v>386</v>
      </c>
      <c r="J714" s="1"/>
      <c r="K714" t="s">
        <v>451</v>
      </c>
      <c r="M714" t="s">
        <v>248</v>
      </c>
    </row>
    <row r="715" spans="1:13" x14ac:dyDescent="0.25">
      <c r="A715">
        <v>35</v>
      </c>
      <c r="B715" t="s">
        <v>202</v>
      </c>
      <c r="C715" s="15">
        <v>45353</v>
      </c>
      <c r="D715" s="16">
        <v>0.625</v>
      </c>
      <c r="E715" t="s">
        <v>389</v>
      </c>
      <c r="I715" t="s">
        <v>400</v>
      </c>
      <c r="J715" s="1"/>
      <c r="K715" t="s">
        <v>462</v>
      </c>
      <c r="M715" t="s">
        <v>248</v>
      </c>
    </row>
    <row r="716" spans="1:13" x14ac:dyDescent="0.25">
      <c r="A716">
        <v>35</v>
      </c>
      <c r="B716" t="s">
        <v>202</v>
      </c>
      <c r="C716" s="15">
        <v>45353</v>
      </c>
      <c r="D716" s="16">
        <v>0.625</v>
      </c>
      <c r="E716" t="s">
        <v>397</v>
      </c>
      <c r="I716" t="s">
        <v>388</v>
      </c>
      <c r="J716" s="1"/>
      <c r="K716" t="s">
        <v>436</v>
      </c>
      <c r="M716" t="s">
        <v>248</v>
      </c>
    </row>
    <row r="717" spans="1:13" x14ac:dyDescent="0.25">
      <c r="A717">
        <v>35</v>
      </c>
      <c r="B717" t="s">
        <v>202</v>
      </c>
      <c r="C717" s="15">
        <v>45353</v>
      </c>
      <c r="D717" s="16">
        <v>0.625</v>
      </c>
      <c r="E717" t="s">
        <v>401</v>
      </c>
      <c r="I717" t="s">
        <v>382</v>
      </c>
      <c r="J717" s="1"/>
      <c r="K717" t="s">
        <v>452</v>
      </c>
      <c r="M717" t="s">
        <v>248</v>
      </c>
    </row>
    <row r="718" spans="1:13" x14ac:dyDescent="0.25">
      <c r="A718">
        <v>35</v>
      </c>
      <c r="B718" t="s">
        <v>202</v>
      </c>
      <c r="C718" s="15">
        <v>45353</v>
      </c>
      <c r="D718" s="16">
        <v>0.625</v>
      </c>
      <c r="E718" t="s">
        <v>399</v>
      </c>
      <c r="I718" t="s">
        <v>379</v>
      </c>
      <c r="J718" s="1"/>
      <c r="K718" t="s">
        <v>445</v>
      </c>
      <c r="M718" t="s">
        <v>248</v>
      </c>
    </row>
    <row r="719" spans="1:13" x14ac:dyDescent="0.25">
      <c r="A719">
        <v>35</v>
      </c>
      <c r="B719" t="s">
        <v>202</v>
      </c>
      <c r="C719" s="15">
        <v>45353</v>
      </c>
      <c r="D719" s="16">
        <v>0.625</v>
      </c>
      <c r="E719" t="s">
        <v>380</v>
      </c>
      <c r="I719" t="s">
        <v>381</v>
      </c>
      <c r="J719" s="1"/>
      <c r="K719" t="s">
        <v>432</v>
      </c>
      <c r="M719" t="s">
        <v>248</v>
      </c>
    </row>
    <row r="720" spans="1:13" x14ac:dyDescent="0.25">
      <c r="A720">
        <v>35</v>
      </c>
      <c r="B720" t="s">
        <v>202</v>
      </c>
      <c r="C720" s="15">
        <v>45353</v>
      </c>
      <c r="D720" s="16">
        <v>0.625</v>
      </c>
      <c r="E720" t="s">
        <v>378</v>
      </c>
      <c r="I720" t="s">
        <v>396</v>
      </c>
      <c r="J720" s="1"/>
      <c r="K720" t="s">
        <v>463</v>
      </c>
      <c r="M720" t="s">
        <v>248</v>
      </c>
    </row>
    <row r="721" spans="1:13" x14ac:dyDescent="0.25">
      <c r="A721">
        <v>35</v>
      </c>
      <c r="B721" t="s">
        <v>202</v>
      </c>
      <c r="C721" s="15">
        <v>45353</v>
      </c>
      <c r="D721" s="16">
        <v>0.625</v>
      </c>
      <c r="E721" t="s">
        <v>390</v>
      </c>
      <c r="I721" t="s">
        <v>398</v>
      </c>
      <c r="J721" s="1"/>
      <c r="K721" t="s">
        <v>443</v>
      </c>
      <c r="M721" t="s">
        <v>248</v>
      </c>
    </row>
    <row r="722" spans="1:13" x14ac:dyDescent="0.25">
      <c r="A722">
        <v>35</v>
      </c>
      <c r="B722" t="s">
        <v>202</v>
      </c>
      <c r="C722" s="15">
        <v>45353</v>
      </c>
      <c r="D722" s="16">
        <v>0.625</v>
      </c>
      <c r="E722" t="s">
        <v>391</v>
      </c>
      <c r="I722" t="s">
        <v>385</v>
      </c>
      <c r="J722" s="1"/>
      <c r="K722" t="s">
        <v>434</v>
      </c>
      <c r="M722" t="s">
        <v>248</v>
      </c>
    </row>
    <row r="723" spans="1:13" x14ac:dyDescent="0.25">
      <c r="A723">
        <v>35</v>
      </c>
      <c r="B723" t="s">
        <v>202</v>
      </c>
      <c r="C723" s="15">
        <v>45353</v>
      </c>
      <c r="D723" s="16">
        <v>0.625</v>
      </c>
      <c r="E723" t="s">
        <v>387</v>
      </c>
      <c r="I723" t="s">
        <v>393</v>
      </c>
      <c r="J723" s="1"/>
      <c r="K723" t="s">
        <v>447</v>
      </c>
      <c r="M723" t="s">
        <v>248</v>
      </c>
    </row>
    <row r="724" spans="1:13" x14ac:dyDescent="0.25">
      <c r="A724">
        <v>35</v>
      </c>
      <c r="B724" t="s">
        <v>202</v>
      </c>
      <c r="C724" s="15">
        <v>45353</v>
      </c>
      <c r="D724" s="16">
        <v>0.625</v>
      </c>
      <c r="E724" t="s">
        <v>394</v>
      </c>
      <c r="I724" t="s">
        <v>395</v>
      </c>
      <c r="J724" s="1"/>
      <c r="K724" t="s">
        <v>458</v>
      </c>
      <c r="M724" t="s">
        <v>248</v>
      </c>
    </row>
    <row r="725" spans="1:13" x14ac:dyDescent="0.25">
      <c r="A725">
        <v>35</v>
      </c>
      <c r="B725" t="s">
        <v>202</v>
      </c>
      <c r="C725" s="15">
        <v>45353</v>
      </c>
      <c r="D725" s="16">
        <v>0.625</v>
      </c>
      <c r="E725" t="s">
        <v>392</v>
      </c>
      <c r="I725" t="s">
        <v>384</v>
      </c>
      <c r="J725" s="1"/>
      <c r="K725" t="s">
        <v>457</v>
      </c>
      <c r="M725" t="s">
        <v>248</v>
      </c>
    </row>
    <row r="726" spans="1:13" x14ac:dyDescent="0.25">
      <c r="C726" s="15"/>
      <c r="D726" s="16"/>
      <c r="J726" s="1"/>
    </row>
    <row r="727" spans="1:13" x14ac:dyDescent="0.25">
      <c r="A727">
        <v>36</v>
      </c>
      <c r="B727" t="s">
        <v>239</v>
      </c>
      <c r="C727" s="15">
        <v>45356</v>
      </c>
      <c r="D727" s="16">
        <v>0.82291666666666663</v>
      </c>
      <c r="E727" t="s">
        <v>382</v>
      </c>
      <c r="I727" t="s">
        <v>394</v>
      </c>
      <c r="J727" s="1"/>
      <c r="K727" t="s">
        <v>450</v>
      </c>
      <c r="M727" t="s">
        <v>248</v>
      </c>
    </row>
    <row r="728" spans="1:13" x14ac:dyDescent="0.25">
      <c r="A728">
        <v>36</v>
      </c>
      <c r="B728" t="s">
        <v>239</v>
      </c>
      <c r="C728" s="15">
        <v>45356</v>
      </c>
      <c r="D728" s="16">
        <v>0.82291666666666663</v>
      </c>
      <c r="E728" t="s">
        <v>384</v>
      </c>
      <c r="I728" t="s">
        <v>378</v>
      </c>
      <c r="J728" s="1"/>
      <c r="K728" t="s">
        <v>460</v>
      </c>
      <c r="M728" t="s">
        <v>248</v>
      </c>
    </row>
    <row r="729" spans="1:13" x14ac:dyDescent="0.25">
      <c r="A729">
        <v>36</v>
      </c>
      <c r="B729" t="s">
        <v>239</v>
      </c>
      <c r="C729" s="15">
        <v>45356</v>
      </c>
      <c r="D729" s="16">
        <v>0.82291666666666663</v>
      </c>
      <c r="E729" t="s">
        <v>385</v>
      </c>
      <c r="I729" t="s">
        <v>380</v>
      </c>
      <c r="J729" s="1"/>
      <c r="K729" t="s">
        <v>456</v>
      </c>
      <c r="M729" t="s">
        <v>248</v>
      </c>
    </row>
    <row r="730" spans="1:13" x14ac:dyDescent="0.25">
      <c r="A730">
        <v>36</v>
      </c>
      <c r="B730" t="s">
        <v>239</v>
      </c>
      <c r="C730" s="15">
        <v>45356</v>
      </c>
      <c r="D730" s="16">
        <v>0.82291666666666663</v>
      </c>
      <c r="E730" t="s">
        <v>386</v>
      </c>
      <c r="I730" t="s">
        <v>397</v>
      </c>
      <c r="J730" s="1"/>
      <c r="K730" t="s">
        <v>448</v>
      </c>
      <c r="M730" t="s">
        <v>248</v>
      </c>
    </row>
    <row r="731" spans="1:13" x14ac:dyDescent="0.25">
      <c r="A731">
        <v>36</v>
      </c>
      <c r="B731" t="s">
        <v>239</v>
      </c>
      <c r="C731" s="15">
        <v>45356</v>
      </c>
      <c r="D731" s="16">
        <v>0.82291666666666663</v>
      </c>
      <c r="E731" t="s">
        <v>398</v>
      </c>
      <c r="I731" t="s">
        <v>387</v>
      </c>
      <c r="J731" s="1"/>
      <c r="K731" t="s">
        <v>449</v>
      </c>
      <c r="M731" t="s">
        <v>248</v>
      </c>
    </row>
    <row r="732" spans="1:13" x14ac:dyDescent="0.25">
      <c r="A732">
        <v>36</v>
      </c>
      <c r="B732" t="s">
        <v>239</v>
      </c>
      <c r="C732" s="15">
        <v>45356</v>
      </c>
      <c r="D732" s="16">
        <v>0.82291666666666663</v>
      </c>
      <c r="E732" t="s">
        <v>379</v>
      </c>
      <c r="I732" t="s">
        <v>389</v>
      </c>
      <c r="J732" s="1"/>
      <c r="K732" t="s">
        <v>441</v>
      </c>
      <c r="M732" t="s">
        <v>248</v>
      </c>
    </row>
    <row r="733" spans="1:13" x14ac:dyDescent="0.25">
      <c r="A733">
        <v>36</v>
      </c>
      <c r="B733" t="s">
        <v>247</v>
      </c>
      <c r="C733" s="15">
        <v>45357</v>
      </c>
      <c r="D733" s="16">
        <v>0.82291666666666663</v>
      </c>
      <c r="E733" t="s">
        <v>400</v>
      </c>
      <c r="I733" t="s">
        <v>399</v>
      </c>
      <c r="J733" s="1"/>
      <c r="K733" t="s">
        <v>440</v>
      </c>
      <c r="M733" t="s">
        <v>248</v>
      </c>
    </row>
    <row r="734" spans="1:13" x14ac:dyDescent="0.25">
      <c r="A734">
        <v>36</v>
      </c>
      <c r="B734" t="s">
        <v>247</v>
      </c>
      <c r="C734" s="15">
        <v>45357</v>
      </c>
      <c r="D734" s="16">
        <v>0.82291666666666663</v>
      </c>
      <c r="E734" t="s">
        <v>393</v>
      </c>
      <c r="I734" t="s">
        <v>401</v>
      </c>
      <c r="J734" s="1"/>
      <c r="K734" t="s">
        <v>465</v>
      </c>
      <c r="M734" t="s">
        <v>248</v>
      </c>
    </row>
    <row r="735" spans="1:13" x14ac:dyDescent="0.25">
      <c r="A735">
        <v>36</v>
      </c>
      <c r="B735" t="s">
        <v>247</v>
      </c>
      <c r="C735" s="15">
        <v>45357</v>
      </c>
      <c r="D735" s="16">
        <v>0.82291666666666663</v>
      </c>
      <c r="E735" t="s">
        <v>381</v>
      </c>
      <c r="I735" t="s">
        <v>383</v>
      </c>
      <c r="J735" s="1"/>
      <c r="K735" t="s">
        <v>453</v>
      </c>
      <c r="M735" t="s">
        <v>248</v>
      </c>
    </row>
    <row r="736" spans="1:13" x14ac:dyDescent="0.25">
      <c r="A736">
        <v>36</v>
      </c>
      <c r="B736" t="s">
        <v>247</v>
      </c>
      <c r="C736" s="15">
        <v>45357</v>
      </c>
      <c r="D736" s="16">
        <v>0.82291666666666663</v>
      </c>
      <c r="E736" t="s">
        <v>388</v>
      </c>
      <c r="I736" t="s">
        <v>390</v>
      </c>
      <c r="J736" s="1"/>
      <c r="K736" t="s">
        <v>438</v>
      </c>
      <c r="M736" t="s">
        <v>248</v>
      </c>
    </row>
    <row r="737" spans="1:13" x14ac:dyDescent="0.25">
      <c r="A737">
        <v>36</v>
      </c>
      <c r="B737" t="s">
        <v>247</v>
      </c>
      <c r="C737" s="15">
        <v>45357</v>
      </c>
      <c r="D737" s="16">
        <v>0.82291666666666663</v>
      </c>
      <c r="E737" t="s">
        <v>396</v>
      </c>
      <c r="I737" t="s">
        <v>392</v>
      </c>
      <c r="J737" s="1"/>
      <c r="K737" t="s">
        <v>461</v>
      </c>
      <c r="M737" t="s">
        <v>248</v>
      </c>
    </row>
    <row r="738" spans="1:13" x14ac:dyDescent="0.25">
      <c r="A738">
        <v>36</v>
      </c>
      <c r="B738" t="s">
        <v>247</v>
      </c>
      <c r="C738" s="15">
        <v>45357</v>
      </c>
      <c r="D738" s="16">
        <v>0.82291666666666663</v>
      </c>
      <c r="E738" t="s">
        <v>395</v>
      </c>
      <c r="I738" t="s">
        <v>391</v>
      </c>
      <c r="J738" s="1"/>
      <c r="K738" t="s">
        <v>431</v>
      </c>
      <c r="M738" t="s">
        <v>248</v>
      </c>
    </row>
    <row r="739" spans="1:13" x14ac:dyDescent="0.25">
      <c r="C739" s="15"/>
      <c r="D739" s="16"/>
      <c r="J739" s="1"/>
    </row>
    <row r="740" spans="1:13" x14ac:dyDescent="0.25">
      <c r="A740">
        <v>37</v>
      </c>
      <c r="B740" t="s">
        <v>202</v>
      </c>
      <c r="C740" s="15">
        <v>45360</v>
      </c>
      <c r="D740" s="16">
        <v>0.5</v>
      </c>
      <c r="E740" t="s">
        <v>380</v>
      </c>
      <c r="I740" t="s">
        <v>399</v>
      </c>
      <c r="J740" s="1"/>
      <c r="K740" t="s">
        <v>432</v>
      </c>
      <c r="M740" t="s">
        <v>248</v>
      </c>
    </row>
    <row r="741" spans="1:13" x14ac:dyDescent="0.25">
      <c r="A741">
        <v>37</v>
      </c>
      <c r="B741" t="s">
        <v>202</v>
      </c>
      <c r="C741" s="15">
        <v>45360</v>
      </c>
      <c r="D741" s="16">
        <v>0.625</v>
      </c>
      <c r="E741" t="s">
        <v>395</v>
      </c>
      <c r="I741" t="s">
        <v>386</v>
      </c>
      <c r="J741" s="1"/>
      <c r="K741" t="s">
        <v>431</v>
      </c>
      <c r="M741" t="s">
        <v>248</v>
      </c>
    </row>
    <row r="742" spans="1:13" x14ac:dyDescent="0.25">
      <c r="A742">
        <v>37</v>
      </c>
      <c r="B742" t="s">
        <v>202</v>
      </c>
      <c r="C742" s="15">
        <v>45360</v>
      </c>
      <c r="D742" s="16">
        <v>0.625</v>
      </c>
      <c r="E742" t="s">
        <v>390</v>
      </c>
      <c r="I742" t="s">
        <v>394</v>
      </c>
      <c r="J742" s="1"/>
      <c r="K742" t="s">
        <v>443</v>
      </c>
      <c r="M742" t="s">
        <v>248</v>
      </c>
    </row>
    <row r="743" spans="1:13" x14ac:dyDescent="0.25">
      <c r="A743">
        <v>37</v>
      </c>
      <c r="B743" t="s">
        <v>202</v>
      </c>
      <c r="C743" s="15">
        <v>45360</v>
      </c>
      <c r="D743" s="16">
        <v>0.625</v>
      </c>
      <c r="E743" t="s">
        <v>383</v>
      </c>
      <c r="I743" t="s">
        <v>401</v>
      </c>
      <c r="J743" s="1"/>
      <c r="K743" t="s">
        <v>451</v>
      </c>
      <c r="M743" t="s">
        <v>248</v>
      </c>
    </row>
    <row r="744" spans="1:13" x14ac:dyDescent="0.25">
      <c r="A744">
        <v>37</v>
      </c>
      <c r="B744" t="s">
        <v>202</v>
      </c>
      <c r="C744" s="15">
        <v>45360</v>
      </c>
      <c r="D744" s="16">
        <v>0.625</v>
      </c>
      <c r="E744" t="s">
        <v>392</v>
      </c>
      <c r="I744" t="s">
        <v>397</v>
      </c>
      <c r="J744" s="1"/>
      <c r="K744" t="s">
        <v>457</v>
      </c>
      <c r="M744" t="s">
        <v>248</v>
      </c>
    </row>
    <row r="745" spans="1:13" x14ac:dyDescent="0.25">
      <c r="A745">
        <v>37</v>
      </c>
      <c r="B745" t="s">
        <v>202</v>
      </c>
      <c r="C745" s="15">
        <v>45360</v>
      </c>
      <c r="D745" s="16">
        <v>0.625</v>
      </c>
      <c r="E745" t="s">
        <v>396</v>
      </c>
      <c r="I745" t="s">
        <v>398</v>
      </c>
      <c r="J745" s="1"/>
      <c r="K745" t="s">
        <v>461</v>
      </c>
      <c r="M745" t="s">
        <v>248</v>
      </c>
    </row>
    <row r="746" spans="1:13" x14ac:dyDescent="0.25">
      <c r="A746">
        <v>37</v>
      </c>
      <c r="B746" t="s">
        <v>202</v>
      </c>
      <c r="C746" s="15">
        <v>45360</v>
      </c>
      <c r="D746" s="16">
        <v>0.625</v>
      </c>
      <c r="E746" t="s">
        <v>400</v>
      </c>
      <c r="I746" t="s">
        <v>382</v>
      </c>
      <c r="J746" s="1"/>
      <c r="K746" t="s">
        <v>440</v>
      </c>
      <c r="M746" t="s">
        <v>248</v>
      </c>
    </row>
    <row r="747" spans="1:13" x14ac:dyDescent="0.25">
      <c r="A747">
        <v>37</v>
      </c>
      <c r="B747" t="s">
        <v>202</v>
      </c>
      <c r="C747" s="15">
        <v>45360</v>
      </c>
      <c r="D747" s="16">
        <v>0.625</v>
      </c>
      <c r="E747" t="s">
        <v>381</v>
      </c>
      <c r="I747" t="s">
        <v>385</v>
      </c>
      <c r="J747" s="1"/>
      <c r="K747" t="s">
        <v>453</v>
      </c>
      <c r="M747" t="s">
        <v>248</v>
      </c>
    </row>
    <row r="748" spans="1:13" x14ac:dyDescent="0.25">
      <c r="A748">
        <v>37</v>
      </c>
      <c r="B748" t="s">
        <v>202</v>
      </c>
      <c r="C748" s="15">
        <v>45360</v>
      </c>
      <c r="D748" s="16">
        <v>0.625</v>
      </c>
      <c r="E748" t="s">
        <v>393</v>
      </c>
      <c r="I748" t="s">
        <v>388</v>
      </c>
      <c r="J748" s="1"/>
      <c r="K748" t="s">
        <v>465</v>
      </c>
      <c r="M748" t="s">
        <v>248</v>
      </c>
    </row>
    <row r="749" spans="1:13" x14ac:dyDescent="0.25">
      <c r="A749">
        <v>37</v>
      </c>
      <c r="B749" t="s">
        <v>202</v>
      </c>
      <c r="C749" s="15">
        <v>45360</v>
      </c>
      <c r="D749" s="16">
        <v>0.625</v>
      </c>
      <c r="E749" t="s">
        <v>389</v>
      </c>
      <c r="I749" t="s">
        <v>378</v>
      </c>
      <c r="J749" s="1"/>
      <c r="K749" t="s">
        <v>462</v>
      </c>
      <c r="M749" t="s">
        <v>248</v>
      </c>
    </row>
    <row r="750" spans="1:13" x14ac:dyDescent="0.25">
      <c r="A750">
        <v>37</v>
      </c>
      <c r="B750" t="s">
        <v>202</v>
      </c>
      <c r="C750" s="15">
        <v>45360</v>
      </c>
      <c r="D750" s="16">
        <v>0.625</v>
      </c>
      <c r="E750" t="s">
        <v>384</v>
      </c>
      <c r="I750" t="s">
        <v>387</v>
      </c>
      <c r="J750" s="1"/>
      <c r="K750" t="s">
        <v>460</v>
      </c>
      <c r="M750" t="s">
        <v>248</v>
      </c>
    </row>
    <row r="751" spans="1:13" x14ac:dyDescent="0.25">
      <c r="A751">
        <v>37</v>
      </c>
      <c r="B751" t="s">
        <v>211</v>
      </c>
      <c r="C751" s="15">
        <v>45361</v>
      </c>
      <c r="D751" s="16">
        <v>0.625</v>
      </c>
      <c r="E751" t="s">
        <v>379</v>
      </c>
      <c r="I751" t="s">
        <v>391</v>
      </c>
      <c r="J751" s="1"/>
      <c r="K751" t="s">
        <v>441</v>
      </c>
      <c r="M751" t="s">
        <v>248</v>
      </c>
    </row>
    <row r="752" spans="1:13" x14ac:dyDescent="0.25">
      <c r="C752" s="15"/>
      <c r="D752" s="16"/>
      <c r="J752" s="1"/>
    </row>
    <row r="753" spans="1:13" x14ac:dyDescent="0.25">
      <c r="A753">
        <v>38</v>
      </c>
      <c r="B753" t="s">
        <v>202</v>
      </c>
      <c r="C753" s="15">
        <v>45367</v>
      </c>
      <c r="D753" s="16">
        <v>0.625</v>
      </c>
      <c r="E753" t="s">
        <v>388</v>
      </c>
      <c r="I753" t="s">
        <v>379</v>
      </c>
      <c r="J753" s="1"/>
      <c r="K753" t="s">
        <v>438</v>
      </c>
      <c r="M753" t="s">
        <v>248</v>
      </c>
    </row>
    <row r="754" spans="1:13" x14ac:dyDescent="0.25">
      <c r="A754">
        <v>38</v>
      </c>
      <c r="B754" t="s">
        <v>202</v>
      </c>
      <c r="C754" s="15">
        <v>45367</v>
      </c>
      <c r="D754" s="16">
        <v>0.625</v>
      </c>
      <c r="E754" t="s">
        <v>394</v>
      </c>
      <c r="I754" t="s">
        <v>383</v>
      </c>
      <c r="J754" s="1"/>
      <c r="K754" t="s">
        <v>458</v>
      </c>
      <c r="M754" t="s">
        <v>248</v>
      </c>
    </row>
    <row r="755" spans="1:13" x14ac:dyDescent="0.25">
      <c r="A755">
        <v>38</v>
      </c>
      <c r="B755" t="s">
        <v>202</v>
      </c>
      <c r="C755" s="15">
        <v>45367</v>
      </c>
      <c r="D755" s="16">
        <v>0.625</v>
      </c>
      <c r="E755" t="s">
        <v>385</v>
      </c>
      <c r="I755" t="s">
        <v>395</v>
      </c>
      <c r="J755" s="1"/>
      <c r="K755" t="s">
        <v>456</v>
      </c>
      <c r="M755" t="s">
        <v>248</v>
      </c>
    </row>
    <row r="756" spans="1:13" x14ac:dyDescent="0.25">
      <c r="A756">
        <v>38</v>
      </c>
      <c r="B756" t="s">
        <v>202</v>
      </c>
      <c r="C756" s="15">
        <v>45367</v>
      </c>
      <c r="D756" s="16">
        <v>0.625</v>
      </c>
      <c r="E756" t="s">
        <v>399</v>
      </c>
      <c r="I756" t="s">
        <v>381</v>
      </c>
      <c r="J756" s="1"/>
      <c r="K756" t="s">
        <v>445</v>
      </c>
      <c r="M756" t="s">
        <v>248</v>
      </c>
    </row>
    <row r="757" spans="1:13" x14ac:dyDescent="0.25">
      <c r="A757">
        <v>38</v>
      </c>
      <c r="B757" t="s">
        <v>202</v>
      </c>
      <c r="C757" s="15">
        <v>45367</v>
      </c>
      <c r="D757" s="16">
        <v>0.625</v>
      </c>
      <c r="E757" t="s">
        <v>397</v>
      </c>
      <c r="I757" t="s">
        <v>390</v>
      </c>
      <c r="J757" s="1"/>
      <c r="K757" t="s">
        <v>436</v>
      </c>
      <c r="M757" t="s">
        <v>248</v>
      </c>
    </row>
    <row r="758" spans="1:13" x14ac:dyDescent="0.25">
      <c r="A758">
        <v>38</v>
      </c>
      <c r="B758" t="s">
        <v>202</v>
      </c>
      <c r="C758" s="15">
        <v>45367</v>
      </c>
      <c r="D758" s="16">
        <v>0.625</v>
      </c>
      <c r="E758" t="s">
        <v>391</v>
      </c>
      <c r="I758" t="s">
        <v>392</v>
      </c>
      <c r="J758" s="1"/>
      <c r="K758" t="s">
        <v>434</v>
      </c>
      <c r="M758" t="s">
        <v>248</v>
      </c>
    </row>
    <row r="759" spans="1:13" x14ac:dyDescent="0.25">
      <c r="A759">
        <v>38</v>
      </c>
      <c r="B759" t="s">
        <v>202</v>
      </c>
      <c r="C759" s="15">
        <v>45367</v>
      </c>
      <c r="D759" s="16">
        <v>0.625</v>
      </c>
      <c r="E759" t="s">
        <v>378</v>
      </c>
      <c r="I759" t="s">
        <v>400</v>
      </c>
      <c r="J759" s="1"/>
      <c r="K759" t="s">
        <v>463</v>
      </c>
      <c r="M759" t="s">
        <v>248</v>
      </c>
    </row>
    <row r="760" spans="1:13" x14ac:dyDescent="0.25">
      <c r="A760">
        <v>38</v>
      </c>
      <c r="B760" t="s">
        <v>202</v>
      </c>
      <c r="C760" s="15">
        <v>45367</v>
      </c>
      <c r="D760" s="16">
        <v>0.625</v>
      </c>
      <c r="E760" t="s">
        <v>382</v>
      </c>
      <c r="I760" t="s">
        <v>384</v>
      </c>
      <c r="J760" s="1"/>
      <c r="K760" t="s">
        <v>450</v>
      </c>
      <c r="M760" t="s">
        <v>248</v>
      </c>
    </row>
    <row r="761" spans="1:13" x14ac:dyDescent="0.25">
      <c r="A761">
        <v>38</v>
      </c>
      <c r="B761" t="s">
        <v>202</v>
      </c>
      <c r="C761" s="15">
        <v>45367</v>
      </c>
      <c r="D761" s="16">
        <v>0.625</v>
      </c>
      <c r="E761" t="s">
        <v>386</v>
      </c>
      <c r="I761" t="s">
        <v>389</v>
      </c>
      <c r="J761" s="1"/>
      <c r="K761" t="s">
        <v>448</v>
      </c>
      <c r="M761" t="s">
        <v>248</v>
      </c>
    </row>
    <row r="762" spans="1:13" x14ac:dyDescent="0.25">
      <c r="A762">
        <v>38</v>
      </c>
      <c r="B762" t="s">
        <v>202</v>
      </c>
      <c r="C762" s="15">
        <v>45367</v>
      </c>
      <c r="D762" s="16">
        <v>0.625</v>
      </c>
      <c r="E762" t="s">
        <v>401</v>
      </c>
      <c r="I762" t="s">
        <v>380</v>
      </c>
      <c r="J762" s="1"/>
      <c r="K762" t="s">
        <v>452</v>
      </c>
      <c r="M762" t="s">
        <v>248</v>
      </c>
    </row>
    <row r="763" spans="1:13" x14ac:dyDescent="0.25">
      <c r="A763">
        <v>38</v>
      </c>
      <c r="B763" t="s">
        <v>202</v>
      </c>
      <c r="C763" s="15">
        <v>45367</v>
      </c>
      <c r="D763" s="16">
        <v>0.625</v>
      </c>
      <c r="E763" t="s">
        <v>398</v>
      </c>
      <c r="I763" t="s">
        <v>393</v>
      </c>
      <c r="J763" s="1"/>
      <c r="K763" t="s">
        <v>449</v>
      </c>
      <c r="M763" t="s">
        <v>248</v>
      </c>
    </row>
    <row r="764" spans="1:13" x14ac:dyDescent="0.25">
      <c r="A764">
        <v>38</v>
      </c>
      <c r="B764" t="s">
        <v>202</v>
      </c>
      <c r="C764" s="15">
        <v>45367</v>
      </c>
      <c r="D764" s="16">
        <v>0.625</v>
      </c>
      <c r="E764" t="s">
        <v>387</v>
      </c>
      <c r="I764" t="s">
        <v>396</v>
      </c>
      <c r="J764" s="1"/>
      <c r="K764" t="s">
        <v>447</v>
      </c>
      <c r="M764" t="s">
        <v>248</v>
      </c>
    </row>
    <row r="765" spans="1:13" x14ac:dyDescent="0.25">
      <c r="C765" s="15"/>
      <c r="D765" s="16"/>
      <c r="J765" s="1"/>
    </row>
    <row r="766" spans="1:13" x14ac:dyDescent="0.25">
      <c r="A766">
        <v>39</v>
      </c>
      <c r="B766" t="s">
        <v>200</v>
      </c>
      <c r="C766" s="15">
        <v>45380</v>
      </c>
      <c r="D766" s="16">
        <v>0.52083333333333337</v>
      </c>
      <c r="E766" t="s">
        <v>380</v>
      </c>
      <c r="I766" t="s">
        <v>387</v>
      </c>
      <c r="J766" s="1"/>
      <c r="K766" t="s">
        <v>432</v>
      </c>
      <c r="M766" t="s">
        <v>248</v>
      </c>
    </row>
    <row r="767" spans="1:13" x14ac:dyDescent="0.25">
      <c r="A767">
        <v>39</v>
      </c>
      <c r="B767" t="s">
        <v>200</v>
      </c>
      <c r="C767" s="15">
        <v>45380</v>
      </c>
      <c r="D767" s="16">
        <v>0.54166666666666663</v>
      </c>
      <c r="E767" t="s">
        <v>389</v>
      </c>
      <c r="I767" t="s">
        <v>401</v>
      </c>
      <c r="J767" s="1"/>
      <c r="K767" t="s">
        <v>462</v>
      </c>
      <c r="M767" t="s">
        <v>248</v>
      </c>
    </row>
    <row r="768" spans="1:13" x14ac:dyDescent="0.25">
      <c r="A768">
        <v>39</v>
      </c>
      <c r="B768" t="s">
        <v>200</v>
      </c>
      <c r="C768" s="15">
        <v>45380</v>
      </c>
      <c r="D768" s="16">
        <v>0.625</v>
      </c>
      <c r="E768" t="s">
        <v>396</v>
      </c>
      <c r="I768" t="s">
        <v>388</v>
      </c>
      <c r="J768" s="1"/>
      <c r="K768" t="s">
        <v>461</v>
      </c>
      <c r="M768" t="s">
        <v>248</v>
      </c>
    </row>
    <row r="769" spans="1:13" x14ac:dyDescent="0.25">
      <c r="A769">
        <v>39</v>
      </c>
      <c r="B769" t="s">
        <v>200</v>
      </c>
      <c r="C769" s="15">
        <v>45380</v>
      </c>
      <c r="D769" s="16">
        <v>0.625</v>
      </c>
      <c r="E769" t="s">
        <v>384</v>
      </c>
      <c r="I769" t="s">
        <v>397</v>
      </c>
      <c r="J769" s="1"/>
      <c r="K769" t="s">
        <v>460</v>
      </c>
      <c r="M769" t="s">
        <v>248</v>
      </c>
    </row>
    <row r="770" spans="1:13" x14ac:dyDescent="0.25">
      <c r="A770">
        <v>39</v>
      </c>
      <c r="B770" t="s">
        <v>200</v>
      </c>
      <c r="C770" s="15">
        <v>45380</v>
      </c>
      <c r="D770" s="16">
        <v>0.625</v>
      </c>
      <c r="E770" t="s">
        <v>395</v>
      </c>
      <c r="I770" t="s">
        <v>399</v>
      </c>
      <c r="J770" s="1"/>
      <c r="K770" t="s">
        <v>431</v>
      </c>
      <c r="M770" t="s">
        <v>248</v>
      </c>
    </row>
    <row r="771" spans="1:13" x14ac:dyDescent="0.25">
      <c r="A771">
        <v>39</v>
      </c>
      <c r="B771" t="s">
        <v>200</v>
      </c>
      <c r="C771" s="15">
        <v>45380</v>
      </c>
      <c r="D771" s="16">
        <v>0.625</v>
      </c>
      <c r="E771" t="s">
        <v>393</v>
      </c>
      <c r="I771" t="s">
        <v>378</v>
      </c>
      <c r="J771" s="1"/>
      <c r="K771" t="s">
        <v>465</v>
      </c>
      <c r="M771" t="s">
        <v>248</v>
      </c>
    </row>
    <row r="772" spans="1:13" x14ac:dyDescent="0.25">
      <c r="A772">
        <v>39</v>
      </c>
      <c r="B772" t="s">
        <v>200</v>
      </c>
      <c r="C772" s="15">
        <v>45380</v>
      </c>
      <c r="D772" s="16">
        <v>0.625</v>
      </c>
      <c r="E772" t="s">
        <v>381</v>
      </c>
      <c r="I772" t="s">
        <v>398</v>
      </c>
      <c r="J772" s="1"/>
      <c r="K772" t="s">
        <v>453</v>
      </c>
      <c r="M772" t="s">
        <v>248</v>
      </c>
    </row>
    <row r="773" spans="1:13" x14ac:dyDescent="0.25">
      <c r="A773">
        <v>39</v>
      </c>
      <c r="B773" t="s">
        <v>200</v>
      </c>
      <c r="C773" s="15">
        <v>45380</v>
      </c>
      <c r="D773" s="16">
        <v>0.625</v>
      </c>
      <c r="E773" t="s">
        <v>383</v>
      </c>
      <c r="I773" t="s">
        <v>382</v>
      </c>
      <c r="J773" s="1"/>
      <c r="K773" t="s">
        <v>451</v>
      </c>
      <c r="M773" t="s">
        <v>248</v>
      </c>
    </row>
    <row r="774" spans="1:13" x14ac:dyDescent="0.25">
      <c r="A774">
        <v>39</v>
      </c>
      <c r="B774" t="s">
        <v>200</v>
      </c>
      <c r="C774" s="15">
        <v>45380</v>
      </c>
      <c r="D774" s="16">
        <v>0.625</v>
      </c>
      <c r="E774" t="s">
        <v>390</v>
      </c>
      <c r="I774" t="s">
        <v>391</v>
      </c>
      <c r="J774" s="1"/>
      <c r="K774" t="s">
        <v>443</v>
      </c>
      <c r="M774" t="s">
        <v>248</v>
      </c>
    </row>
    <row r="775" spans="1:13" x14ac:dyDescent="0.25">
      <c r="A775">
        <v>39</v>
      </c>
      <c r="B775" t="s">
        <v>200</v>
      </c>
      <c r="C775" s="15">
        <v>45380</v>
      </c>
      <c r="D775" s="16">
        <v>0.625</v>
      </c>
      <c r="E775" t="s">
        <v>379</v>
      </c>
      <c r="I775" t="s">
        <v>385</v>
      </c>
      <c r="J775" s="1"/>
      <c r="K775" t="s">
        <v>441</v>
      </c>
      <c r="M775" t="s">
        <v>248</v>
      </c>
    </row>
    <row r="776" spans="1:13" x14ac:dyDescent="0.25">
      <c r="A776">
        <v>39</v>
      </c>
      <c r="B776" t="s">
        <v>200</v>
      </c>
      <c r="C776" s="15">
        <v>45380</v>
      </c>
      <c r="D776" s="16">
        <v>0.625</v>
      </c>
      <c r="E776" t="s">
        <v>400</v>
      </c>
      <c r="I776" t="s">
        <v>386</v>
      </c>
      <c r="J776" s="1"/>
      <c r="K776" t="s">
        <v>440</v>
      </c>
      <c r="M776" t="s">
        <v>248</v>
      </c>
    </row>
    <row r="777" spans="1:13" x14ac:dyDescent="0.25">
      <c r="A777">
        <v>39</v>
      </c>
      <c r="B777" t="s">
        <v>200</v>
      </c>
      <c r="C777" s="15">
        <v>45380</v>
      </c>
      <c r="D777" s="16">
        <v>0.625</v>
      </c>
      <c r="E777" t="s">
        <v>392</v>
      </c>
      <c r="I777" t="s">
        <v>394</v>
      </c>
      <c r="J777" s="1"/>
      <c r="K777" t="s">
        <v>457</v>
      </c>
      <c r="M777" t="s">
        <v>248</v>
      </c>
    </row>
    <row r="778" spans="1:13" x14ac:dyDescent="0.25">
      <c r="C778" s="15"/>
      <c r="D778" s="16"/>
      <c r="J778" s="1"/>
    </row>
    <row r="779" spans="1:13" x14ac:dyDescent="0.25">
      <c r="A779">
        <v>40</v>
      </c>
      <c r="B779" t="s">
        <v>214</v>
      </c>
      <c r="C779" s="15">
        <v>45383</v>
      </c>
      <c r="D779" s="16">
        <v>0.625</v>
      </c>
      <c r="E779" t="s">
        <v>397</v>
      </c>
      <c r="I779" t="s">
        <v>383</v>
      </c>
      <c r="J779" s="1"/>
      <c r="K779" t="s">
        <v>436</v>
      </c>
      <c r="M779" t="s">
        <v>248</v>
      </c>
    </row>
    <row r="780" spans="1:13" x14ac:dyDescent="0.25">
      <c r="A780">
        <v>40</v>
      </c>
      <c r="B780" t="s">
        <v>214</v>
      </c>
      <c r="C780" s="15">
        <v>45383</v>
      </c>
      <c r="D780" s="16">
        <v>0.625</v>
      </c>
      <c r="E780" t="s">
        <v>399</v>
      </c>
      <c r="I780" t="s">
        <v>393</v>
      </c>
      <c r="J780" s="1"/>
      <c r="K780" t="s">
        <v>445</v>
      </c>
      <c r="M780" t="s">
        <v>248</v>
      </c>
    </row>
    <row r="781" spans="1:13" x14ac:dyDescent="0.25">
      <c r="A781">
        <v>40</v>
      </c>
      <c r="B781" t="s">
        <v>214</v>
      </c>
      <c r="C781" s="15">
        <v>45383</v>
      </c>
      <c r="D781" s="16">
        <v>0.625</v>
      </c>
      <c r="E781" t="s">
        <v>391</v>
      </c>
      <c r="I781" t="s">
        <v>380</v>
      </c>
      <c r="J781" s="1"/>
      <c r="K781" t="s">
        <v>434</v>
      </c>
      <c r="M781" t="s">
        <v>248</v>
      </c>
    </row>
    <row r="782" spans="1:13" x14ac:dyDescent="0.25">
      <c r="A782">
        <v>40</v>
      </c>
      <c r="B782" t="s">
        <v>214</v>
      </c>
      <c r="C782" s="15">
        <v>45383</v>
      </c>
      <c r="D782" s="16">
        <v>0.625</v>
      </c>
      <c r="E782" t="s">
        <v>388</v>
      </c>
      <c r="I782" t="s">
        <v>395</v>
      </c>
      <c r="J782" s="1"/>
      <c r="K782" t="s">
        <v>438</v>
      </c>
      <c r="M782" t="s">
        <v>248</v>
      </c>
    </row>
    <row r="783" spans="1:13" x14ac:dyDescent="0.25">
      <c r="A783">
        <v>40</v>
      </c>
      <c r="B783" t="s">
        <v>214</v>
      </c>
      <c r="C783" s="15">
        <v>45383</v>
      </c>
      <c r="D783" s="16">
        <v>0.625</v>
      </c>
      <c r="E783" t="s">
        <v>394</v>
      </c>
      <c r="I783" t="s">
        <v>389</v>
      </c>
      <c r="J783" s="1"/>
      <c r="K783" t="s">
        <v>458</v>
      </c>
      <c r="M783" t="s">
        <v>248</v>
      </c>
    </row>
    <row r="784" spans="1:13" x14ac:dyDescent="0.25">
      <c r="A784">
        <v>40</v>
      </c>
      <c r="B784" t="s">
        <v>214</v>
      </c>
      <c r="C784" s="15">
        <v>45383</v>
      </c>
      <c r="D784" s="16">
        <v>0.625</v>
      </c>
      <c r="E784" t="s">
        <v>385</v>
      </c>
      <c r="I784" t="s">
        <v>396</v>
      </c>
      <c r="J784" s="1"/>
      <c r="K784" t="s">
        <v>456</v>
      </c>
      <c r="M784" t="s">
        <v>248</v>
      </c>
    </row>
    <row r="785" spans="1:13" x14ac:dyDescent="0.25">
      <c r="A785">
        <v>40</v>
      </c>
      <c r="B785" t="s">
        <v>214</v>
      </c>
      <c r="C785" s="15">
        <v>45383</v>
      </c>
      <c r="D785" s="16">
        <v>0.625</v>
      </c>
      <c r="E785" t="s">
        <v>398</v>
      </c>
      <c r="I785" t="s">
        <v>379</v>
      </c>
      <c r="J785" s="1"/>
      <c r="K785" t="s">
        <v>449</v>
      </c>
      <c r="M785" t="s">
        <v>248</v>
      </c>
    </row>
    <row r="786" spans="1:13" x14ac:dyDescent="0.25">
      <c r="A786">
        <v>40</v>
      </c>
      <c r="B786" t="s">
        <v>214</v>
      </c>
      <c r="C786" s="15">
        <v>45383</v>
      </c>
      <c r="D786" s="16">
        <v>0.625</v>
      </c>
      <c r="E786" t="s">
        <v>378</v>
      </c>
      <c r="I786" t="s">
        <v>392</v>
      </c>
      <c r="J786" s="1"/>
      <c r="K786" t="s">
        <v>463</v>
      </c>
      <c r="M786" t="s">
        <v>248</v>
      </c>
    </row>
    <row r="787" spans="1:13" x14ac:dyDescent="0.25">
      <c r="A787">
        <v>40</v>
      </c>
      <c r="B787" t="s">
        <v>214</v>
      </c>
      <c r="C787" s="15">
        <v>45383</v>
      </c>
      <c r="D787" s="16">
        <v>0.625</v>
      </c>
      <c r="E787" t="s">
        <v>387</v>
      </c>
      <c r="I787" t="s">
        <v>390</v>
      </c>
      <c r="J787" s="1"/>
      <c r="K787" t="s">
        <v>447</v>
      </c>
      <c r="M787" t="s">
        <v>248</v>
      </c>
    </row>
    <row r="788" spans="1:13" x14ac:dyDescent="0.25">
      <c r="A788">
        <v>40</v>
      </c>
      <c r="B788" t="s">
        <v>214</v>
      </c>
      <c r="C788" s="15">
        <v>45383</v>
      </c>
      <c r="D788" s="16">
        <v>0.625</v>
      </c>
      <c r="E788" t="s">
        <v>401</v>
      </c>
      <c r="I788" t="s">
        <v>400</v>
      </c>
      <c r="J788" s="1"/>
      <c r="K788" t="s">
        <v>452</v>
      </c>
      <c r="M788" t="s">
        <v>248</v>
      </c>
    </row>
    <row r="789" spans="1:13" x14ac:dyDescent="0.25">
      <c r="A789">
        <v>40</v>
      </c>
      <c r="B789" t="s">
        <v>214</v>
      </c>
      <c r="C789" s="15">
        <v>45383</v>
      </c>
      <c r="D789" s="16">
        <v>0.625</v>
      </c>
      <c r="E789" t="s">
        <v>382</v>
      </c>
      <c r="I789" t="s">
        <v>381</v>
      </c>
      <c r="J789" s="1"/>
      <c r="K789" t="s">
        <v>450</v>
      </c>
      <c r="M789" t="s">
        <v>248</v>
      </c>
    </row>
    <row r="790" spans="1:13" x14ac:dyDescent="0.25">
      <c r="A790">
        <v>40</v>
      </c>
      <c r="B790" t="s">
        <v>214</v>
      </c>
      <c r="C790" s="15">
        <v>45383</v>
      </c>
      <c r="D790" s="16">
        <v>0.625</v>
      </c>
      <c r="E790" t="s">
        <v>386</v>
      </c>
      <c r="I790" t="s">
        <v>384</v>
      </c>
      <c r="J790" s="1"/>
      <c r="K790" t="s">
        <v>448</v>
      </c>
      <c r="M790" t="s">
        <v>248</v>
      </c>
    </row>
    <row r="791" spans="1:13" x14ac:dyDescent="0.25">
      <c r="C791" s="15"/>
      <c r="D791" s="16"/>
      <c r="J791" s="1"/>
    </row>
    <row r="792" spans="1:13" x14ac:dyDescent="0.25">
      <c r="A792">
        <v>41</v>
      </c>
      <c r="B792" t="s">
        <v>202</v>
      </c>
      <c r="C792" s="15">
        <v>45388</v>
      </c>
      <c r="D792" s="16">
        <v>0.625</v>
      </c>
      <c r="E792" t="s">
        <v>382</v>
      </c>
      <c r="I792" t="s">
        <v>386</v>
      </c>
      <c r="J792" s="1"/>
      <c r="K792" t="s">
        <v>450</v>
      </c>
      <c r="M792" t="s">
        <v>248</v>
      </c>
    </row>
    <row r="793" spans="1:13" x14ac:dyDescent="0.25">
      <c r="A793">
        <v>41</v>
      </c>
      <c r="B793" t="s">
        <v>202</v>
      </c>
      <c r="C793" s="15">
        <v>45388</v>
      </c>
      <c r="D793" s="16">
        <v>0.625</v>
      </c>
      <c r="E793" t="s">
        <v>400</v>
      </c>
      <c r="I793" t="s">
        <v>392</v>
      </c>
      <c r="J793" s="1"/>
      <c r="K793" t="s">
        <v>440</v>
      </c>
      <c r="M793" t="s">
        <v>248</v>
      </c>
    </row>
    <row r="794" spans="1:13" x14ac:dyDescent="0.25">
      <c r="A794">
        <v>41</v>
      </c>
      <c r="B794" t="s">
        <v>202</v>
      </c>
      <c r="C794" s="15">
        <v>45388</v>
      </c>
      <c r="D794" s="16">
        <v>0.625</v>
      </c>
      <c r="E794" t="s">
        <v>383</v>
      </c>
      <c r="I794" t="s">
        <v>389</v>
      </c>
      <c r="J794" s="1"/>
      <c r="K794" t="s">
        <v>451</v>
      </c>
      <c r="M794" t="s">
        <v>248</v>
      </c>
    </row>
    <row r="795" spans="1:13" x14ac:dyDescent="0.25">
      <c r="A795">
        <v>41</v>
      </c>
      <c r="B795" t="s">
        <v>202</v>
      </c>
      <c r="C795" s="15">
        <v>45388</v>
      </c>
      <c r="D795" s="16">
        <v>0.625</v>
      </c>
      <c r="E795" t="s">
        <v>394</v>
      </c>
      <c r="I795" t="s">
        <v>391</v>
      </c>
      <c r="J795" s="1"/>
      <c r="K795" t="s">
        <v>458</v>
      </c>
      <c r="M795" t="s">
        <v>248</v>
      </c>
    </row>
    <row r="796" spans="1:13" x14ac:dyDescent="0.25">
      <c r="A796">
        <v>41</v>
      </c>
      <c r="B796" t="s">
        <v>202</v>
      </c>
      <c r="C796" s="15">
        <v>45388</v>
      </c>
      <c r="D796" s="16">
        <v>0.625</v>
      </c>
      <c r="E796" t="s">
        <v>390</v>
      </c>
      <c r="I796" t="s">
        <v>385</v>
      </c>
      <c r="J796" s="1"/>
      <c r="K796" t="s">
        <v>443</v>
      </c>
      <c r="M796" t="s">
        <v>248</v>
      </c>
    </row>
    <row r="797" spans="1:13" x14ac:dyDescent="0.25">
      <c r="A797">
        <v>41</v>
      </c>
      <c r="B797" t="s">
        <v>202</v>
      </c>
      <c r="C797" s="15">
        <v>45388</v>
      </c>
      <c r="D797" s="16">
        <v>0.625</v>
      </c>
      <c r="E797" t="s">
        <v>398</v>
      </c>
      <c r="I797" t="s">
        <v>380</v>
      </c>
      <c r="J797" s="1"/>
      <c r="K797" t="s">
        <v>449</v>
      </c>
      <c r="M797" t="s">
        <v>248</v>
      </c>
    </row>
    <row r="798" spans="1:13" x14ac:dyDescent="0.25">
      <c r="A798">
        <v>41</v>
      </c>
      <c r="B798" t="s">
        <v>202</v>
      </c>
      <c r="C798" s="15">
        <v>45388</v>
      </c>
      <c r="D798" s="16">
        <v>0.625</v>
      </c>
      <c r="E798" t="s">
        <v>388</v>
      </c>
      <c r="I798" t="s">
        <v>399</v>
      </c>
      <c r="J798" s="1"/>
      <c r="K798" t="s">
        <v>438</v>
      </c>
      <c r="M798" t="s">
        <v>248</v>
      </c>
    </row>
    <row r="799" spans="1:13" x14ac:dyDescent="0.25">
      <c r="A799">
        <v>41</v>
      </c>
      <c r="B799" t="s">
        <v>202</v>
      </c>
      <c r="C799" s="15">
        <v>45388</v>
      </c>
      <c r="D799" s="16">
        <v>0.625</v>
      </c>
      <c r="E799" t="s">
        <v>397</v>
      </c>
      <c r="I799" t="s">
        <v>401</v>
      </c>
      <c r="J799" s="1"/>
      <c r="K799" t="s">
        <v>436</v>
      </c>
      <c r="M799" t="s">
        <v>248</v>
      </c>
    </row>
    <row r="800" spans="1:13" x14ac:dyDescent="0.25">
      <c r="A800">
        <v>41</v>
      </c>
      <c r="B800" t="s">
        <v>202</v>
      </c>
      <c r="C800" s="15">
        <v>45388</v>
      </c>
      <c r="D800" s="16">
        <v>0.625</v>
      </c>
      <c r="E800" t="s">
        <v>393</v>
      </c>
      <c r="I800" t="s">
        <v>395</v>
      </c>
      <c r="J800" s="1"/>
      <c r="K800" t="s">
        <v>465</v>
      </c>
      <c r="M800" t="s">
        <v>248</v>
      </c>
    </row>
    <row r="801" spans="1:13" x14ac:dyDescent="0.25">
      <c r="A801">
        <v>41</v>
      </c>
      <c r="B801" t="s">
        <v>202</v>
      </c>
      <c r="C801" s="15">
        <v>45388</v>
      </c>
      <c r="D801" s="16">
        <v>0.625</v>
      </c>
      <c r="E801" t="s">
        <v>381</v>
      </c>
      <c r="I801" t="s">
        <v>384</v>
      </c>
      <c r="J801" s="1"/>
      <c r="M801" t="s">
        <v>248</v>
      </c>
    </row>
    <row r="802" spans="1:13" x14ac:dyDescent="0.25">
      <c r="A802">
        <v>41</v>
      </c>
      <c r="B802" t="s">
        <v>202</v>
      </c>
      <c r="C802" s="15">
        <v>45388</v>
      </c>
      <c r="D802" s="16">
        <v>0.625</v>
      </c>
      <c r="E802" t="s">
        <v>379</v>
      </c>
      <c r="I802" t="s">
        <v>396</v>
      </c>
      <c r="J802" s="1"/>
      <c r="K802" t="s">
        <v>441</v>
      </c>
      <c r="M802" t="s">
        <v>248</v>
      </c>
    </row>
    <row r="803" spans="1:13" x14ac:dyDescent="0.25">
      <c r="A803">
        <v>41</v>
      </c>
      <c r="B803" t="s">
        <v>202</v>
      </c>
      <c r="C803" s="15">
        <v>45388</v>
      </c>
      <c r="D803" s="16">
        <v>0.625</v>
      </c>
      <c r="E803" t="s">
        <v>387</v>
      </c>
      <c r="I803" t="s">
        <v>378</v>
      </c>
      <c r="J803" s="1"/>
      <c r="K803" t="s">
        <v>447</v>
      </c>
      <c r="M803" t="s">
        <v>248</v>
      </c>
    </row>
    <row r="804" spans="1:13" x14ac:dyDescent="0.25">
      <c r="C804" s="15"/>
      <c r="D804" s="16"/>
      <c r="J804" s="1"/>
    </row>
    <row r="805" spans="1:13" x14ac:dyDescent="0.25">
      <c r="A805">
        <v>42</v>
      </c>
      <c r="B805" t="s">
        <v>239</v>
      </c>
      <c r="C805" s="15">
        <v>45391</v>
      </c>
      <c r="D805" s="16">
        <v>0.82291666666666663</v>
      </c>
      <c r="E805" t="s">
        <v>395</v>
      </c>
      <c r="I805" t="s">
        <v>390</v>
      </c>
      <c r="J805" s="1"/>
      <c r="K805" t="s">
        <v>431</v>
      </c>
      <c r="M805" t="s">
        <v>248</v>
      </c>
    </row>
    <row r="806" spans="1:13" x14ac:dyDescent="0.25">
      <c r="A806">
        <v>42</v>
      </c>
      <c r="B806" t="s">
        <v>239</v>
      </c>
      <c r="C806" s="15">
        <v>45391</v>
      </c>
      <c r="D806" s="16">
        <v>0.82291666666666663</v>
      </c>
      <c r="E806" t="s">
        <v>392</v>
      </c>
      <c r="I806" t="s">
        <v>383</v>
      </c>
      <c r="J806" s="1"/>
      <c r="K806" t="s">
        <v>457</v>
      </c>
      <c r="M806" t="s">
        <v>248</v>
      </c>
    </row>
    <row r="807" spans="1:13" x14ac:dyDescent="0.25">
      <c r="A807">
        <v>42</v>
      </c>
      <c r="B807" t="s">
        <v>239</v>
      </c>
      <c r="C807" s="15">
        <v>45391</v>
      </c>
      <c r="D807" s="16">
        <v>0.82291666666666663</v>
      </c>
      <c r="E807" t="s">
        <v>396</v>
      </c>
      <c r="I807" t="s">
        <v>382</v>
      </c>
      <c r="J807" s="1"/>
      <c r="K807" t="s">
        <v>461</v>
      </c>
      <c r="M807" t="s">
        <v>248</v>
      </c>
    </row>
    <row r="808" spans="1:13" x14ac:dyDescent="0.25">
      <c r="A808">
        <v>42</v>
      </c>
      <c r="B808" t="s">
        <v>239</v>
      </c>
      <c r="C808" s="15">
        <v>45391</v>
      </c>
      <c r="D808" s="16">
        <v>0.82291666666666663</v>
      </c>
      <c r="E808" t="s">
        <v>389</v>
      </c>
      <c r="I808" t="s">
        <v>387</v>
      </c>
      <c r="J808" s="1"/>
      <c r="K808" t="s">
        <v>462</v>
      </c>
      <c r="M808" t="s">
        <v>248</v>
      </c>
    </row>
    <row r="809" spans="1:13" x14ac:dyDescent="0.25">
      <c r="A809">
        <v>42</v>
      </c>
      <c r="B809" t="s">
        <v>239</v>
      </c>
      <c r="C809" s="15">
        <v>45391</v>
      </c>
      <c r="D809" s="16">
        <v>0.82291666666666663</v>
      </c>
      <c r="E809" t="s">
        <v>386</v>
      </c>
      <c r="I809" t="s">
        <v>398</v>
      </c>
      <c r="J809" s="1"/>
      <c r="K809" t="s">
        <v>448</v>
      </c>
      <c r="M809" t="s">
        <v>248</v>
      </c>
    </row>
    <row r="810" spans="1:13" x14ac:dyDescent="0.25">
      <c r="A810">
        <v>42</v>
      </c>
      <c r="B810" t="s">
        <v>239</v>
      </c>
      <c r="C810" s="15">
        <v>45391</v>
      </c>
      <c r="D810" s="16">
        <v>0.82291666666666663</v>
      </c>
      <c r="E810" t="s">
        <v>391</v>
      </c>
      <c r="I810" t="s">
        <v>393</v>
      </c>
      <c r="J810" s="1"/>
      <c r="K810" t="s">
        <v>434</v>
      </c>
      <c r="M810" t="s">
        <v>248</v>
      </c>
    </row>
    <row r="811" spans="1:13" x14ac:dyDescent="0.25">
      <c r="A811">
        <v>42</v>
      </c>
      <c r="B811" t="s">
        <v>247</v>
      </c>
      <c r="C811" s="15">
        <v>45392</v>
      </c>
      <c r="D811" s="16">
        <v>0.82291666666666663</v>
      </c>
      <c r="E811" t="s">
        <v>384</v>
      </c>
      <c r="I811" t="s">
        <v>388</v>
      </c>
      <c r="J811" s="1"/>
      <c r="K811" t="s">
        <v>460</v>
      </c>
      <c r="M811" t="s">
        <v>248</v>
      </c>
    </row>
    <row r="812" spans="1:13" x14ac:dyDescent="0.25">
      <c r="A812">
        <v>42</v>
      </c>
      <c r="B812" t="s">
        <v>247</v>
      </c>
      <c r="C812" s="15">
        <v>45392</v>
      </c>
      <c r="D812" s="16">
        <v>0.82291666666666663</v>
      </c>
      <c r="E812" t="s">
        <v>385</v>
      </c>
      <c r="I812" t="s">
        <v>400</v>
      </c>
      <c r="J812" s="1"/>
      <c r="K812" t="s">
        <v>456</v>
      </c>
      <c r="M812" t="s">
        <v>248</v>
      </c>
    </row>
    <row r="813" spans="1:13" x14ac:dyDescent="0.25">
      <c r="A813">
        <v>42</v>
      </c>
      <c r="B813" t="s">
        <v>247</v>
      </c>
      <c r="C813" s="15">
        <v>45392</v>
      </c>
      <c r="D813" s="16">
        <v>0.82291666666666663</v>
      </c>
      <c r="E813" t="s">
        <v>378</v>
      </c>
      <c r="I813" t="s">
        <v>381</v>
      </c>
      <c r="J813" s="1"/>
      <c r="K813" t="s">
        <v>463</v>
      </c>
      <c r="M813" t="s">
        <v>248</v>
      </c>
    </row>
    <row r="814" spans="1:13" x14ac:dyDescent="0.25">
      <c r="A814">
        <v>42</v>
      </c>
      <c r="B814" t="s">
        <v>247</v>
      </c>
      <c r="C814" s="15">
        <v>45392</v>
      </c>
      <c r="D814" s="16">
        <v>0.82291666666666663</v>
      </c>
      <c r="E814" t="s">
        <v>399</v>
      </c>
      <c r="I814" t="s">
        <v>397</v>
      </c>
      <c r="J814" s="1"/>
      <c r="K814" t="s">
        <v>445</v>
      </c>
      <c r="M814" t="s">
        <v>248</v>
      </c>
    </row>
    <row r="815" spans="1:13" x14ac:dyDescent="0.25">
      <c r="A815">
        <v>42</v>
      </c>
      <c r="B815" t="s">
        <v>247</v>
      </c>
      <c r="C815" s="15">
        <v>45392</v>
      </c>
      <c r="D815" s="16">
        <v>0.82291666666666663</v>
      </c>
      <c r="E815" t="s">
        <v>380</v>
      </c>
      <c r="I815" t="s">
        <v>379</v>
      </c>
      <c r="J815" s="1"/>
      <c r="K815" t="s">
        <v>432</v>
      </c>
      <c r="M815" t="s">
        <v>248</v>
      </c>
    </row>
    <row r="816" spans="1:13" x14ac:dyDescent="0.25">
      <c r="A816">
        <v>42</v>
      </c>
      <c r="B816" t="s">
        <v>247</v>
      </c>
      <c r="C816" s="15">
        <v>45392</v>
      </c>
      <c r="D816" s="16">
        <v>0.83333333333333337</v>
      </c>
      <c r="E816" t="s">
        <v>401</v>
      </c>
      <c r="I816" t="s">
        <v>394</v>
      </c>
      <c r="J816" s="1"/>
      <c r="K816" t="s">
        <v>452</v>
      </c>
      <c r="M816" t="s">
        <v>248</v>
      </c>
    </row>
    <row r="817" spans="1:13" x14ac:dyDescent="0.25">
      <c r="C817" s="15"/>
      <c r="D817" s="16"/>
      <c r="J817" s="1"/>
    </row>
    <row r="818" spans="1:13" x14ac:dyDescent="0.25">
      <c r="A818">
        <v>43</v>
      </c>
      <c r="B818" t="s">
        <v>202</v>
      </c>
      <c r="C818" s="15">
        <v>45395</v>
      </c>
      <c r="D818" s="16">
        <v>0.625</v>
      </c>
      <c r="E818" t="s">
        <v>399</v>
      </c>
      <c r="I818" t="s">
        <v>394</v>
      </c>
      <c r="J818" s="1"/>
      <c r="K818" t="s">
        <v>445</v>
      </c>
      <c r="M818" t="s">
        <v>248</v>
      </c>
    </row>
    <row r="819" spans="1:13" x14ac:dyDescent="0.25">
      <c r="A819">
        <v>43</v>
      </c>
      <c r="B819" t="s">
        <v>202</v>
      </c>
      <c r="C819" s="15">
        <v>45395</v>
      </c>
      <c r="D819" s="16">
        <v>0.625</v>
      </c>
      <c r="E819" t="s">
        <v>401</v>
      </c>
      <c r="I819" t="s">
        <v>398</v>
      </c>
      <c r="J819" s="1"/>
      <c r="K819" t="s">
        <v>452</v>
      </c>
      <c r="M819" t="s">
        <v>248</v>
      </c>
    </row>
    <row r="820" spans="1:13" x14ac:dyDescent="0.25">
      <c r="A820">
        <v>43</v>
      </c>
      <c r="B820" t="s">
        <v>202</v>
      </c>
      <c r="C820" s="15">
        <v>45395</v>
      </c>
      <c r="D820" s="16">
        <v>0.625</v>
      </c>
      <c r="E820" t="s">
        <v>380</v>
      </c>
      <c r="I820" t="s">
        <v>383</v>
      </c>
      <c r="J820" s="1"/>
      <c r="K820" t="s">
        <v>432</v>
      </c>
      <c r="M820" t="s">
        <v>248</v>
      </c>
    </row>
    <row r="821" spans="1:13" x14ac:dyDescent="0.25">
      <c r="A821">
        <v>43</v>
      </c>
      <c r="B821" t="s">
        <v>202</v>
      </c>
      <c r="C821" s="15">
        <v>45395</v>
      </c>
      <c r="D821" s="16">
        <v>0.625</v>
      </c>
      <c r="E821" t="s">
        <v>391</v>
      </c>
      <c r="I821" t="s">
        <v>387</v>
      </c>
      <c r="J821" s="1"/>
      <c r="K821" t="s">
        <v>434</v>
      </c>
      <c r="M821" t="s">
        <v>248</v>
      </c>
    </row>
    <row r="822" spans="1:13" x14ac:dyDescent="0.25">
      <c r="A822">
        <v>43</v>
      </c>
      <c r="B822" t="s">
        <v>202</v>
      </c>
      <c r="C822" s="15">
        <v>45395</v>
      </c>
      <c r="D822" s="16">
        <v>0.625</v>
      </c>
      <c r="E822" t="s">
        <v>384</v>
      </c>
      <c r="I822" t="s">
        <v>393</v>
      </c>
      <c r="J822" s="1"/>
      <c r="K822" t="s">
        <v>460</v>
      </c>
      <c r="M822" t="s">
        <v>248</v>
      </c>
    </row>
    <row r="823" spans="1:13" x14ac:dyDescent="0.25">
      <c r="A823">
        <v>43</v>
      </c>
      <c r="B823" t="s">
        <v>202</v>
      </c>
      <c r="C823" s="15">
        <v>45395</v>
      </c>
      <c r="D823" s="16">
        <v>0.625</v>
      </c>
      <c r="E823" t="s">
        <v>392</v>
      </c>
      <c r="I823" t="s">
        <v>390</v>
      </c>
      <c r="J823" s="1"/>
      <c r="K823" t="s">
        <v>457</v>
      </c>
      <c r="M823" t="s">
        <v>248</v>
      </c>
    </row>
    <row r="824" spans="1:13" x14ac:dyDescent="0.25">
      <c r="A824">
        <v>43</v>
      </c>
      <c r="B824" t="s">
        <v>202</v>
      </c>
      <c r="C824" s="15">
        <v>45395</v>
      </c>
      <c r="D824" s="16">
        <v>0.625</v>
      </c>
      <c r="E824" t="s">
        <v>396</v>
      </c>
      <c r="I824" t="s">
        <v>400</v>
      </c>
      <c r="J824" s="1"/>
      <c r="K824" t="s">
        <v>461</v>
      </c>
      <c r="M824" t="s">
        <v>248</v>
      </c>
    </row>
    <row r="825" spans="1:13" x14ac:dyDescent="0.25">
      <c r="A825">
        <v>43</v>
      </c>
      <c r="B825" t="s">
        <v>202</v>
      </c>
      <c r="C825" s="15">
        <v>45395</v>
      </c>
      <c r="D825" s="16">
        <v>0.625</v>
      </c>
      <c r="E825" t="s">
        <v>395</v>
      </c>
      <c r="I825" t="s">
        <v>397</v>
      </c>
      <c r="J825" s="1"/>
      <c r="K825" t="s">
        <v>431</v>
      </c>
      <c r="M825" t="s">
        <v>248</v>
      </c>
    </row>
    <row r="826" spans="1:13" x14ac:dyDescent="0.25">
      <c r="A826">
        <v>43</v>
      </c>
      <c r="B826" t="s">
        <v>202</v>
      </c>
      <c r="C826" s="15">
        <v>45395</v>
      </c>
      <c r="D826" s="16">
        <v>0.625</v>
      </c>
      <c r="E826" t="s">
        <v>385</v>
      </c>
      <c r="I826" t="s">
        <v>388</v>
      </c>
      <c r="J826" s="1"/>
      <c r="K826" t="s">
        <v>456</v>
      </c>
      <c r="M826" t="s">
        <v>248</v>
      </c>
    </row>
    <row r="827" spans="1:13" x14ac:dyDescent="0.25">
      <c r="A827">
        <v>43</v>
      </c>
      <c r="B827" t="s">
        <v>202</v>
      </c>
      <c r="C827" s="15">
        <v>45395</v>
      </c>
      <c r="D827" s="16">
        <v>0.625</v>
      </c>
      <c r="E827" t="s">
        <v>389</v>
      </c>
      <c r="I827" t="s">
        <v>381</v>
      </c>
      <c r="J827" s="1"/>
      <c r="K827" t="s">
        <v>462</v>
      </c>
      <c r="M827" t="s">
        <v>248</v>
      </c>
    </row>
    <row r="828" spans="1:13" x14ac:dyDescent="0.25">
      <c r="A828">
        <v>43</v>
      </c>
      <c r="B828" t="s">
        <v>202</v>
      </c>
      <c r="C828" s="15">
        <v>45395</v>
      </c>
      <c r="D828" s="16">
        <v>0.625</v>
      </c>
      <c r="E828" t="s">
        <v>378</v>
      </c>
      <c r="I828" t="s">
        <v>382</v>
      </c>
      <c r="J828" s="1"/>
      <c r="K828" t="s">
        <v>463</v>
      </c>
      <c r="M828" t="s">
        <v>248</v>
      </c>
    </row>
    <row r="829" spans="1:13" x14ac:dyDescent="0.25">
      <c r="A829">
        <v>43</v>
      </c>
      <c r="B829" t="s">
        <v>202</v>
      </c>
      <c r="C829" s="15">
        <v>45395</v>
      </c>
      <c r="D829" s="16">
        <v>0.625</v>
      </c>
      <c r="E829" t="s">
        <v>386</v>
      </c>
      <c r="I829" t="s">
        <v>379</v>
      </c>
      <c r="J829" s="1"/>
      <c r="K829" t="s">
        <v>448</v>
      </c>
      <c r="M829" t="s">
        <v>248</v>
      </c>
    </row>
    <row r="830" spans="1:13" x14ac:dyDescent="0.25">
      <c r="C830" s="15"/>
      <c r="D830" s="16"/>
      <c r="J830" s="1"/>
    </row>
    <row r="831" spans="1:13" x14ac:dyDescent="0.25">
      <c r="A831">
        <v>44</v>
      </c>
      <c r="B831" t="s">
        <v>202</v>
      </c>
      <c r="C831" s="15">
        <v>45402</v>
      </c>
      <c r="D831" s="16">
        <v>0.625</v>
      </c>
      <c r="E831" t="s">
        <v>388</v>
      </c>
      <c r="I831" t="s">
        <v>386</v>
      </c>
      <c r="J831" s="1"/>
      <c r="K831" t="s">
        <v>438</v>
      </c>
      <c r="M831" t="s">
        <v>248</v>
      </c>
    </row>
    <row r="832" spans="1:13" x14ac:dyDescent="0.25">
      <c r="A832">
        <v>44</v>
      </c>
      <c r="B832" t="s">
        <v>202</v>
      </c>
      <c r="C832" s="15">
        <v>45402</v>
      </c>
      <c r="D832" s="16">
        <v>0.625</v>
      </c>
      <c r="E832" t="s">
        <v>394</v>
      </c>
      <c r="I832" t="s">
        <v>378</v>
      </c>
      <c r="J832" s="1"/>
      <c r="K832" t="s">
        <v>458</v>
      </c>
      <c r="M832" t="s">
        <v>248</v>
      </c>
    </row>
    <row r="833" spans="1:13" x14ac:dyDescent="0.25">
      <c r="A833">
        <v>44</v>
      </c>
      <c r="B833" t="s">
        <v>202</v>
      </c>
      <c r="C833" s="15">
        <v>45402</v>
      </c>
      <c r="D833" s="16">
        <v>0.625</v>
      </c>
      <c r="E833" t="s">
        <v>393</v>
      </c>
      <c r="I833" t="s">
        <v>392</v>
      </c>
      <c r="J833" s="1"/>
      <c r="K833" t="s">
        <v>465</v>
      </c>
      <c r="M833" t="s">
        <v>248</v>
      </c>
    </row>
    <row r="834" spans="1:13" x14ac:dyDescent="0.25">
      <c r="A834">
        <v>44</v>
      </c>
      <c r="B834" t="s">
        <v>202</v>
      </c>
      <c r="C834" s="15">
        <v>45402</v>
      </c>
      <c r="D834" s="16">
        <v>0.625</v>
      </c>
      <c r="E834" t="s">
        <v>398</v>
      </c>
      <c r="I834" t="s">
        <v>389</v>
      </c>
      <c r="J834" s="1"/>
      <c r="K834" t="s">
        <v>449</v>
      </c>
      <c r="M834" t="s">
        <v>248</v>
      </c>
    </row>
    <row r="835" spans="1:13" x14ac:dyDescent="0.25">
      <c r="A835">
        <v>44</v>
      </c>
      <c r="B835" t="s">
        <v>202</v>
      </c>
      <c r="C835" s="15">
        <v>45402</v>
      </c>
      <c r="D835" s="16">
        <v>0.625</v>
      </c>
      <c r="E835" t="s">
        <v>383</v>
      </c>
      <c r="I835" t="s">
        <v>399</v>
      </c>
      <c r="J835" s="1"/>
      <c r="K835" t="s">
        <v>451</v>
      </c>
      <c r="M835" t="s">
        <v>248</v>
      </c>
    </row>
    <row r="836" spans="1:13" x14ac:dyDescent="0.25">
      <c r="A836">
        <v>44</v>
      </c>
      <c r="B836" t="s">
        <v>202</v>
      </c>
      <c r="C836" s="15">
        <v>45402</v>
      </c>
      <c r="D836" s="16">
        <v>0.625</v>
      </c>
      <c r="E836" t="s">
        <v>381</v>
      </c>
      <c r="I836" t="s">
        <v>396</v>
      </c>
      <c r="J836" s="1"/>
      <c r="K836" t="s">
        <v>453</v>
      </c>
      <c r="M836" t="s">
        <v>248</v>
      </c>
    </row>
    <row r="837" spans="1:13" x14ac:dyDescent="0.25">
      <c r="A837">
        <v>44</v>
      </c>
      <c r="B837" t="s">
        <v>202</v>
      </c>
      <c r="C837" s="15">
        <v>45402</v>
      </c>
      <c r="D837" s="16">
        <v>0.625</v>
      </c>
      <c r="E837" t="s">
        <v>397</v>
      </c>
      <c r="I837" t="s">
        <v>391</v>
      </c>
      <c r="J837" s="1"/>
      <c r="K837" t="s">
        <v>436</v>
      </c>
      <c r="M837" t="s">
        <v>248</v>
      </c>
    </row>
    <row r="838" spans="1:13" x14ac:dyDescent="0.25">
      <c r="A838">
        <v>44</v>
      </c>
      <c r="B838" t="s">
        <v>202</v>
      </c>
      <c r="C838" s="15">
        <v>45402</v>
      </c>
      <c r="D838" s="16">
        <v>0.625</v>
      </c>
      <c r="E838" t="s">
        <v>382</v>
      </c>
      <c r="I838" t="s">
        <v>385</v>
      </c>
      <c r="J838" s="1"/>
      <c r="K838" t="s">
        <v>450</v>
      </c>
      <c r="M838" t="s">
        <v>248</v>
      </c>
    </row>
    <row r="839" spans="1:13" x14ac:dyDescent="0.25">
      <c r="A839">
        <v>44</v>
      </c>
      <c r="B839" t="s">
        <v>202</v>
      </c>
      <c r="C839" s="15">
        <v>45402</v>
      </c>
      <c r="D839" s="16">
        <v>0.625</v>
      </c>
      <c r="E839" t="s">
        <v>379</v>
      </c>
      <c r="I839" t="s">
        <v>395</v>
      </c>
      <c r="J839" s="1"/>
      <c r="K839" t="s">
        <v>441</v>
      </c>
      <c r="M839" t="s">
        <v>248</v>
      </c>
    </row>
    <row r="840" spans="1:13" x14ac:dyDescent="0.25">
      <c r="A840">
        <v>44</v>
      </c>
      <c r="B840" t="s">
        <v>202</v>
      </c>
      <c r="C840" s="15">
        <v>45402</v>
      </c>
      <c r="D840" s="16">
        <v>0.625</v>
      </c>
      <c r="E840" t="s">
        <v>400</v>
      </c>
      <c r="I840" t="s">
        <v>384</v>
      </c>
      <c r="J840" s="1"/>
      <c r="K840" t="s">
        <v>440</v>
      </c>
      <c r="M840" t="s">
        <v>248</v>
      </c>
    </row>
    <row r="841" spans="1:13" x14ac:dyDescent="0.25">
      <c r="A841">
        <v>44</v>
      </c>
      <c r="B841" t="s">
        <v>202</v>
      </c>
      <c r="C841" s="15">
        <v>45402</v>
      </c>
      <c r="D841" s="16">
        <v>0.625</v>
      </c>
      <c r="E841" t="s">
        <v>387</v>
      </c>
      <c r="I841" t="s">
        <v>401</v>
      </c>
      <c r="J841" s="1"/>
      <c r="K841" t="s">
        <v>447</v>
      </c>
      <c r="M841" t="s">
        <v>248</v>
      </c>
    </row>
    <row r="842" spans="1:13" x14ac:dyDescent="0.25">
      <c r="A842">
        <v>44</v>
      </c>
      <c r="B842" t="s">
        <v>202</v>
      </c>
      <c r="C842" s="15">
        <v>45402</v>
      </c>
      <c r="D842" s="16">
        <v>0.625</v>
      </c>
      <c r="E842" t="s">
        <v>390</v>
      </c>
      <c r="I842" t="s">
        <v>380</v>
      </c>
      <c r="J842" s="1"/>
      <c r="K842" t="s">
        <v>443</v>
      </c>
      <c r="M842" t="s">
        <v>248</v>
      </c>
    </row>
    <row r="843" spans="1:13" x14ac:dyDescent="0.25">
      <c r="C843" s="15"/>
      <c r="D843" s="16"/>
      <c r="J843" s="1"/>
    </row>
    <row r="844" spans="1:13" x14ac:dyDescent="0.25">
      <c r="A844">
        <v>45</v>
      </c>
      <c r="B844" t="s">
        <v>202</v>
      </c>
      <c r="C844" s="15">
        <v>45409</v>
      </c>
      <c r="D844" s="16">
        <v>0.625</v>
      </c>
      <c r="E844" t="s">
        <v>395</v>
      </c>
      <c r="I844" t="s">
        <v>401</v>
      </c>
      <c r="J844" s="1"/>
      <c r="K844" t="s">
        <v>431</v>
      </c>
      <c r="M844" t="s">
        <v>248</v>
      </c>
    </row>
    <row r="845" spans="1:13" x14ac:dyDescent="0.25">
      <c r="A845">
        <v>45</v>
      </c>
      <c r="B845" t="s">
        <v>202</v>
      </c>
      <c r="C845" s="15">
        <v>45409</v>
      </c>
      <c r="D845" s="16">
        <v>0.625</v>
      </c>
      <c r="E845" t="s">
        <v>379</v>
      </c>
      <c r="I845" t="s">
        <v>382</v>
      </c>
      <c r="J845" s="1"/>
      <c r="K845" t="s">
        <v>441</v>
      </c>
      <c r="M845" t="s">
        <v>248</v>
      </c>
    </row>
    <row r="846" spans="1:13" x14ac:dyDescent="0.25">
      <c r="A846">
        <v>45</v>
      </c>
      <c r="B846" t="s">
        <v>202</v>
      </c>
      <c r="C846" s="15">
        <v>45409</v>
      </c>
      <c r="D846" s="16">
        <v>0.625</v>
      </c>
      <c r="E846" t="s">
        <v>389</v>
      </c>
      <c r="I846" t="s">
        <v>391</v>
      </c>
      <c r="J846" s="1"/>
      <c r="K846" t="s">
        <v>462</v>
      </c>
      <c r="M846" t="s">
        <v>248</v>
      </c>
    </row>
    <row r="847" spans="1:13" x14ac:dyDescent="0.25">
      <c r="A847">
        <v>45</v>
      </c>
      <c r="B847" t="s">
        <v>202</v>
      </c>
      <c r="C847" s="15">
        <v>45409</v>
      </c>
      <c r="D847" s="16">
        <v>0.625</v>
      </c>
      <c r="E847" t="s">
        <v>400</v>
      </c>
      <c r="I847" t="s">
        <v>398</v>
      </c>
      <c r="J847" s="1"/>
      <c r="K847" t="s">
        <v>440</v>
      </c>
      <c r="M847" t="s">
        <v>248</v>
      </c>
    </row>
    <row r="848" spans="1:13" x14ac:dyDescent="0.25">
      <c r="A848">
        <v>45</v>
      </c>
      <c r="B848" t="s">
        <v>202</v>
      </c>
      <c r="C848" s="15">
        <v>45409</v>
      </c>
      <c r="D848" s="16">
        <v>0.625</v>
      </c>
      <c r="E848" t="s">
        <v>390</v>
      </c>
      <c r="I848" t="s">
        <v>399</v>
      </c>
      <c r="J848" s="1"/>
      <c r="K848" t="s">
        <v>443</v>
      </c>
      <c r="M848" t="s">
        <v>248</v>
      </c>
    </row>
    <row r="849" spans="1:13" x14ac:dyDescent="0.25">
      <c r="A849">
        <v>45</v>
      </c>
      <c r="B849" t="s">
        <v>202</v>
      </c>
      <c r="C849" s="15">
        <v>45409</v>
      </c>
      <c r="D849" s="16">
        <v>0.625</v>
      </c>
      <c r="E849" t="s">
        <v>380</v>
      </c>
      <c r="I849" t="s">
        <v>394</v>
      </c>
      <c r="J849" s="1"/>
      <c r="K849" t="s">
        <v>432</v>
      </c>
      <c r="M849" t="s">
        <v>248</v>
      </c>
    </row>
    <row r="850" spans="1:13" x14ac:dyDescent="0.25">
      <c r="A850">
        <v>45</v>
      </c>
      <c r="B850" t="s">
        <v>202</v>
      </c>
      <c r="C850" s="15">
        <v>45409</v>
      </c>
      <c r="D850" s="16">
        <v>0.625</v>
      </c>
      <c r="E850" t="s">
        <v>384</v>
      </c>
      <c r="I850" t="s">
        <v>385</v>
      </c>
      <c r="J850" s="1"/>
      <c r="K850" t="s">
        <v>460</v>
      </c>
      <c r="M850" t="s">
        <v>248</v>
      </c>
    </row>
    <row r="851" spans="1:13" x14ac:dyDescent="0.25">
      <c r="A851">
        <v>45</v>
      </c>
      <c r="B851" t="s">
        <v>202</v>
      </c>
      <c r="C851" s="15">
        <v>45409</v>
      </c>
      <c r="D851" s="16">
        <v>0.625</v>
      </c>
      <c r="E851" t="s">
        <v>396</v>
      </c>
      <c r="I851" t="s">
        <v>397</v>
      </c>
      <c r="J851" s="1"/>
      <c r="K851" t="s">
        <v>461</v>
      </c>
      <c r="M851" t="s">
        <v>248</v>
      </c>
    </row>
    <row r="852" spans="1:13" x14ac:dyDescent="0.25">
      <c r="A852">
        <v>45</v>
      </c>
      <c r="B852" t="s">
        <v>202</v>
      </c>
      <c r="C852" s="15">
        <v>45409</v>
      </c>
      <c r="D852" s="16">
        <v>0.625</v>
      </c>
      <c r="E852" t="s">
        <v>393</v>
      </c>
      <c r="I852" t="s">
        <v>386</v>
      </c>
      <c r="J852" s="1"/>
      <c r="K852" t="s">
        <v>465</v>
      </c>
      <c r="M852" t="s">
        <v>248</v>
      </c>
    </row>
    <row r="853" spans="1:13" x14ac:dyDescent="0.25">
      <c r="A853">
        <v>45</v>
      </c>
      <c r="B853" t="s">
        <v>202</v>
      </c>
      <c r="C853" s="15">
        <v>45409</v>
      </c>
      <c r="D853" s="16">
        <v>0.625</v>
      </c>
      <c r="E853" t="s">
        <v>383</v>
      </c>
      <c r="I853" t="s">
        <v>378</v>
      </c>
      <c r="J853" s="1"/>
      <c r="K853" t="s">
        <v>451</v>
      </c>
      <c r="M853" t="s">
        <v>248</v>
      </c>
    </row>
    <row r="854" spans="1:13" x14ac:dyDescent="0.25">
      <c r="A854">
        <v>45</v>
      </c>
      <c r="B854" t="s">
        <v>202</v>
      </c>
      <c r="C854" s="15">
        <v>45409</v>
      </c>
      <c r="D854" s="16">
        <v>0.625</v>
      </c>
      <c r="E854" t="s">
        <v>381</v>
      </c>
      <c r="I854" t="s">
        <v>388</v>
      </c>
      <c r="J854" s="1"/>
      <c r="K854" t="s">
        <v>453</v>
      </c>
      <c r="M854" t="s">
        <v>248</v>
      </c>
    </row>
    <row r="855" spans="1:13" x14ac:dyDescent="0.25">
      <c r="A855">
        <v>45</v>
      </c>
      <c r="B855" t="s">
        <v>202</v>
      </c>
      <c r="C855" s="15">
        <v>45409</v>
      </c>
      <c r="D855" s="16">
        <v>0.625</v>
      </c>
      <c r="E855" t="s">
        <v>392</v>
      </c>
      <c r="I855" t="s">
        <v>387</v>
      </c>
      <c r="J855" s="1"/>
      <c r="K855" t="s">
        <v>457</v>
      </c>
      <c r="M855" t="s">
        <v>248</v>
      </c>
    </row>
    <row r="856" spans="1:13" x14ac:dyDescent="0.25">
      <c r="C856" s="15"/>
      <c r="D856" s="16"/>
      <c r="J856" s="1"/>
    </row>
    <row r="857" spans="1:13" x14ac:dyDescent="0.25">
      <c r="A857">
        <v>46</v>
      </c>
      <c r="B857" t="s">
        <v>202</v>
      </c>
      <c r="C857" s="15">
        <v>45416</v>
      </c>
      <c r="D857" s="16">
        <v>0.625</v>
      </c>
      <c r="E857" t="s">
        <v>401</v>
      </c>
      <c r="I857" t="s">
        <v>392</v>
      </c>
      <c r="J857" s="1"/>
      <c r="K857" t="s">
        <v>452</v>
      </c>
      <c r="M857" t="s">
        <v>248</v>
      </c>
    </row>
    <row r="858" spans="1:13" x14ac:dyDescent="0.25">
      <c r="A858">
        <v>46</v>
      </c>
      <c r="B858" t="s">
        <v>202</v>
      </c>
      <c r="C858" s="15">
        <v>45416</v>
      </c>
      <c r="D858" s="16">
        <v>0.625</v>
      </c>
      <c r="E858" t="s">
        <v>386</v>
      </c>
      <c r="I858" t="s">
        <v>396</v>
      </c>
      <c r="J858" s="1"/>
      <c r="K858" t="s">
        <v>448</v>
      </c>
      <c r="M858" t="s">
        <v>248</v>
      </c>
    </row>
    <row r="859" spans="1:13" x14ac:dyDescent="0.25">
      <c r="A859">
        <v>46</v>
      </c>
      <c r="B859" t="s">
        <v>202</v>
      </c>
      <c r="C859" s="15">
        <v>45416</v>
      </c>
      <c r="D859" s="16">
        <v>0.625</v>
      </c>
      <c r="E859" t="s">
        <v>391</v>
      </c>
      <c r="I859" t="s">
        <v>384</v>
      </c>
      <c r="J859" s="1"/>
      <c r="K859" t="s">
        <v>434</v>
      </c>
      <c r="M859" t="s">
        <v>248</v>
      </c>
    </row>
    <row r="860" spans="1:13" x14ac:dyDescent="0.25">
      <c r="A860">
        <v>46</v>
      </c>
      <c r="B860" t="s">
        <v>202</v>
      </c>
      <c r="C860" s="15">
        <v>45416</v>
      </c>
      <c r="D860" s="16">
        <v>0.625</v>
      </c>
      <c r="E860" t="s">
        <v>382</v>
      </c>
      <c r="I860" t="s">
        <v>393</v>
      </c>
      <c r="J860" s="1"/>
      <c r="K860" t="s">
        <v>450</v>
      </c>
      <c r="M860" t="s">
        <v>248</v>
      </c>
    </row>
    <row r="861" spans="1:13" x14ac:dyDescent="0.25">
      <c r="A861">
        <v>46</v>
      </c>
      <c r="B861" t="s">
        <v>202</v>
      </c>
      <c r="C861" s="15">
        <v>45416</v>
      </c>
      <c r="D861" s="16">
        <v>0.625</v>
      </c>
      <c r="E861" t="s">
        <v>397</v>
      </c>
      <c r="I861" t="s">
        <v>380</v>
      </c>
      <c r="J861" s="1"/>
      <c r="K861" t="s">
        <v>436</v>
      </c>
      <c r="M861" t="s">
        <v>248</v>
      </c>
    </row>
    <row r="862" spans="1:13" x14ac:dyDescent="0.25">
      <c r="A862">
        <v>46</v>
      </c>
      <c r="B862" t="s">
        <v>202</v>
      </c>
      <c r="C862" s="15">
        <v>45416</v>
      </c>
      <c r="D862" s="16">
        <v>0.625</v>
      </c>
      <c r="E862" t="s">
        <v>387</v>
      </c>
      <c r="I862" t="s">
        <v>379</v>
      </c>
      <c r="J862" s="1"/>
      <c r="K862" t="s">
        <v>447</v>
      </c>
      <c r="M862" t="s">
        <v>248</v>
      </c>
    </row>
    <row r="863" spans="1:13" x14ac:dyDescent="0.25">
      <c r="A863">
        <v>46</v>
      </c>
      <c r="B863" t="s">
        <v>202</v>
      </c>
      <c r="C863" s="15">
        <v>45416</v>
      </c>
      <c r="D863" s="16">
        <v>0.625</v>
      </c>
      <c r="E863" t="s">
        <v>378</v>
      </c>
      <c r="I863" t="s">
        <v>390</v>
      </c>
      <c r="J863" s="1"/>
      <c r="K863" t="s">
        <v>463</v>
      </c>
      <c r="M863" t="s">
        <v>248</v>
      </c>
    </row>
    <row r="864" spans="1:13" x14ac:dyDescent="0.25">
      <c r="A864">
        <v>46</v>
      </c>
      <c r="B864" t="s">
        <v>202</v>
      </c>
      <c r="C864" s="15">
        <v>45416</v>
      </c>
      <c r="D864" s="16">
        <v>0.625</v>
      </c>
      <c r="E864" t="s">
        <v>399</v>
      </c>
      <c r="I864" t="s">
        <v>389</v>
      </c>
      <c r="J864" s="1"/>
      <c r="K864" t="s">
        <v>445</v>
      </c>
      <c r="M864" t="s">
        <v>248</v>
      </c>
    </row>
    <row r="865" spans="1:13" x14ac:dyDescent="0.25">
      <c r="A865">
        <v>46</v>
      </c>
      <c r="B865" t="s">
        <v>202</v>
      </c>
      <c r="C865" s="15">
        <v>45416</v>
      </c>
      <c r="D865" s="16">
        <v>0.625</v>
      </c>
      <c r="E865" t="s">
        <v>385</v>
      </c>
      <c r="I865" t="s">
        <v>383</v>
      </c>
      <c r="J865" s="1"/>
      <c r="K865" t="s">
        <v>456</v>
      </c>
      <c r="M865" t="s">
        <v>248</v>
      </c>
    </row>
    <row r="866" spans="1:13" x14ac:dyDescent="0.25">
      <c r="A866">
        <v>46</v>
      </c>
      <c r="B866" t="s">
        <v>202</v>
      </c>
      <c r="C866" s="15">
        <v>45416</v>
      </c>
      <c r="D866" s="16">
        <v>0.625</v>
      </c>
      <c r="E866" t="s">
        <v>398</v>
      </c>
      <c r="I866" t="s">
        <v>395</v>
      </c>
      <c r="J866" s="1"/>
      <c r="K866" t="s">
        <v>449</v>
      </c>
      <c r="M866" t="s">
        <v>248</v>
      </c>
    </row>
    <row r="867" spans="1:13" x14ac:dyDescent="0.25">
      <c r="A867">
        <v>46</v>
      </c>
      <c r="B867" t="s">
        <v>202</v>
      </c>
      <c r="C867" s="15">
        <v>45416</v>
      </c>
      <c r="D867" s="16">
        <v>0.625</v>
      </c>
      <c r="E867" t="s">
        <v>394</v>
      </c>
      <c r="I867" t="s">
        <v>381</v>
      </c>
      <c r="J867" s="1"/>
      <c r="K867" t="s">
        <v>458</v>
      </c>
      <c r="M867" t="s">
        <v>248</v>
      </c>
    </row>
    <row r="868" spans="1:13" x14ac:dyDescent="0.25">
      <c r="A868">
        <v>46</v>
      </c>
      <c r="B868" t="s">
        <v>202</v>
      </c>
      <c r="C868" s="15">
        <v>45416</v>
      </c>
      <c r="D868" s="16">
        <v>0.625</v>
      </c>
      <c r="E868" t="s">
        <v>388</v>
      </c>
      <c r="I868" t="s">
        <v>400</v>
      </c>
      <c r="J868" s="1"/>
      <c r="K868" t="s">
        <v>438</v>
      </c>
      <c r="M868" t="s">
        <v>248</v>
      </c>
    </row>
  </sheetData>
  <mergeCells count="457">
    <mergeCell ref="T93:T97"/>
    <mergeCell ref="A98:A102"/>
    <mergeCell ref="B98:B102"/>
    <mergeCell ref="C98:C102"/>
    <mergeCell ref="D98:D102"/>
    <mergeCell ref="E98:E102"/>
    <mergeCell ref="F98:F102"/>
    <mergeCell ref="J93:J97"/>
    <mergeCell ref="K93:K97"/>
    <mergeCell ref="L93:L97"/>
    <mergeCell ref="M93:M97"/>
    <mergeCell ref="N93:N97"/>
    <mergeCell ref="O93:O97"/>
    <mergeCell ref="T98:T102"/>
    <mergeCell ref="M98:M102"/>
    <mergeCell ref="N98:N102"/>
    <mergeCell ref="O98:O102"/>
    <mergeCell ref="Q98:Q102"/>
    <mergeCell ref="R98:R102"/>
    <mergeCell ref="S98:S102"/>
    <mergeCell ref="G98:G102"/>
    <mergeCell ref="H98:H102"/>
    <mergeCell ref="I98:I102"/>
    <mergeCell ref="J98:J102"/>
    <mergeCell ref="S88:S92"/>
    <mergeCell ref="G88:G92"/>
    <mergeCell ref="H88:H92"/>
    <mergeCell ref="I88:I92"/>
    <mergeCell ref="J88:J92"/>
    <mergeCell ref="K88:K92"/>
    <mergeCell ref="L88:L92"/>
    <mergeCell ref="Q93:Q97"/>
    <mergeCell ref="R93:R97"/>
    <mergeCell ref="S93:S97"/>
    <mergeCell ref="K98:K102"/>
    <mergeCell ref="L98:L102"/>
    <mergeCell ref="A93:A97"/>
    <mergeCell ref="B93:B97"/>
    <mergeCell ref="C93:C97"/>
    <mergeCell ref="D93:D97"/>
    <mergeCell ref="E93:E97"/>
    <mergeCell ref="F93:F97"/>
    <mergeCell ref="G93:G97"/>
    <mergeCell ref="H93:H97"/>
    <mergeCell ref="I93:I97"/>
    <mergeCell ref="K78:K82"/>
    <mergeCell ref="L78:L82"/>
    <mergeCell ref="Q83:Q87"/>
    <mergeCell ref="R83:R87"/>
    <mergeCell ref="S83:S87"/>
    <mergeCell ref="T83:T87"/>
    <mergeCell ref="A88:A92"/>
    <mergeCell ref="B88:B92"/>
    <mergeCell ref="C88:C92"/>
    <mergeCell ref="D88:D92"/>
    <mergeCell ref="E88:E92"/>
    <mergeCell ref="F88:F92"/>
    <mergeCell ref="J83:J87"/>
    <mergeCell ref="K83:K87"/>
    <mergeCell ref="L83:L87"/>
    <mergeCell ref="M83:M87"/>
    <mergeCell ref="N83:N87"/>
    <mergeCell ref="O83:O87"/>
    <mergeCell ref="T88:T92"/>
    <mergeCell ref="M88:M92"/>
    <mergeCell ref="N88:N92"/>
    <mergeCell ref="O88:O92"/>
    <mergeCell ref="Q88:Q92"/>
    <mergeCell ref="R88:R92"/>
    <mergeCell ref="A83:A87"/>
    <mergeCell ref="B83:B87"/>
    <mergeCell ref="C83:C87"/>
    <mergeCell ref="D83:D87"/>
    <mergeCell ref="E83:E87"/>
    <mergeCell ref="F83:F87"/>
    <mergeCell ref="G83:G87"/>
    <mergeCell ref="H83:H87"/>
    <mergeCell ref="I83:I87"/>
    <mergeCell ref="T73:T77"/>
    <mergeCell ref="A78:A82"/>
    <mergeCell ref="B78:B82"/>
    <mergeCell ref="C78:C82"/>
    <mergeCell ref="D78:D82"/>
    <mergeCell ref="E78:E82"/>
    <mergeCell ref="F78:F82"/>
    <mergeCell ref="J73:J77"/>
    <mergeCell ref="K73:K77"/>
    <mergeCell ref="L73:L77"/>
    <mergeCell ref="M73:M77"/>
    <mergeCell ref="N73:N77"/>
    <mergeCell ref="O73:O77"/>
    <mergeCell ref="T78:T82"/>
    <mergeCell ref="M78:M82"/>
    <mergeCell ref="N78:N82"/>
    <mergeCell ref="O78:O82"/>
    <mergeCell ref="Q78:Q82"/>
    <mergeCell ref="R78:R82"/>
    <mergeCell ref="S78:S82"/>
    <mergeCell ref="G78:G82"/>
    <mergeCell ref="H78:H82"/>
    <mergeCell ref="I78:I82"/>
    <mergeCell ref="J78:J82"/>
    <mergeCell ref="S68:S72"/>
    <mergeCell ref="G68:G72"/>
    <mergeCell ref="H68:H72"/>
    <mergeCell ref="I68:I72"/>
    <mergeCell ref="J68:J72"/>
    <mergeCell ref="K68:K72"/>
    <mergeCell ref="L68:L72"/>
    <mergeCell ref="Q73:Q77"/>
    <mergeCell ref="R73:R77"/>
    <mergeCell ref="S73:S77"/>
    <mergeCell ref="A73:A77"/>
    <mergeCell ref="B73:B77"/>
    <mergeCell ref="C73:C77"/>
    <mergeCell ref="D73:D77"/>
    <mergeCell ref="E73:E77"/>
    <mergeCell ref="F73:F77"/>
    <mergeCell ref="G73:G77"/>
    <mergeCell ref="H73:H77"/>
    <mergeCell ref="I73:I77"/>
    <mergeCell ref="K58:K62"/>
    <mergeCell ref="L58:L62"/>
    <mergeCell ref="Q63:Q67"/>
    <mergeCell ref="R63:R67"/>
    <mergeCell ref="S63:S67"/>
    <mergeCell ref="T63:T67"/>
    <mergeCell ref="A68:A72"/>
    <mergeCell ref="B68:B72"/>
    <mergeCell ref="C68:C72"/>
    <mergeCell ref="D68:D72"/>
    <mergeCell ref="E68:E72"/>
    <mergeCell ref="F68:F72"/>
    <mergeCell ref="J63:J67"/>
    <mergeCell ref="K63:K67"/>
    <mergeCell ref="L63:L67"/>
    <mergeCell ref="M63:M67"/>
    <mergeCell ref="N63:N67"/>
    <mergeCell ref="O63:O67"/>
    <mergeCell ref="T68:T72"/>
    <mergeCell ref="M68:M72"/>
    <mergeCell ref="N68:N72"/>
    <mergeCell ref="O68:O72"/>
    <mergeCell ref="Q68:Q72"/>
    <mergeCell ref="R68:R72"/>
    <mergeCell ref="A63:A67"/>
    <mergeCell ref="B63:B67"/>
    <mergeCell ref="C63:C67"/>
    <mergeCell ref="D63:D67"/>
    <mergeCell ref="E63:E67"/>
    <mergeCell ref="F63:F67"/>
    <mergeCell ref="G63:G67"/>
    <mergeCell ref="H63:H67"/>
    <mergeCell ref="I63:I67"/>
    <mergeCell ref="T53:T57"/>
    <mergeCell ref="A58:A62"/>
    <mergeCell ref="B58:B62"/>
    <mergeCell ref="C58:C62"/>
    <mergeCell ref="D58:D62"/>
    <mergeCell ref="E58:E62"/>
    <mergeCell ref="F58:F62"/>
    <mergeCell ref="J53:J57"/>
    <mergeCell ref="K53:K57"/>
    <mergeCell ref="L53:L57"/>
    <mergeCell ref="M53:M57"/>
    <mergeCell ref="N53:N57"/>
    <mergeCell ref="O53:O57"/>
    <mergeCell ref="T58:T62"/>
    <mergeCell ref="M58:M62"/>
    <mergeCell ref="N58:N62"/>
    <mergeCell ref="O58:O62"/>
    <mergeCell ref="Q58:Q62"/>
    <mergeCell ref="R58:R62"/>
    <mergeCell ref="S58:S62"/>
    <mergeCell ref="G58:G62"/>
    <mergeCell ref="H58:H62"/>
    <mergeCell ref="I58:I62"/>
    <mergeCell ref="J58:J62"/>
    <mergeCell ref="S48:S52"/>
    <mergeCell ref="G48:G52"/>
    <mergeCell ref="H48:H52"/>
    <mergeCell ref="I48:I52"/>
    <mergeCell ref="J48:J52"/>
    <mergeCell ref="K48:K52"/>
    <mergeCell ref="L48:L52"/>
    <mergeCell ref="Q53:Q57"/>
    <mergeCell ref="R53:R57"/>
    <mergeCell ref="S53:S57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K38:K42"/>
    <mergeCell ref="L38:L42"/>
    <mergeCell ref="Q43:Q47"/>
    <mergeCell ref="R43:R47"/>
    <mergeCell ref="S43:S47"/>
    <mergeCell ref="T43:T47"/>
    <mergeCell ref="A48:A52"/>
    <mergeCell ref="B48:B52"/>
    <mergeCell ref="C48:C52"/>
    <mergeCell ref="D48:D52"/>
    <mergeCell ref="E48:E52"/>
    <mergeCell ref="F48:F52"/>
    <mergeCell ref="J43:J47"/>
    <mergeCell ref="K43:K47"/>
    <mergeCell ref="L43:L47"/>
    <mergeCell ref="M43:M47"/>
    <mergeCell ref="N43:N47"/>
    <mergeCell ref="O43:O47"/>
    <mergeCell ref="T48:T52"/>
    <mergeCell ref="M48:M52"/>
    <mergeCell ref="N48:N52"/>
    <mergeCell ref="O48:O52"/>
    <mergeCell ref="Q48:Q52"/>
    <mergeCell ref="R48:R5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T33:T37"/>
    <mergeCell ref="A38:A42"/>
    <mergeCell ref="B38:B42"/>
    <mergeCell ref="C38:C42"/>
    <mergeCell ref="D38:D42"/>
    <mergeCell ref="E38:E42"/>
    <mergeCell ref="F38:F42"/>
    <mergeCell ref="J33:J37"/>
    <mergeCell ref="K33:K37"/>
    <mergeCell ref="L33:L37"/>
    <mergeCell ref="M33:M37"/>
    <mergeCell ref="N33:N37"/>
    <mergeCell ref="O33:O37"/>
    <mergeCell ref="T38:T42"/>
    <mergeCell ref="M38:M42"/>
    <mergeCell ref="N38:N42"/>
    <mergeCell ref="O38:O42"/>
    <mergeCell ref="Q38:Q42"/>
    <mergeCell ref="R38:R42"/>
    <mergeCell ref="S38:S42"/>
    <mergeCell ref="G38:G42"/>
    <mergeCell ref="H38:H42"/>
    <mergeCell ref="I38:I42"/>
    <mergeCell ref="J38:J42"/>
    <mergeCell ref="R28:R32"/>
    <mergeCell ref="S28:S32"/>
    <mergeCell ref="G28:G32"/>
    <mergeCell ref="H28:H32"/>
    <mergeCell ref="I28:I32"/>
    <mergeCell ref="J28:J32"/>
    <mergeCell ref="K28:K32"/>
    <mergeCell ref="L28:L32"/>
    <mergeCell ref="Q33:Q37"/>
    <mergeCell ref="R33:R37"/>
    <mergeCell ref="S33:S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18:J22"/>
    <mergeCell ref="K18:K22"/>
    <mergeCell ref="L18:L22"/>
    <mergeCell ref="Q23:Q27"/>
    <mergeCell ref="R23:R27"/>
    <mergeCell ref="S23:S27"/>
    <mergeCell ref="T23:T27"/>
    <mergeCell ref="A28:A32"/>
    <mergeCell ref="B28:B32"/>
    <mergeCell ref="C28:C32"/>
    <mergeCell ref="D28:D32"/>
    <mergeCell ref="E28:E32"/>
    <mergeCell ref="F28:F32"/>
    <mergeCell ref="J23:J27"/>
    <mergeCell ref="K23:K27"/>
    <mergeCell ref="L23:L27"/>
    <mergeCell ref="M23:M27"/>
    <mergeCell ref="N23:N27"/>
    <mergeCell ref="O23:O27"/>
    <mergeCell ref="T28:T32"/>
    <mergeCell ref="M28:M32"/>
    <mergeCell ref="N28:N32"/>
    <mergeCell ref="O28:O32"/>
    <mergeCell ref="Q28:Q3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S13:S17"/>
    <mergeCell ref="T13:T17"/>
    <mergeCell ref="A18:A22"/>
    <mergeCell ref="B18:B22"/>
    <mergeCell ref="C18:C22"/>
    <mergeCell ref="D18:D22"/>
    <mergeCell ref="E18:E22"/>
    <mergeCell ref="F18:F22"/>
    <mergeCell ref="J13:J17"/>
    <mergeCell ref="K13:K17"/>
    <mergeCell ref="L13:L17"/>
    <mergeCell ref="M13:M17"/>
    <mergeCell ref="N13:N17"/>
    <mergeCell ref="O13:O17"/>
    <mergeCell ref="T18:T22"/>
    <mergeCell ref="M18:M22"/>
    <mergeCell ref="N18:N22"/>
    <mergeCell ref="O18:O22"/>
    <mergeCell ref="Q18:Q22"/>
    <mergeCell ref="R18:R22"/>
    <mergeCell ref="S18:S22"/>
    <mergeCell ref="G18:G22"/>
    <mergeCell ref="H18:H22"/>
    <mergeCell ref="I18:I22"/>
    <mergeCell ref="T8:T12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M8:M12"/>
    <mergeCell ref="N8:N12"/>
    <mergeCell ref="O8:O12"/>
    <mergeCell ref="Q8:Q12"/>
    <mergeCell ref="R8:R12"/>
    <mergeCell ref="S8:S12"/>
    <mergeCell ref="G8:G12"/>
    <mergeCell ref="H8:H12"/>
    <mergeCell ref="I8:I12"/>
    <mergeCell ref="J8:J12"/>
    <mergeCell ref="K8:K12"/>
    <mergeCell ref="L8:L12"/>
    <mergeCell ref="Q13:Q17"/>
    <mergeCell ref="R13:R17"/>
    <mergeCell ref="A8:A12"/>
    <mergeCell ref="B8:B12"/>
    <mergeCell ref="C8:C12"/>
    <mergeCell ref="D8:D12"/>
    <mergeCell ref="E8:E12"/>
    <mergeCell ref="F8:F12"/>
    <mergeCell ref="J3:J7"/>
    <mergeCell ref="K3:K7"/>
    <mergeCell ref="L3:L7"/>
    <mergeCell ref="A1:T1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Q3:Q7"/>
    <mergeCell ref="R3:R7"/>
    <mergeCell ref="S3:S7"/>
    <mergeCell ref="T3:T7"/>
    <mergeCell ref="M3:M7"/>
    <mergeCell ref="N3:N7"/>
    <mergeCell ref="O3:O7"/>
    <mergeCell ref="N103:N107"/>
    <mergeCell ref="O103:O107"/>
    <mergeCell ref="Q103:Q107"/>
    <mergeCell ref="R103:R107"/>
    <mergeCell ref="S103:S107"/>
    <mergeCell ref="A103:A107"/>
    <mergeCell ref="B103:B107"/>
    <mergeCell ref="C103:C107"/>
    <mergeCell ref="D103:D107"/>
    <mergeCell ref="E103:E107"/>
    <mergeCell ref="F103:F107"/>
    <mergeCell ref="G103:G107"/>
    <mergeCell ref="H103:H107"/>
    <mergeCell ref="I103:I107"/>
    <mergeCell ref="T103:T107"/>
    <mergeCell ref="A108:A112"/>
    <mergeCell ref="B108:B112"/>
    <mergeCell ref="C108:C112"/>
    <mergeCell ref="D108:D112"/>
    <mergeCell ref="E108:E112"/>
    <mergeCell ref="F108:F112"/>
    <mergeCell ref="G108:G112"/>
    <mergeCell ref="H108:H112"/>
    <mergeCell ref="I108:I112"/>
    <mergeCell ref="J108:J112"/>
    <mergeCell ref="K108:K112"/>
    <mergeCell ref="L108:L112"/>
    <mergeCell ref="M108:M112"/>
    <mergeCell ref="N108:N112"/>
    <mergeCell ref="O108:O112"/>
    <mergeCell ref="Q108:Q112"/>
    <mergeCell ref="R108:R112"/>
    <mergeCell ref="S108:S112"/>
    <mergeCell ref="T108:T112"/>
    <mergeCell ref="J103:J107"/>
    <mergeCell ref="K103:K107"/>
    <mergeCell ref="L103:L107"/>
    <mergeCell ref="M103:M107"/>
    <mergeCell ref="N113:N117"/>
    <mergeCell ref="O113:O117"/>
    <mergeCell ref="Q113:Q117"/>
    <mergeCell ref="R113:R117"/>
    <mergeCell ref="S113:S117"/>
    <mergeCell ref="A113:A117"/>
    <mergeCell ref="B113:B117"/>
    <mergeCell ref="C113:C117"/>
    <mergeCell ref="D113:D117"/>
    <mergeCell ref="E113:E117"/>
    <mergeCell ref="F113:F117"/>
    <mergeCell ref="G113:G117"/>
    <mergeCell ref="H113:H117"/>
    <mergeCell ref="I113:I117"/>
    <mergeCell ref="T113:T117"/>
    <mergeCell ref="A118:A122"/>
    <mergeCell ref="B118:B122"/>
    <mergeCell ref="C118:C122"/>
    <mergeCell ref="D118:D122"/>
    <mergeCell ref="E118:E122"/>
    <mergeCell ref="F118:F122"/>
    <mergeCell ref="G118:G122"/>
    <mergeCell ref="H118:H122"/>
    <mergeCell ref="I118:I122"/>
    <mergeCell ref="J118:J122"/>
    <mergeCell ref="K118:K122"/>
    <mergeCell ref="L118:L122"/>
    <mergeCell ref="M118:M122"/>
    <mergeCell ref="N118:N122"/>
    <mergeCell ref="O118:O122"/>
    <mergeCell ref="Q118:Q122"/>
    <mergeCell ref="R118:R122"/>
    <mergeCell ref="S118:S122"/>
    <mergeCell ref="T118:T122"/>
    <mergeCell ref="J113:J117"/>
    <mergeCell ref="K113:K117"/>
    <mergeCell ref="L113:L117"/>
    <mergeCell ref="M113:M117"/>
  </mergeCells>
  <hyperlinks>
    <hyperlink ref="B3" r:id="rId1" display="https://fbref.com/en/squads/a2d435b3/Leicester-City-Stats" xr:uid="{EC65CB9A-9AD1-4A5C-9796-39FD5D50B5A5}"/>
    <hyperlink ref="P3" r:id="rId2" display="https://fbref.com/en/matches/4bea4810/Sheffield-Wednesday-Leicester-City-November-29-2023-Championship" xr:uid="{CF5AEA70-B1CF-4D60-95C9-F1C7535E77C0}"/>
    <hyperlink ref="P4" r:id="rId3" display="https://fbref.com/en/matches/dbdccdf9/West-Bromwich-Albion-Leicester-City-December-2-2023-Championship" xr:uid="{E80A1FAD-77C3-46E7-BE74-B7D2AC5FAFF3}"/>
    <hyperlink ref="P5" r:id="rId4" display="https://fbref.com/en/matches/72e20bb7/Leicester-City-Plymouth-Argyle-December-9-2023-Championship" xr:uid="{E30E8AEF-B430-4955-9EC2-CD1D2659E636}"/>
    <hyperlink ref="P6" r:id="rId5" display="https://fbref.com/en/matches/23f8d53e/Leicester-City-Millwall-December-13-2023-Championship" xr:uid="{047CA4EE-7645-47EF-96CF-1990C1BB3353}"/>
    <hyperlink ref="P7" r:id="rId6" display="https://fbref.com/en/matches/125313a9/Birmingham-City-Leicester-City-December-18-2023-Championship" xr:uid="{61D70C92-2C79-4207-97B0-D9BEAE9BEC5E}"/>
    <hyperlink ref="S3" r:id="rId7" display="https://fbref.com/en/players/c924b17d/Mads-Hermansen" xr:uid="{FA485594-34DD-437C-B8D4-7AC2481A3293}"/>
    <hyperlink ref="B8" r:id="rId8" display="https://fbref.com/en/squads/b74092de/Ipswich-Town-Stats" xr:uid="{F860F642-0411-4129-8C4D-E4E30FC9F34E}"/>
    <hyperlink ref="P8" r:id="rId9" display="https://fbref.com/en/matches/d6b40f6f/Ipswich-Town-Millwall-November-29-2023-Championship" xr:uid="{C70797BD-3F99-4D1F-8D8D-AC8C8B223DCB}"/>
    <hyperlink ref="P9" r:id="rId10" display="https://fbref.com/en/matches/b465c2ae/Ipswich-Town-Coventry-City-December-2-2023-Championship" xr:uid="{33BCEFD3-7F54-4571-AC76-93A1CBAC27AD}"/>
    <hyperlink ref="P10" r:id="rId11" display="https://fbref.com/en/matches/b7c0db39/Middlesbrough-Ipswich-Town-December-9-2023-Championship" xr:uid="{458AAA7D-3BF1-4367-B993-AB6D29CCBCF9}"/>
    <hyperlink ref="P11" r:id="rId12" display="https://fbref.com/en/matches/123c4733/Watford-Ipswich-Town-December-12-2023-Championship" xr:uid="{F1E7CA90-788E-4417-B627-9FD5BDE287A4}"/>
    <hyperlink ref="P12" r:id="rId13" display="https://fbref.com/en/matches/45f161d2/Ipswich-Town-Norwich-City-December-16-2023-Championship" xr:uid="{BD2E907F-2263-4A88-9CDC-0899EFF7B58F}"/>
    <hyperlink ref="S8" r:id="rId14" display="https://fbref.com/en/players/6658971d/Vaclav-Hladky" xr:uid="{094C9405-6DA5-43A4-92AD-FD28785EC48F}"/>
    <hyperlink ref="B13" r:id="rId15" display="https://fbref.com/en/squads/5bfb9659/Leeds-United-Stats" xr:uid="{6EBD6A7D-A2FB-47B2-8B10-445D7B274607}"/>
    <hyperlink ref="P13" r:id="rId16" display="https://fbref.com/en/matches/3fc553c1/Leeds-United-Swansea-City-November-29-2023-Championship" xr:uid="{F7C2E8F3-8565-4AE8-B27D-9976C0FBD0B4}"/>
    <hyperlink ref="P14" r:id="rId17" display="https://fbref.com/en/matches/789e1600/Leeds-United-Middlesbrough-December-2-2023-Championship" xr:uid="{D7F7543D-7769-4EF2-9484-B8A86482D349}"/>
    <hyperlink ref="P15" r:id="rId18" display="https://fbref.com/en/matches/fd1dd311/Blackburn-Rovers-Leeds-United-December-9-2023-Championship" xr:uid="{60CDEDDA-0760-4E54-B0E8-34F3581E71A3}"/>
    <hyperlink ref="P16" r:id="rId19" display="https://fbref.com/en/matches/b0ceaa69/Sunderland-Leeds-United-December-12-2023-Championship" xr:uid="{B8ACE8C0-1A90-4578-A647-A4789A288A66}"/>
    <hyperlink ref="P17" r:id="rId20" display="https://fbref.com/en/matches/2d45672e/Leeds-United-Coventry-City-December-16-2023-Championship" xr:uid="{F711B195-BE73-4E82-89D1-562D8EC436B3}"/>
    <hyperlink ref="R13" r:id="rId21" display="https://fbref.com/en/players/df04eb4b/Crysencio-Summerville" xr:uid="{74F1233B-F7C4-4961-B2AE-A49B617A6905}"/>
    <hyperlink ref="S13" r:id="rId22" display="https://fbref.com/en/players/6b625ac2/Illan-Meslier" xr:uid="{37E10B47-8A91-48D5-AF00-E8B43FB0B8A8}"/>
    <hyperlink ref="B18" r:id="rId23" display="https://fbref.com/en/squads/33c895d4/Southampton-Stats" xr:uid="{0694BAC3-64DF-4E82-8E5E-39F194047AA8}"/>
    <hyperlink ref="P18" r:id="rId24" display="https://fbref.com/en/matches/7a3e7fc1/Southampton-Bristol-City-November-29-2023-Championship" xr:uid="{121FA2A9-5BDC-4E2F-81E8-64D38C14FC0C}"/>
    <hyperlink ref="P19" r:id="rId25" display="https://fbref.com/en/matches/3aa56639/Southampton-Cardiff-City-December-2-2023-Championship" xr:uid="{76D3EAF8-D94E-4661-BFF9-90DF34252252}"/>
    <hyperlink ref="P20" r:id="rId26" display="https://fbref.com/en/matches/a140dde9/Watford-Southampton-December-9-2023-Championship" xr:uid="{E43E6FE1-0078-4C3A-A12F-632550F1BAE4}"/>
    <hyperlink ref="P21" r:id="rId27" display="https://fbref.com/en/matches/770ecb91/Coventry-City-Southampton-December-13-2023-Championship" xr:uid="{E3AE0CE0-6294-4FD2-97A7-FD2D238A42F5}"/>
    <hyperlink ref="P22" r:id="rId28" display="https://fbref.com/en/matches/488ad30a/Southampton-Blackburn-Rovers-December-16-2023-Championship" xr:uid="{74D55A2B-078D-4B29-AE40-183681F768F1}"/>
    <hyperlink ref="R18" r:id="rId29" display="https://fbref.com/en/players/68c720b5/Adam-Armstrong" xr:uid="{73D538E0-8FEF-403A-AEED-0461AE85D724}"/>
    <hyperlink ref="S18" r:id="rId30" display="https://fbref.com/en/players/c91441dc/Gavin-Bazunu" xr:uid="{10A6D123-312A-412D-851E-1AC99008E38E}"/>
    <hyperlink ref="B23" r:id="rId31" display="https://fbref.com/en/squads/60c6b05f/West-Bromwich-Albion-Stats" xr:uid="{BCD483EC-44E8-466C-9693-EBF4B371A019}"/>
    <hyperlink ref="P23" r:id="rId32" display="https://fbref.com/en/matches/e62e78c8/Cardiff-City-West-Bromwich-Albion-November-28-2023-Championship" xr:uid="{8C4B5855-17A7-4A76-AE47-D29C3A8E57A2}"/>
    <hyperlink ref="P24" r:id="rId33" display="https://fbref.com/en/matches/dbdccdf9/West-Bromwich-Albion-Leicester-City-December-2-2023-Championship" xr:uid="{470D82E8-C679-489E-B4F4-C3806BD1A4CB}"/>
    <hyperlink ref="P25" r:id="rId34" display="https://fbref.com/en/matches/c572fddd/Sunderland-West-Bromwich-Albion-December-9-2023-Championship" xr:uid="{A5348D06-6445-40C5-9ED8-A7AEF67FCB22}"/>
    <hyperlink ref="P26" r:id="rId35" display="https://fbref.com/en/matches/6ac1c276/Rotherham-United-West-Bromwich-Albion-December-12-2023-Championship" xr:uid="{D4692202-B31E-4A09-98D4-5ACC88DA24C0}"/>
    <hyperlink ref="P27" r:id="rId36" display="https://fbref.com/en/matches/295b1858/West-Bromwich-Albion-Stoke-City-December-17-2023-Championship" xr:uid="{F6329943-CB3A-4940-A1D5-FE664A5B0CDF}"/>
    <hyperlink ref="S23" r:id="rId37" display="https://fbref.com/en/players/6ea97fd5/Alex-Palmer" xr:uid="{39C7C842-4110-43EF-8E2D-BD10E4E7A2AA}"/>
    <hyperlink ref="B28" r:id="rId38" display="https://fbref.com/en/squads/bd8769d1/Hull-City-Stats" xr:uid="{A5952809-29CA-4BB6-A249-0C078F6D8532}"/>
    <hyperlink ref="P28" r:id="rId39" display="https://fbref.com/en/matches/bf2e6470/Hull-City-Rotherham-United-November-28-2023-Championship" xr:uid="{1E5A46AB-D072-45A4-8A35-40B366CE7AB7}"/>
    <hyperlink ref="P29" r:id="rId40" display="https://fbref.com/en/matches/82af1184/Hull-City-Watford-December-2-2023-Championship" xr:uid="{74BC782B-C7A0-4507-AD6E-7A9A7E3B1F2C}"/>
    <hyperlink ref="P30" r:id="rId41" display="https://fbref.com/en/matches/8f2d4278/Queens-Park-Rangers-Hull-City-December-9-2023-Championship" xr:uid="{1C571494-145A-4CA5-9C0A-9D59768EB031}"/>
    <hyperlink ref="P31" r:id="rId42" display="https://fbref.com/en/matches/4a451a77/Middlesbrough-Hull-City-December-13-2023-Championship" xr:uid="{62036FA6-11A6-4511-8683-28677DF1B7FF}"/>
    <hyperlink ref="P32" r:id="rId43" display="https://fbref.com/en/matches/6b14e74f/Hull-City-Cardiff-City-December-16-2023-Championship" xr:uid="{C54AF272-4EC7-4110-952D-EDB9DE986166}"/>
    <hyperlink ref="S28" r:id="rId44" display="https://fbref.com/en/players/af615123/Ryan-Allsop" xr:uid="{E3AD6240-BFA5-4237-AA45-B5394ED57874}"/>
    <hyperlink ref="B33" r:id="rId45" display="https://fbref.com/en/squads/8ef52968/Sunderland-Stats" xr:uid="{A050E710-EDF2-46D5-9186-451713750AB9}"/>
    <hyperlink ref="P33" r:id="rId46" display="https://fbref.com/en/matches/90274f49/Sunderland-Huddersfield-Town-November-29-2023-Championship" xr:uid="{3EA707FD-7544-4D6F-ACD8-6AA6C2083F01}"/>
    <hyperlink ref="P34" r:id="rId47" display="https://fbref.com/en/matches/43ce5ca3/Millwall-Sunderland-December-2-2023-Championship" xr:uid="{42CFBF21-5A00-412B-BF0B-735626FBF867}"/>
    <hyperlink ref="P35" r:id="rId48" display="https://fbref.com/en/matches/c572fddd/Sunderland-West-Bromwich-Albion-December-9-2023-Championship" xr:uid="{BF41AA2A-036C-4BD6-850A-F92B8BC866C8}"/>
    <hyperlink ref="P36" r:id="rId49" display="https://fbref.com/en/matches/b0ceaa69/Sunderland-Leeds-United-December-12-2023-Championship" xr:uid="{D2951A26-172A-4419-A4D8-3B9E76E95CDE}"/>
    <hyperlink ref="P37" r:id="rId50" display="https://fbref.com/en/matches/7637712f/Bristol-City-Sunderland-December-16-2023-Championship" xr:uid="{D833A3C7-0754-4AB1-86BB-A22B4E08CE5D}"/>
    <hyperlink ref="R33" r:id="rId51" display="https://fbref.com/en/players/e16932d8/Jack-Clarke" xr:uid="{328D8CF4-4F09-430B-BD53-785FB37AA15E}"/>
    <hyperlink ref="S33" r:id="rId52" display="https://fbref.com/en/players/b2470c6f/Anthony-Patterson" xr:uid="{7167A781-6CF2-4F14-A276-2DC2EA4FDA68}"/>
    <hyperlink ref="B38" r:id="rId53" display="https://fbref.com/en/squads/22df8478/Preston-North-End-Stats" xr:uid="{23B75360-6A91-4B40-A58A-6EBAC1082B31}"/>
    <hyperlink ref="P38" r:id="rId54" display="https://fbref.com/en/matches/62c0ccb0/Middlesbrough-Preston-North-End-November-28-2023-Championship" xr:uid="{0C52DE80-93C6-45D1-A3AC-885BB459CD64}"/>
    <hyperlink ref="P39" r:id="rId55" display="https://fbref.com/en/matches/ec028a69/Preston-North-End-Queens-Park-Rangers-December-1-2023-Championship" xr:uid="{6A5D0C75-92EC-443F-903B-DB27B9C72BC3}"/>
    <hyperlink ref="P40" r:id="rId56" display="https://fbref.com/en/matches/14152640/Norwich-City-Preston-North-End-December-9-2023-Championship" xr:uid="{FC3E1830-572A-458D-931B-3B11FA0D793A}"/>
    <hyperlink ref="P41" r:id="rId57" display="https://fbref.com/en/matches/eb75c228/Huddersfield-Town-Preston-North-End-December-12-2023-Championship" xr:uid="{9BACFE8B-DD24-4A83-BA8A-64B5312025A2}"/>
    <hyperlink ref="P42" r:id="rId58" display="https://fbref.com/en/matches/da0c1a91/Preston-North-End-Watford-December-16-2023-Championship" xr:uid="{72BB967F-3FB1-45E7-B6FD-463A2E7B9889}"/>
    <hyperlink ref="R38" r:id="rId59" display="https://fbref.com/en/players/fc7f8f87/Will-Keane" xr:uid="{7FB444C4-53B3-498C-BBBA-80F5DAC23DF0}"/>
    <hyperlink ref="S38" r:id="rId60" display="https://fbref.com/en/players/19e50035/Freddie-Woodman" xr:uid="{FE78EF0F-9B54-4B29-A198-737F907C9568}"/>
    <hyperlink ref="B43" r:id="rId61" display="https://fbref.com/en/squads/2abfe087/Watford-Stats" xr:uid="{AE08B7FB-1515-4FF9-B9B9-DE72B5423038}"/>
    <hyperlink ref="P43" r:id="rId62" display="https://fbref.com/en/matches/23239528/Watford-Norwich-City-November-28-2023-Championship" xr:uid="{C331F939-081E-4135-9471-902FFA1FD88E}"/>
    <hyperlink ref="P44" r:id="rId63" display="https://fbref.com/en/matches/82af1184/Hull-City-Watford-December-2-2023-Championship" xr:uid="{29CA6F95-8B66-47E4-BD97-67354627EB02}"/>
    <hyperlink ref="P45" r:id="rId64" display="https://fbref.com/en/matches/a140dde9/Watford-Southampton-December-9-2023-Championship" xr:uid="{51D6EB1D-74ED-4CD2-BD61-6B11D054AE71}"/>
    <hyperlink ref="P46" r:id="rId65" display="https://fbref.com/en/matches/123c4733/Watford-Ipswich-Town-December-12-2023-Championship" xr:uid="{44EF7AA7-C8D2-48B7-877F-A4C1A749832C}"/>
    <hyperlink ref="P47" r:id="rId66" display="https://fbref.com/en/matches/da0c1a91/Preston-North-End-Watford-December-16-2023-Championship" xr:uid="{FE5EFE0D-72FC-40FF-80D3-C9F6A146730E}"/>
    <hyperlink ref="R43" r:id="rId67" display="https://fbref.com/en/players/229da5b2/Mileta-Rajovic" xr:uid="{8E33AC9A-8CF3-45BC-9D93-1F39C83995A4}"/>
    <hyperlink ref="S43" r:id="rId68" display="https://fbref.com/en/players/1c0eea98/Daniel-Bachmann" xr:uid="{4E893B9F-C97F-4BC3-91E5-184A11C32FF5}"/>
    <hyperlink ref="B48" r:id="rId69" display="https://fbref.com/en/squads/1c781004/Norwich-City-Stats" xr:uid="{C6E22101-1F49-43AF-B5E2-8A327B1263A9}"/>
    <hyperlink ref="P48" r:id="rId70" display="https://fbref.com/en/matches/23239528/Watford-Norwich-City-November-28-2023-Championship" xr:uid="{745D3457-D664-49EF-B025-891F52ACD742}"/>
    <hyperlink ref="P49" r:id="rId71" display="https://fbref.com/en/matches/59d10eb0/Bristol-City-Norwich-City-December-3-2023-Championship" xr:uid="{8B1BE267-339D-4646-A68A-76EE7A8FC87D}"/>
    <hyperlink ref="P50" r:id="rId72" display="https://fbref.com/en/matches/14152640/Norwich-City-Preston-North-End-December-9-2023-Championship" xr:uid="{BEC39C75-5FF4-4331-B043-64B65604540A}"/>
    <hyperlink ref="P51" r:id="rId73" display="https://fbref.com/en/matches/1e86e0f1/Norwich-City-Sheffield-Wednesday-December-13-2023-Championship" xr:uid="{EDA84571-9236-499E-B198-6247D76CF583}"/>
    <hyperlink ref="P52" r:id="rId74" display="https://fbref.com/en/matches/45f161d2/Ipswich-Town-Norwich-City-December-16-2023-Championship" xr:uid="{3C0279CB-A2FB-44DE-809D-C2D6742166EA}"/>
    <hyperlink ref="R48" r:id="rId75" display="https://fbref.com/en/players/8c12f884/Jon-Rowe" xr:uid="{8B2A06F8-7AEE-4E64-A8A0-80185FA9D89E}"/>
    <hyperlink ref="S48" r:id="rId76" display="https://fbref.com/en/players/e082af5b/Angus-Gunn" xr:uid="{126EAC30-A012-4F21-BE93-21EF9DB1FC61}"/>
    <hyperlink ref="B53" r:id="rId77" display="https://fbref.com/en/squads/e090f40b/Blackburn-Rovers-Stats" xr:uid="{ED323EFA-07D8-4B34-A036-7A7BA22958EF}"/>
    <hyperlink ref="P53" r:id="rId78" display="https://fbref.com/en/matches/c7fa7591/Blackburn-Rovers-Birmingham-City-November-29-2023-Championship" xr:uid="{A629177D-8CFE-496C-90AF-F56F092C540C}"/>
    <hyperlink ref="P54" r:id="rId79" display="https://fbref.com/en/matches/5eaeec05/Sheffield-Wednesday-Blackburn-Rovers-December-2-2023-Championship" xr:uid="{56E1AE0D-2E6C-4BAE-A79B-4A2EA51D68EE}"/>
    <hyperlink ref="P55" r:id="rId80" display="https://fbref.com/en/matches/fd1dd311/Blackburn-Rovers-Leeds-United-December-9-2023-Championship" xr:uid="{13040A06-23C3-4ECD-8F0E-F8D5B42D6ED2}"/>
    <hyperlink ref="P56" r:id="rId81" display="https://fbref.com/en/matches/4a81369b/Blackburn-Rovers-Bristol-City-December-12-2023-Championship" xr:uid="{28702D77-1F00-4605-A948-E8B2461FE2F3}"/>
    <hyperlink ref="P57" r:id="rId82" display="https://fbref.com/en/matches/488ad30a/Southampton-Blackburn-Rovers-December-16-2023-Championship" xr:uid="{85E605E9-10B0-4C19-A786-0E72500A4BF3}"/>
    <hyperlink ref="R53" r:id="rId83" display="https://fbref.com/en/players/39944392/Sammie-Szmodics" xr:uid="{0384195D-FD4A-458A-9709-008F8489A19B}"/>
    <hyperlink ref="S53" r:id="rId84" display="https://fbref.com/en/players/9b26a433/Leopold-Wahlstedt" xr:uid="{4774FB6A-A9C2-451F-AED6-0EE9AC60FAA0}"/>
    <hyperlink ref="B58" r:id="rId85" display="https://fbref.com/en/squads/75fae011/Cardiff-City-Stats" xr:uid="{C5CA252D-7877-4E50-BC4D-D92F5D1D2145}"/>
    <hyperlink ref="P58" r:id="rId86" display="https://fbref.com/en/matches/e62e78c8/Cardiff-City-West-Bromwich-Albion-November-28-2023-Championship" xr:uid="{16A2F75B-58BC-4EE7-B22F-090947573308}"/>
    <hyperlink ref="P59" r:id="rId87" display="https://fbref.com/en/matches/3aa56639/Southampton-Cardiff-City-December-2-2023-Championship" xr:uid="{51586556-AA26-4CDF-9C08-03CE1F643B53}"/>
    <hyperlink ref="P60" r:id="rId88" display="https://fbref.com/en/matches/0025a68e/Cardiff-City-Millwall-December-9-2023-Championship" xr:uid="{43EEA551-0088-48D8-8CB7-28E70757D0FB}"/>
    <hyperlink ref="P61" r:id="rId89" display="https://fbref.com/en/matches/56fef867/Cardiff-City-Birmingham-City-December-13-2023-Championship" xr:uid="{5DCF8CAC-3AE9-4967-92F6-FA59B04032AD}"/>
    <hyperlink ref="P62" r:id="rId90" display="https://fbref.com/en/matches/6b14e74f/Hull-City-Cardiff-City-December-16-2023-Championship" xr:uid="{A5F16117-37D0-41ED-99CF-993122EFC1BE}"/>
    <hyperlink ref="R58" r:id="rId91" display="https://fbref.com/en/players/8a53d24b/Ike-Ugbo" xr:uid="{CC771508-EFB8-4118-9638-000FC8AFD082}"/>
    <hyperlink ref="S58" r:id="rId92" display="https://fbref.com/en/players/b0835fc0/Jak-Alnwick" xr:uid="{6586E655-6C3E-4E19-A247-C6C55A0F4641}"/>
    <hyperlink ref="B63" r:id="rId93" display="https://fbref.com/en/squads/7f59c601/Middlesbrough-Stats" xr:uid="{43334FCC-7E4C-4998-9D20-1E0449B72464}"/>
    <hyperlink ref="P63" r:id="rId94" display="https://fbref.com/en/matches/62c0ccb0/Middlesbrough-Preston-North-End-November-28-2023-Championship" xr:uid="{A1A0B701-D957-4BB1-90D4-F4FEC40F2F7A}"/>
    <hyperlink ref="P64" r:id="rId95" display="https://fbref.com/en/matches/789e1600/Leeds-United-Middlesbrough-December-2-2023-Championship" xr:uid="{B928EFB6-FB6D-412E-BD44-D8885EB2E4C9}"/>
    <hyperlink ref="P65" r:id="rId96" display="https://fbref.com/en/matches/b7c0db39/Middlesbrough-Ipswich-Town-December-9-2023-Championship" xr:uid="{28E2755D-2FF7-4523-9AB8-156F8627BBF0}"/>
    <hyperlink ref="P66" r:id="rId97" display="https://fbref.com/en/matches/4a451a77/Middlesbrough-Hull-City-December-13-2023-Championship" xr:uid="{1DFD9E0D-3ADB-4746-A39E-CC4509A2C4F8}"/>
    <hyperlink ref="P67" r:id="rId98" display="https://fbref.com/en/matches/abc1b3ee/Swansea-City-Middlesbrough-December-16-2023-Championship" xr:uid="{0CE296B2-7155-428E-8004-62FB8ADA61AB}"/>
    <hyperlink ref="S63" r:id="rId99" display="https://fbref.com/en/players/c135cddd/Seny-Dieng" xr:uid="{E90C2B0B-C97D-4207-B498-6BC83BF2A13C}"/>
    <hyperlink ref="B68" r:id="rId100" display="https://fbref.com/en/squads/93493607/Bristol-City-Stats" xr:uid="{1E0CC03E-1C74-4BD7-9357-0359F7D62761}"/>
    <hyperlink ref="P68" r:id="rId101" display="https://fbref.com/en/matches/7a3e7fc1/Southampton-Bristol-City-November-29-2023-Championship" xr:uid="{5724EF0A-65CA-4343-A205-06678319150A}"/>
    <hyperlink ref="P69" r:id="rId102" display="https://fbref.com/en/matches/59d10eb0/Bristol-City-Norwich-City-December-3-2023-Championship" xr:uid="{8F04BFE1-4130-479E-AEF0-C16440C261F7}"/>
    <hyperlink ref="P70" r:id="rId103" display="https://fbref.com/en/matches/9f9446e1/Huddersfield-Town-Bristol-City-December-9-2023-Championship" xr:uid="{587326CA-5EC5-4D61-823E-8348AB346B65}"/>
    <hyperlink ref="P71" r:id="rId104" display="https://fbref.com/en/matches/4a81369b/Blackburn-Rovers-Bristol-City-December-12-2023-Championship" xr:uid="{9091F7EA-08BF-483D-8CD6-BD99FC28786C}"/>
    <hyperlink ref="P72" r:id="rId105" display="https://fbref.com/en/matches/7637712f/Bristol-City-Sunderland-December-16-2023-Championship" xr:uid="{A24B9529-8E94-423F-A388-73C5F0834FCC}"/>
    <hyperlink ref="R68" r:id="rId106" display="https://fbref.com/en/players/746a92c5/Tommy-Conway" xr:uid="{B6DCADE7-4430-4F79-8992-3802E95083CA}"/>
    <hyperlink ref="S68" r:id="rId107" display="https://fbref.com/en/players/a77c1ce8/Max-OLeary" xr:uid="{24D060F6-B5B5-413C-943D-44F70E6235BF}"/>
    <hyperlink ref="B73" r:id="rId108" display="https://fbref.com/en/squads/f7e3dfe9/Coventry-City-Stats" xr:uid="{7C1035D5-EFA5-4AF8-B1D4-A23E2143EED8}"/>
    <hyperlink ref="P73" r:id="rId109" display="https://fbref.com/en/matches/c52805c6/Coventry-City-Plymouth-Argyle-November-28-2023-Championship" xr:uid="{C83C16FC-D3D1-4381-BD11-A1204DF747E6}"/>
    <hyperlink ref="P74" r:id="rId110" display="https://fbref.com/en/matches/b465c2ae/Ipswich-Town-Coventry-City-December-2-2023-Championship" xr:uid="{1B2A904C-2C26-4B10-ADCA-BE208E5DABEA}"/>
    <hyperlink ref="P75" r:id="rId111" display="https://fbref.com/en/matches/ca335bfb/Coventry-City-Birmingham-City-December-8-2023-Championship" xr:uid="{6A80563E-AB75-450A-B40D-E44A8E3B739D}"/>
    <hyperlink ref="P76" r:id="rId112" display="https://fbref.com/en/matches/770ecb91/Coventry-City-Southampton-December-13-2023-Championship" xr:uid="{147AC9E5-FCE4-41B7-AE7A-D9D5923E2FCF}"/>
    <hyperlink ref="P77" r:id="rId113" display="https://fbref.com/en/matches/2d45672e/Leeds-United-Coventry-City-December-16-2023-Championship" xr:uid="{7DF2647E-D69D-4850-9E73-BB88D3508B09}"/>
    <hyperlink ref="S73" r:id="rId114" display="https://fbref.com/en/players/0118dd71/Ben-Wilson" xr:uid="{15D2A16E-A185-45B1-99B7-0F83491652FC}"/>
    <hyperlink ref="B78" r:id="rId115" display="https://fbref.com/en/squads/32a1480e/Plymouth-Argyle-Stats" xr:uid="{D6A6B123-E99F-4533-A9C7-58F4194AD0F0}"/>
    <hyperlink ref="P78" r:id="rId116" display="https://fbref.com/en/matches/c52805c6/Coventry-City-Plymouth-Argyle-November-28-2023-Championship" xr:uid="{309F4A63-28D0-48CF-8ECD-B86E48A29056}"/>
    <hyperlink ref="P79" r:id="rId117" display="https://fbref.com/en/matches/870665ac/Plymouth-Argyle-Stoke-City-December-2-2023-Championship" xr:uid="{AC33018C-B9AD-465E-97D0-8D5A5F978485}"/>
    <hyperlink ref="P80" r:id="rId118" display="https://fbref.com/en/matches/72e20bb7/Leicester-City-Plymouth-Argyle-December-9-2023-Championship" xr:uid="{E8D2AEAE-5982-4EB3-9ADA-81A04175D6E2}"/>
    <hyperlink ref="P81" r:id="rId119" display="https://fbref.com/en/matches/96460b03/Queens-Park-Rangers-Plymouth-Argyle-December-13-2023-Championship" xr:uid="{7E51B3E0-522E-47AA-9DAF-DF691782349D}"/>
    <hyperlink ref="P82" r:id="rId120" display="https://fbref.com/en/matches/18309441/Plymouth-Argyle-Rotherham-United-December-16-2023-Championship" xr:uid="{1B20A569-67DF-4A3A-9017-EEF31E2F33DD}"/>
    <hyperlink ref="R78" r:id="rId121" display="https://fbref.com/en/players/d3d49142/Morgan-Whittaker" xr:uid="{8E3405EE-BB00-4987-A148-CD980C8B4B15}"/>
    <hyperlink ref="S78" r:id="rId122" display="https://fbref.com/en/players/10161491/Conor-Hazard" xr:uid="{B83F456F-A503-46F4-8B25-696B61FB2B13}"/>
    <hyperlink ref="B83" r:id="rId123" display="https://fbref.com/en/squads/ec79b7c2/Birmingham-City-Stats" xr:uid="{E6EBCEC6-0648-455C-BD9C-089425BF52CD}"/>
    <hyperlink ref="P83" r:id="rId124" display="https://fbref.com/en/matches/c7fa7591/Blackburn-Rovers-Birmingham-City-November-29-2023-Championship" xr:uid="{75AD4881-6753-444C-B445-81D0BA6A0274}"/>
    <hyperlink ref="P84" r:id="rId125" display="https://fbref.com/en/matches/a1dcc7a2/Birmingham-City-Rotherham-United-December-2-2023-Championship" xr:uid="{A0E43FDC-22D1-49CA-A238-89FC10558096}"/>
    <hyperlink ref="P85" r:id="rId126" display="https://fbref.com/en/matches/ca335bfb/Coventry-City-Birmingham-City-December-8-2023-Championship" xr:uid="{60D65B41-33C7-40E8-9043-A429EB94D123}"/>
    <hyperlink ref="P86" r:id="rId127" display="https://fbref.com/en/matches/56fef867/Cardiff-City-Birmingham-City-December-13-2023-Championship" xr:uid="{CB116BDA-BD6C-4064-8B29-CFBF5DC98B4E}"/>
    <hyperlink ref="P87" r:id="rId128" display="https://fbref.com/en/matches/125313a9/Birmingham-City-Leicester-City-December-18-2023-Championship" xr:uid="{CF3CAD46-E122-43AB-B325-7145B17FD232}"/>
    <hyperlink ref="S83" r:id="rId129" display="https://fbref.com/en/players/da8b19e2/John-Ruddy" xr:uid="{D36200DC-369B-4014-B936-B1A5494C2814}"/>
    <hyperlink ref="B88" r:id="rId130" display="https://fbref.com/en/squads/fb10988f/Swansea-City-Stats" xr:uid="{937A93FE-B970-437A-A414-35073F089E3F}"/>
    <hyperlink ref="P88" r:id="rId131" display="https://fbref.com/en/matches/3fc553c1/Leeds-United-Swansea-City-November-29-2023-Championship" xr:uid="{8FB16C52-ADB0-4D92-8A1B-7E4E779456BB}"/>
    <hyperlink ref="P89" r:id="rId132" display="https://fbref.com/en/matches/eaef7661/Swansea-City-Huddersfield-Town-December-2-2023-Championship" xr:uid="{2C363461-4926-4DD9-9E5D-AC11DA9591C1}"/>
    <hyperlink ref="P90" r:id="rId133" display="https://fbref.com/en/matches/255322ba/Rotherham-United-Swansea-City-December-9-2023-Championship" xr:uid="{26BA65B6-9269-4E92-AB52-5565A0AD920A}"/>
    <hyperlink ref="P91" r:id="rId134" display="https://fbref.com/en/matches/2b84dbda/Stoke-City-Swansea-City-December-12-2023-Championship" xr:uid="{ED502EAE-8DA5-48A3-AC11-0DB7CBB5BF85}"/>
    <hyperlink ref="P92" r:id="rId135" display="https://fbref.com/en/matches/abc1b3ee/Swansea-City-Middlesbrough-December-16-2023-Championship" xr:uid="{A11081D5-F6FB-4458-AC25-249AC724D066}"/>
    <hyperlink ref="R88" r:id="rId136" display="https://fbref.com/en/players/637047f7/Jerry-Yates" xr:uid="{F131CA84-5D84-44FC-AA09-170CE916BDDB}"/>
    <hyperlink ref="S88" r:id="rId137" display="https://fbref.com/en/players/810912d5/Carl-Rushworth" xr:uid="{6C15700E-648A-42E0-A982-C371CF7B23F9}"/>
    <hyperlink ref="B93" r:id="rId138" display="https://fbref.com/en/squads/17892952/Stoke-City-Stats" xr:uid="{61F9784C-A81B-4C54-9230-9E2283CB91B9}"/>
    <hyperlink ref="P93" r:id="rId139" display="https://fbref.com/en/matches/316717de/Queens-Park-Rangers-Stoke-City-November-28-2023-Championship" xr:uid="{0784A748-CB92-414F-8435-8F18C5A2DCC5}"/>
    <hyperlink ref="P94" r:id="rId140" display="https://fbref.com/en/matches/870665ac/Plymouth-Argyle-Stoke-City-December-2-2023-Championship" xr:uid="{0260CD99-E99C-4427-B026-11AF86D0D493}"/>
    <hyperlink ref="P95" r:id="rId141" display="https://fbref.com/en/matches/1b30c4ef/Stoke-City-Sheffield-Wednesday-December-9-2023-Championship" xr:uid="{8A841A06-C967-4DFA-87D0-C16ED67C7365}"/>
    <hyperlink ref="P96" r:id="rId142" display="https://fbref.com/en/matches/2b84dbda/Stoke-City-Swansea-City-December-12-2023-Championship" xr:uid="{7FF94B11-2614-4765-BAC7-B09B5784E10A}"/>
    <hyperlink ref="P97" r:id="rId143" display="https://fbref.com/en/matches/295b1858/West-Bromwich-Albion-Stoke-City-December-17-2023-Championship" xr:uid="{BF8D192D-1937-403B-987F-FDF1962F9CCA}"/>
    <hyperlink ref="R93" r:id="rId144" display="https://fbref.com/en/players/3f332394/Andre-Vidigal" xr:uid="{8380C11E-DB05-4918-8F0E-F40C0596CE63}"/>
    <hyperlink ref="S93" r:id="rId145" display="https://fbref.com/en/players/fe558029/Mark-Travers" xr:uid="{092970CF-4B10-4945-9468-10358326DC41}"/>
    <hyperlink ref="B98" r:id="rId146" display="https://fbref.com/en/squads/e3c537a1/Millwall-Stats" xr:uid="{A73FFD01-F934-49AB-9BCF-BFA775836F06}"/>
    <hyperlink ref="P98" r:id="rId147" display="https://fbref.com/en/matches/d6b40f6f/Ipswich-Town-Millwall-November-29-2023-Championship" xr:uid="{33A8BC78-F10D-44AE-8209-D4B3F871B03F}"/>
    <hyperlink ref="P99" r:id="rId148" display="https://fbref.com/en/matches/43ce5ca3/Millwall-Sunderland-December-2-2023-Championship" xr:uid="{8D078EDA-5524-4B76-B5E9-199F61200EDF}"/>
    <hyperlink ref="P100" r:id="rId149" display="https://fbref.com/en/matches/0025a68e/Cardiff-City-Millwall-December-9-2023-Championship" xr:uid="{A3F8BEEA-AC43-4D09-8887-1F35CD9903D5}"/>
    <hyperlink ref="P101" r:id="rId150" display="https://fbref.com/en/matches/23f8d53e/Leicester-City-Millwall-December-13-2023-Championship" xr:uid="{852DB40F-BC61-4E99-99B1-86CDE122B996}"/>
    <hyperlink ref="P102" r:id="rId151" display="https://fbref.com/en/matches/e313dfd5/Millwall-Huddersfield-Town-December-16-2023-Championship" xr:uid="{8BD578D3-170A-494A-98E2-CF95471F0B6B}"/>
    <hyperlink ref="R98" r:id="rId152" display="https://fbref.com/en/players/9f9f2ca7/Kevin-Nisbet" xr:uid="{B3B4AC65-427C-4041-A1BA-5DB261912D6B}"/>
    <hyperlink ref="S98" r:id="rId153" display="https://fbref.com/en/players/4b5e809f/Bartosz-Bialkowski" xr:uid="{3AD20F40-15E4-468A-8FC3-647E5D0B1D47}"/>
    <hyperlink ref="B103" r:id="rId154" display="https://fbref.com/en/squads/f5922ca5/Huddersfield-Town-Stats" xr:uid="{E9CF5084-8523-4F66-B31D-B7CF7EA1D90C}"/>
    <hyperlink ref="P103" r:id="rId155" display="https://fbref.com/en/matches/90274f49/Sunderland-Huddersfield-Town-November-29-2023-Championship" xr:uid="{AA4BEAA2-1D5E-4BF3-AA48-D70D744A8806}"/>
    <hyperlink ref="P104" r:id="rId156" display="https://fbref.com/en/matches/eaef7661/Swansea-City-Huddersfield-Town-December-2-2023-Championship" xr:uid="{FBAC0976-AEC0-4E09-AD3D-FA683CA11DEA}"/>
    <hyperlink ref="P105" r:id="rId157" display="https://fbref.com/en/matches/9f9446e1/Huddersfield-Town-Bristol-City-December-9-2023-Championship" xr:uid="{E64095BC-490E-4A39-A1E7-3BB8D4490B1F}"/>
    <hyperlink ref="P106" r:id="rId158" display="https://fbref.com/en/matches/eb75c228/Huddersfield-Town-Preston-North-End-December-12-2023-Championship" xr:uid="{1C35F20D-5EEB-494D-83D3-083716134494}"/>
    <hyperlink ref="P107" r:id="rId159" display="https://fbref.com/en/matches/e313dfd5/Millwall-Huddersfield-Town-December-16-2023-Championship" xr:uid="{A1325048-879C-4ED0-AE5F-64658E6A5B82}"/>
    <hyperlink ref="S103" r:id="rId160" display="https://fbref.com/en/players/b105cebe/Lee-Nicholls" xr:uid="{85631980-601D-4693-A831-4F41F1B9384B}"/>
    <hyperlink ref="B108" r:id="rId161" display="https://fbref.com/en/squads/a757999c/Queens-Park-Rangers-Stats" xr:uid="{34512724-36E3-45E5-919C-C92603386C6A}"/>
    <hyperlink ref="P108" r:id="rId162" display="https://fbref.com/en/matches/316717de/Queens-Park-Rangers-Stoke-City-November-28-2023-Championship" xr:uid="{32A3DA43-04B4-4165-84AD-DA7C706306A4}"/>
    <hyperlink ref="P109" r:id="rId163" display="https://fbref.com/en/matches/ec028a69/Preston-North-End-Queens-Park-Rangers-December-1-2023-Championship" xr:uid="{F640473F-6368-40F0-B97B-A6FA796F92DA}"/>
    <hyperlink ref="P110" r:id="rId164" display="https://fbref.com/en/matches/8f2d4278/Queens-Park-Rangers-Hull-City-December-9-2023-Championship" xr:uid="{3E376814-6C4C-41EE-B6BB-60DB2F4D2147}"/>
    <hyperlink ref="P111" r:id="rId165" display="https://fbref.com/en/matches/96460b03/Queens-Park-Rangers-Plymouth-Argyle-December-13-2023-Championship" xr:uid="{10E83DE7-BADA-41A8-86A0-EF95F8E3BF2F}"/>
    <hyperlink ref="P112" r:id="rId166" display="https://fbref.com/en/matches/8e6fa20c/Sheffield-Wednesday-Queens-Park-Rangers-December-16-2023-Championship" xr:uid="{800F8982-77F7-4FBF-8E0F-DF6C114F8F67}"/>
    <hyperlink ref="S108" r:id="rId167" display="https://fbref.com/en/players/7b4de647/Asmir-Begovic" xr:uid="{AAE0657A-F548-45C7-9893-B707024CB56E}"/>
    <hyperlink ref="B113" r:id="rId168" display="https://fbref.com/en/squads/bba7d733/Sheffield-Wednesday-Stats" xr:uid="{99A5D34A-47AD-433E-91DA-C0820D6F58A8}"/>
    <hyperlink ref="P113" r:id="rId169" display="https://fbref.com/en/matches/4bea4810/Sheffield-Wednesday-Leicester-City-November-29-2023-Championship" xr:uid="{3D623B99-254A-4435-BBB8-F4B1B53F2166}"/>
    <hyperlink ref="P114" r:id="rId170" display="https://fbref.com/en/matches/5eaeec05/Sheffield-Wednesday-Blackburn-Rovers-December-2-2023-Championship" xr:uid="{4CDAE047-C105-40D7-A782-2F1886793902}"/>
    <hyperlink ref="P115" r:id="rId171" display="https://fbref.com/en/matches/1b30c4ef/Stoke-City-Sheffield-Wednesday-December-9-2023-Championship" xr:uid="{28CF3A5B-2FAB-4C7C-8427-A472E04AC8B5}"/>
    <hyperlink ref="P116" r:id="rId172" display="https://fbref.com/en/matches/1e86e0f1/Norwich-City-Sheffield-Wednesday-December-13-2023-Championship" xr:uid="{14710102-2306-48AA-BC35-386AEC0C677E}"/>
    <hyperlink ref="P117" r:id="rId173" display="https://fbref.com/en/matches/8e6fa20c/Sheffield-Wednesday-Queens-Park-Rangers-December-16-2023-Championship" xr:uid="{4C32FF09-D9EB-4FB7-AD5C-D4F10AC61DFF}"/>
    <hyperlink ref="S113" r:id="rId174" display="https://fbref.com/en/players/872891bc/Cameron-Dawson" xr:uid="{3AC7365E-B79B-425A-A151-3C6E36559141}"/>
    <hyperlink ref="B118" r:id="rId175" display="https://fbref.com/en/squads/375d66f1/Rotherham-United-Stats" xr:uid="{C51930B5-3DAE-4D09-9525-BD1F4DB4E35B}"/>
    <hyperlink ref="P118" r:id="rId176" display="https://fbref.com/en/matches/bf2e6470/Hull-City-Rotherham-United-November-28-2023-Championship" xr:uid="{E263AB81-7119-40C2-A108-67EA05722599}"/>
    <hyperlink ref="P119" r:id="rId177" display="https://fbref.com/en/matches/a1dcc7a2/Birmingham-City-Rotherham-United-December-2-2023-Championship" xr:uid="{892DC996-D14C-436E-82EC-1878AD3ABF34}"/>
    <hyperlink ref="P120" r:id="rId178" display="https://fbref.com/en/matches/255322ba/Rotherham-United-Swansea-City-December-9-2023-Championship" xr:uid="{B32EF23D-3453-45B1-AFF1-A1678BCE36A5}"/>
    <hyperlink ref="P121" r:id="rId179" display="https://fbref.com/en/matches/6ac1c276/Rotherham-United-West-Bromwich-Albion-December-12-2023-Championship" xr:uid="{3BDA3213-F678-4BAC-A01B-C1EA3F74EDD0}"/>
    <hyperlink ref="P122" r:id="rId180" display="https://fbref.com/en/matches/18309441/Plymouth-Argyle-Rotherham-United-December-16-2023-Championship" xr:uid="{C3E9B73A-2A3E-4513-A010-E84C69A9AAF8}"/>
    <hyperlink ref="S118" r:id="rId181" display="https://fbref.com/en/players/e4a588a7/Viktor-Johansson" xr:uid="{E983E139-86CC-4BB4-AFCC-87EDAE1D3FA3}"/>
  </hyperlinks>
  <pageMargins left="0.7" right="0.7" top="0.75" bottom="0.75" header="0.3" footer="0.3"/>
  <pageSetup orientation="portrait" horizontalDpi="4294967293" verticalDpi="0" r:id="rId18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3ED2-FF11-41FC-B0D9-85382960123C}">
  <sheetPr codeName="Sheet11"/>
  <dimension ref="A1:AF27"/>
  <sheetViews>
    <sheetView topLeftCell="A2" zoomScaleNormal="100" workbookViewId="0">
      <selection activeCell="J30" sqref="J30"/>
    </sheetView>
  </sheetViews>
  <sheetFormatPr defaultColWidth="10.42578125" defaultRowHeight="26.25" customHeight="1" x14ac:dyDescent="0.25"/>
  <cols>
    <col min="1" max="1" width="17.85546875" bestFit="1" customWidth="1"/>
    <col min="3" max="3" width="11.140625" customWidth="1"/>
    <col min="32" max="32" width="17.85546875" bestFit="1" customWidth="1"/>
  </cols>
  <sheetData>
    <row r="1" spans="1:32" ht="12.75" hidden="1" customHeight="1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</row>
    <row r="2" spans="1:32" ht="26.25" customHeight="1" x14ac:dyDescent="0.25">
      <c r="A2" s="17" t="s">
        <v>117</v>
      </c>
      <c r="B2" s="17" t="s">
        <v>116</v>
      </c>
      <c r="C2" s="17" t="s">
        <v>189</v>
      </c>
      <c r="D2" s="17" t="s">
        <v>188</v>
      </c>
      <c r="E2" s="17" t="s">
        <v>168</v>
      </c>
      <c r="F2" s="17" t="s">
        <v>169</v>
      </c>
      <c r="G2" s="17" t="s">
        <v>170</v>
      </c>
      <c r="H2" s="17" t="s">
        <v>171</v>
      </c>
      <c r="I2" s="17" t="s">
        <v>172</v>
      </c>
      <c r="J2" s="17" t="s">
        <v>173</v>
      </c>
      <c r="K2" s="17" t="s">
        <v>174</v>
      </c>
      <c r="L2" s="17" t="s">
        <v>175</v>
      </c>
      <c r="M2" s="17" t="s">
        <v>176</v>
      </c>
      <c r="N2" s="17" t="s">
        <v>177</v>
      </c>
      <c r="O2" s="17" t="s">
        <v>178</v>
      </c>
      <c r="P2" s="17" t="s">
        <v>179</v>
      </c>
      <c r="Q2" s="17" t="s">
        <v>180</v>
      </c>
      <c r="R2" s="17" t="s">
        <v>181</v>
      </c>
      <c r="S2" s="17" t="s">
        <v>182</v>
      </c>
      <c r="T2" s="17" t="s">
        <v>183</v>
      </c>
      <c r="U2" s="17" t="s">
        <v>184</v>
      </c>
      <c r="V2" s="17" t="s">
        <v>185</v>
      </c>
      <c r="W2" s="17" t="s">
        <v>186</v>
      </c>
      <c r="X2" s="17" t="s">
        <v>187</v>
      </c>
      <c r="Y2" s="17" t="s">
        <v>483</v>
      </c>
      <c r="Z2" s="17" t="s">
        <v>484</v>
      </c>
      <c r="AA2" s="17" t="s">
        <v>485</v>
      </c>
      <c r="AB2" s="17" t="s">
        <v>486</v>
      </c>
      <c r="AE2" s="78" t="s">
        <v>254</v>
      </c>
      <c r="AF2" s="78"/>
    </row>
    <row r="3" spans="1:32" ht="26.25" customHeight="1" x14ac:dyDescent="0.25">
      <c r="A3" s="9" t="str">
        <f>Table_Raw!B3</f>
        <v>Leicester City</v>
      </c>
      <c r="B3" s="9">
        <f>Table_Raw!A3</f>
        <v>1</v>
      </c>
      <c r="C3" s="9">
        <f>Table_Raw!C3</f>
        <v>22</v>
      </c>
      <c r="D3" s="9">
        <f>Table_Raw!J3</f>
        <v>55</v>
      </c>
      <c r="E3" s="24">
        <f>COUNTIF(INDEX('Table Prediction Calculations'!$V$102:$AS$1101,0,MATCH($A3,'Table Prediction Calculations'!$V$100:$AS$100,0)),E$1)/1000</f>
        <v>0.95599999999999996</v>
      </c>
      <c r="F3" s="24">
        <f>COUNTIF(INDEX('Table Prediction Calculations'!$V$102:$AS$1101,0,MATCH($A3,'Table Prediction Calculations'!$V$100:$AS$100,0)),F$1)/1000</f>
        <v>4.2999999999999997E-2</v>
      </c>
      <c r="G3" s="24">
        <f>COUNTIF(INDEX('Table Prediction Calculations'!$V$102:$AS$1101,0,MATCH($A3,'Table Prediction Calculations'!$V$100:$AS$100,0)),G$1)/1000</f>
        <v>1E-3</v>
      </c>
      <c r="H3" s="24">
        <f>COUNTIF(INDEX('Table Prediction Calculations'!$V$102:$AS$1101,0,MATCH($A3,'Table Prediction Calculations'!$V$100:$AS$100,0)),H$1)/1000</f>
        <v>0</v>
      </c>
      <c r="I3" s="24">
        <f>COUNTIF(INDEX('Table Prediction Calculations'!$V$102:$AS$1101,0,MATCH($A3,'Table Prediction Calculations'!$V$100:$AS$100,0)),I$1)/1000</f>
        <v>0</v>
      </c>
      <c r="J3" s="24">
        <f>COUNTIF(INDEX('Table Prediction Calculations'!$V$102:$AS$1101,0,MATCH($A3,'Table Prediction Calculations'!$V$100:$AS$100,0)),J$1)/1000</f>
        <v>0</v>
      </c>
      <c r="K3" s="24">
        <f>COUNTIF(INDEX('Table Prediction Calculations'!$V$102:$AS$1101,0,MATCH($A3,'Table Prediction Calculations'!$V$100:$AS$100,0)),K$1)/1000</f>
        <v>0</v>
      </c>
      <c r="L3" s="24">
        <f>COUNTIF(INDEX('Table Prediction Calculations'!$V$102:$AS$1101,0,MATCH($A3,'Table Prediction Calculations'!$V$100:$AS$100,0)),L$1)/1000</f>
        <v>0</v>
      </c>
      <c r="M3" s="24">
        <f>COUNTIF(INDEX('Table Prediction Calculations'!$V$102:$AS$1101,0,MATCH($A3,'Table Prediction Calculations'!$V$100:$AS$100,0)),M$1)/1000</f>
        <v>0</v>
      </c>
      <c r="N3" s="24">
        <f>COUNTIF(INDEX('Table Prediction Calculations'!$V$102:$AS$1101,0,MATCH($A3,'Table Prediction Calculations'!$V$100:$AS$100,0)),N$1)/1000</f>
        <v>0</v>
      </c>
      <c r="O3" s="24">
        <f>COUNTIF(INDEX('Table Prediction Calculations'!$V$102:$AS$1101,0,MATCH($A3,'Table Prediction Calculations'!$V$100:$AS$100,0)),O$1)/1000</f>
        <v>0</v>
      </c>
      <c r="P3" s="24">
        <f>COUNTIF(INDEX('Table Prediction Calculations'!$V$102:$AS$1101,0,MATCH($A3,'Table Prediction Calculations'!$V$100:$AS$100,0)),P$1)/1000</f>
        <v>0</v>
      </c>
      <c r="Q3" s="24">
        <f>COUNTIF(INDEX('Table Prediction Calculations'!$V$102:$AS$1101,0,MATCH($A3,'Table Prediction Calculations'!$V$100:$AS$100,0)),Q$1)/1000</f>
        <v>0</v>
      </c>
      <c r="R3" s="24">
        <f>COUNTIF(INDEX('Table Prediction Calculations'!$V$102:$AS$1101,0,MATCH($A3,'Table Prediction Calculations'!$V$100:$AS$100,0)),R$1)/1000</f>
        <v>0</v>
      </c>
      <c r="S3" s="24">
        <f>COUNTIF(INDEX('Table Prediction Calculations'!$V$102:$AS$1101,0,MATCH($A3,'Table Prediction Calculations'!$V$100:$AS$100,0)),S$1)/1000</f>
        <v>0</v>
      </c>
      <c r="T3" s="24">
        <f>COUNTIF(INDEX('Table Prediction Calculations'!$V$102:$AS$1101,0,MATCH($A3,'Table Prediction Calculations'!$V$100:$AS$100,0)),T$1)/1000</f>
        <v>0</v>
      </c>
      <c r="U3" s="24">
        <f>COUNTIF(INDEX('Table Prediction Calculations'!$V$102:$AS$1101,0,MATCH($A3,'Table Prediction Calculations'!$V$100:$AS$100,0)),U$1)/1000</f>
        <v>0</v>
      </c>
      <c r="V3" s="24">
        <f>COUNTIF(INDEX('Table Prediction Calculations'!$V$102:$AS$1101,0,MATCH($A3,'Table Prediction Calculations'!$V$100:$AS$100,0)),V$1)/1000</f>
        <v>0</v>
      </c>
      <c r="W3" s="24">
        <f>COUNTIF(INDEX('Table Prediction Calculations'!$V$102:$AS$1101,0,MATCH($A3,'Table Prediction Calculations'!$V$100:$AS$100,0)),W$1)/1000</f>
        <v>0</v>
      </c>
      <c r="X3" s="24">
        <f>COUNTIF(INDEX('Table Prediction Calculations'!$V$102:$AS$1101,0,MATCH($A3,'Table Prediction Calculations'!$V$100:$AS$100,0)),X$1)/1000</f>
        <v>0</v>
      </c>
      <c r="Y3" s="24">
        <f>COUNTIF(INDEX('Table Prediction Calculations'!$V$102:$AS$1101,0,MATCH($A3,'Table Prediction Calculations'!$V$100:$AS$100,0)),Y$1)/1000</f>
        <v>0</v>
      </c>
      <c r="Z3" s="24">
        <f>COUNTIF(INDEX('Table Prediction Calculations'!$V$102:$AS$1101,0,MATCH($A3,'Table Prediction Calculations'!$V$100:$AS$100,0)),Z$1)/1000</f>
        <v>0</v>
      </c>
      <c r="AA3" s="24">
        <f>COUNTIF(INDEX('Table Prediction Calculations'!$V$102:$AS$1101,0,MATCH($A3,'Table Prediction Calculations'!$V$100:$AS$100,0)),AA$1)/1000</f>
        <v>0</v>
      </c>
      <c r="AB3" s="24">
        <f>COUNTIF(INDEX('Table Prediction Calculations'!$V$102:$AS$1101,0,MATCH($A3,'Table Prediction Calculations'!$V$100:$AS$100,0)),AB$1)/1000</f>
        <v>0</v>
      </c>
      <c r="AE3" s="5" t="s">
        <v>116</v>
      </c>
      <c r="AF3" s="5" t="s">
        <v>117</v>
      </c>
    </row>
    <row r="4" spans="1:32" ht="26.25" customHeight="1" x14ac:dyDescent="0.25">
      <c r="A4" s="9" t="str">
        <f>Table_Raw!B4</f>
        <v>Ipswich Town</v>
      </c>
      <c r="B4" s="9">
        <f>Table_Raw!A4</f>
        <v>2</v>
      </c>
      <c r="C4" s="9">
        <f>Table_Raw!C4</f>
        <v>22</v>
      </c>
      <c r="D4" s="9">
        <f>Table_Raw!J4</f>
        <v>52</v>
      </c>
      <c r="E4" s="24">
        <f>COUNTIF(INDEX('Table Prediction Calculations'!$V$102:$AS$1101,0,MATCH($A4,'Table Prediction Calculations'!$V$100:$AS$100,0)),E$1)/1000</f>
        <v>4.3999999999999997E-2</v>
      </c>
      <c r="F4" s="24">
        <f>COUNTIF(INDEX('Table Prediction Calculations'!$V$102:$AS$1101,0,MATCH($A4,'Table Prediction Calculations'!$V$100:$AS$100,0)),F$1)/1000</f>
        <v>0.84</v>
      </c>
      <c r="G4" s="24">
        <f>COUNTIF(INDEX('Table Prediction Calculations'!$V$102:$AS$1101,0,MATCH($A4,'Table Prediction Calculations'!$V$100:$AS$100,0)),G$1)/1000</f>
        <v>0.1</v>
      </c>
      <c r="H4" s="24">
        <f>COUNTIF(INDEX('Table Prediction Calculations'!$V$102:$AS$1101,0,MATCH($A4,'Table Prediction Calculations'!$V$100:$AS$100,0)),H$1)/1000</f>
        <v>1.6E-2</v>
      </c>
      <c r="I4" s="24">
        <f>COUNTIF(INDEX('Table Prediction Calculations'!$V$102:$AS$1101,0,MATCH($A4,'Table Prediction Calculations'!$V$100:$AS$100,0)),I$1)/1000</f>
        <v>0</v>
      </c>
      <c r="J4" s="24">
        <f>COUNTIF(INDEX('Table Prediction Calculations'!$V$102:$AS$1101,0,MATCH($A4,'Table Prediction Calculations'!$V$100:$AS$100,0)),J$1)/1000</f>
        <v>0</v>
      </c>
      <c r="K4" s="24">
        <f>COUNTIF(INDEX('Table Prediction Calculations'!$V$102:$AS$1101,0,MATCH($A4,'Table Prediction Calculations'!$V$100:$AS$100,0)),K$1)/1000</f>
        <v>0</v>
      </c>
      <c r="L4" s="24">
        <f>COUNTIF(INDEX('Table Prediction Calculations'!$V$102:$AS$1101,0,MATCH($A4,'Table Prediction Calculations'!$V$100:$AS$100,0)),L$1)/1000</f>
        <v>0</v>
      </c>
      <c r="M4" s="24">
        <f>COUNTIF(INDEX('Table Prediction Calculations'!$V$102:$AS$1101,0,MATCH($A4,'Table Prediction Calculations'!$V$100:$AS$100,0)),M$1)/1000</f>
        <v>0</v>
      </c>
      <c r="N4" s="24">
        <f>COUNTIF(INDEX('Table Prediction Calculations'!$V$102:$AS$1101,0,MATCH($A4,'Table Prediction Calculations'!$V$100:$AS$100,0)),N$1)/1000</f>
        <v>0</v>
      </c>
      <c r="O4" s="24">
        <f>COUNTIF(INDEX('Table Prediction Calculations'!$V$102:$AS$1101,0,MATCH($A4,'Table Prediction Calculations'!$V$100:$AS$100,0)),O$1)/1000</f>
        <v>0</v>
      </c>
      <c r="P4" s="24">
        <f>COUNTIF(INDEX('Table Prediction Calculations'!$V$102:$AS$1101,0,MATCH($A4,'Table Prediction Calculations'!$V$100:$AS$100,0)),P$1)/1000</f>
        <v>0</v>
      </c>
      <c r="Q4" s="24">
        <f>COUNTIF(INDEX('Table Prediction Calculations'!$V$102:$AS$1101,0,MATCH($A4,'Table Prediction Calculations'!$V$100:$AS$100,0)),Q$1)/1000</f>
        <v>0</v>
      </c>
      <c r="R4" s="24">
        <f>COUNTIF(INDEX('Table Prediction Calculations'!$V$102:$AS$1101,0,MATCH($A4,'Table Prediction Calculations'!$V$100:$AS$100,0)),R$1)/1000</f>
        <v>0</v>
      </c>
      <c r="S4" s="24">
        <f>COUNTIF(INDEX('Table Prediction Calculations'!$V$102:$AS$1101,0,MATCH($A4,'Table Prediction Calculations'!$V$100:$AS$100,0)),S$1)/1000</f>
        <v>0</v>
      </c>
      <c r="T4" s="24">
        <f>COUNTIF(INDEX('Table Prediction Calculations'!$V$102:$AS$1101,0,MATCH($A4,'Table Prediction Calculations'!$V$100:$AS$100,0)),T$1)/1000</f>
        <v>0</v>
      </c>
      <c r="U4" s="24">
        <f>COUNTIF(INDEX('Table Prediction Calculations'!$V$102:$AS$1101,0,MATCH($A4,'Table Prediction Calculations'!$V$100:$AS$100,0)),U$1)/1000</f>
        <v>0</v>
      </c>
      <c r="V4" s="24">
        <f>COUNTIF(INDEX('Table Prediction Calculations'!$V$102:$AS$1101,0,MATCH($A4,'Table Prediction Calculations'!$V$100:$AS$100,0)),V$1)/1000</f>
        <v>0</v>
      </c>
      <c r="W4" s="24">
        <f>COUNTIF(INDEX('Table Prediction Calculations'!$V$102:$AS$1101,0,MATCH($A4,'Table Prediction Calculations'!$V$100:$AS$100,0)),W$1)/1000</f>
        <v>0</v>
      </c>
      <c r="X4" s="24">
        <f>COUNTIF(INDEX('Table Prediction Calculations'!$V$102:$AS$1101,0,MATCH($A4,'Table Prediction Calculations'!$V$100:$AS$100,0)),X$1)/1000</f>
        <v>0</v>
      </c>
      <c r="Y4" s="24">
        <f>COUNTIF(INDEX('Table Prediction Calculations'!$V$102:$AS$1101,0,MATCH($A4,'Table Prediction Calculations'!$V$100:$AS$100,0)),Y$1)/1000</f>
        <v>0</v>
      </c>
      <c r="Z4" s="24">
        <f>COUNTIF(INDEX('Table Prediction Calculations'!$V$102:$AS$1101,0,MATCH($A4,'Table Prediction Calculations'!$V$100:$AS$100,0)),Z$1)/1000</f>
        <v>0</v>
      </c>
      <c r="AA4" s="24">
        <f>COUNTIF(INDEX('Table Prediction Calculations'!$V$102:$AS$1101,0,MATCH($A4,'Table Prediction Calculations'!$V$100:$AS$100,0)),AA$1)/1000</f>
        <v>0</v>
      </c>
      <c r="AB4" s="24">
        <f>COUNTIF(INDEX('Table Prediction Calculations'!$V$102:$AS$1101,0,MATCH($A4,'Table Prediction Calculations'!$V$100:$AS$100,0)),AB$1)/1000</f>
        <v>0</v>
      </c>
      <c r="AE4" s="18">
        <v>1</v>
      </c>
      <c r="AF4" s="5" t="str">
        <f>INDEX($A$3:$A$26, MATCH(MAX(E$3:E$26), E$3:E$26, 0))</f>
        <v>Leicester City</v>
      </c>
    </row>
    <row r="5" spans="1:32" ht="26.25" customHeight="1" x14ac:dyDescent="0.25">
      <c r="A5" s="9" t="str">
        <f>Table_Raw!B5</f>
        <v>Leeds United</v>
      </c>
      <c r="B5" s="9">
        <f>Table_Raw!A5</f>
        <v>3</v>
      </c>
      <c r="C5" s="9">
        <f>Table_Raw!C5</f>
        <v>22</v>
      </c>
      <c r="D5" s="9">
        <f>Table_Raw!J5</f>
        <v>42</v>
      </c>
      <c r="E5" s="24">
        <f>COUNTIF(INDEX('Table Prediction Calculations'!$V$102:$AS$1101,0,MATCH($A5,'Table Prediction Calculations'!$V$100:$AS$100,0)),E$1)/1000</f>
        <v>0</v>
      </c>
      <c r="F5" s="24">
        <f>COUNTIF(INDEX('Table Prediction Calculations'!$V$102:$AS$1101,0,MATCH($A5,'Table Prediction Calculations'!$V$100:$AS$100,0)),F$1)/1000</f>
        <v>7.9000000000000001E-2</v>
      </c>
      <c r="G5" s="24">
        <f>COUNTIF(INDEX('Table Prediction Calculations'!$V$102:$AS$1101,0,MATCH($A5,'Table Prediction Calculations'!$V$100:$AS$100,0)),G$1)/1000</f>
        <v>0.48099999999999998</v>
      </c>
      <c r="H5" s="24">
        <f>COUNTIF(INDEX('Table Prediction Calculations'!$V$102:$AS$1101,0,MATCH($A5,'Table Prediction Calculations'!$V$100:$AS$100,0)),H$1)/1000</f>
        <v>0.32800000000000001</v>
      </c>
      <c r="I5" s="24">
        <f>COUNTIF(INDEX('Table Prediction Calculations'!$V$102:$AS$1101,0,MATCH($A5,'Table Prediction Calculations'!$V$100:$AS$100,0)),I$1)/1000</f>
        <v>7.5999999999999998E-2</v>
      </c>
      <c r="J5" s="24">
        <f>COUNTIF(INDEX('Table Prediction Calculations'!$V$102:$AS$1101,0,MATCH($A5,'Table Prediction Calculations'!$V$100:$AS$100,0)),J$1)/1000</f>
        <v>2.5999999999999999E-2</v>
      </c>
      <c r="K5" s="24">
        <f>COUNTIF(INDEX('Table Prediction Calculations'!$V$102:$AS$1101,0,MATCH($A5,'Table Prediction Calculations'!$V$100:$AS$100,0)),K$1)/1000</f>
        <v>6.0000000000000001E-3</v>
      </c>
      <c r="L5" s="24">
        <f>COUNTIF(INDEX('Table Prediction Calculations'!$V$102:$AS$1101,0,MATCH($A5,'Table Prediction Calculations'!$V$100:$AS$100,0)),L$1)/1000</f>
        <v>3.0000000000000001E-3</v>
      </c>
      <c r="M5" s="24">
        <f>COUNTIF(INDEX('Table Prediction Calculations'!$V$102:$AS$1101,0,MATCH($A5,'Table Prediction Calculations'!$V$100:$AS$100,0)),M$1)/1000</f>
        <v>0</v>
      </c>
      <c r="N5" s="24">
        <f>COUNTIF(INDEX('Table Prediction Calculations'!$V$102:$AS$1101,0,MATCH($A5,'Table Prediction Calculations'!$V$100:$AS$100,0)),N$1)/1000</f>
        <v>0</v>
      </c>
      <c r="O5" s="24">
        <f>COUNTIF(INDEX('Table Prediction Calculations'!$V$102:$AS$1101,0,MATCH($A5,'Table Prediction Calculations'!$V$100:$AS$100,0)),O$1)/1000</f>
        <v>0</v>
      </c>
      <c r="P5" s="24">
        <f>COUNTIF(INDEX('Table Prediction Calculations'!$V$102:$AS$1101,0,MATCH($A5,'Table Prediction Calculations'!$V$100:$AS$100,0)),P$1)/1000</f>
        <v>0</v>
      </c>
      <c r="Q5" s="24">
        <f>COUNTIF(INDEX('Table Prediction Calculations'!$V$102:$AS$1101,0,MATCH($A5,'Table Prediction Calculations'!$V$100:$AS$100,0)),Q$1)/1000</f>
        <v>0</v>
      </c>
      <c r="R5" s="24">
        <f>COUNTIF(INDEX('Table Prediction Calculations'!$V$102:$AS$1101,0,MATCH($A5,'Table Prediction Calculations'!$V$100:$AS$100,0)),R$1)/1000</f>
        <v>0</v>
      </c>
      <c r="S5" s="24">
        <f>COUNTIF(INDEX('Table Prediction Calculations'!$V$102:$AS$1101,0,MATCH($A5,'Table Prediction Calculations'!$V$100:$AS$100,0)),S$1)/1000</f>
        <v>0</v>
      </c>
      <c r="T5" s="24">
        <f>COUNTIF(INDEX('Table Prediction Calculations'!$V$102:$AS$1101,0,MATCH($A5,'Table Prediction Calculations'!$V$100:$AS$100,0)),T$1)/1000</f>
        <v>0</v>
      </c>
      <c r="U5" s="24">
        <f>COUNTIF(INDEX('Table Prediction Calculations'!$V$102:$AS$1101,0,MATCH($A5,'Table Prediction Calculations'!$V$100:$AS$100,0)),U$1)/1000</f>
        <v>0</v>
      </c>
      <c r="V5" s="24">
        <f>COUNTIF(INDEX('Table Prediction Calculations'!$V$102:$AS$1101,0,MATCH($A5,'Table Prediction Calculations'!$V$100:$AS$100,0)),V$1)/1000</f>
        <v>0</v>
      </c>
      <c r="W5" s="24">
        <f>COUNTIF(INDEX('Table Prediction Calculations'!$V$102:$AS$1101,0,MATCH($A5,'Table Prediction Calculations'!$V$100:$AS$100,0)),W$1)/1000</f>
        <v>0</v>
      </c>
      <c r="X5" s="24">
        <f>COUNTIF(INDEX('Table Prediction Calculations'!$V$102:$AS$1101,0,MATCH($A5,'Table Prediction Calculations'!$V$100:$AS$100,0)),X$1)/1000</f>
        <v>0</v>
      </c>
      <c r="Y5" s="24">
        <f>COUNTIF(INDEX('Table Prediction Calculations'!$V$102:$AS$1101,0,MATCH($A5,'Table Prediction Calculations'!$V$100:$AS$100,0)),Y$1)/1000</f>
        <v>0</v>
      </c>
      <c r="Z5" s="24">
        <f>COUNTIF(INDEX('Table Prediction Calculations'!$V$102:$AS$1101,0,MATCH($A5,'Table Prediction Calculations'!$V$100:$AS$100,0)),Z$1)/1000</f>
        <v>0</v>
      </c>
      <c r="AA5" s="24">
        <f>COUNTIF(INDEX('Table Prediction Calculations'!$V$102:$AS$1101,0,MATCH($A5,'Table Prediction Calculations'!$V$100:$AS$100,0)),AA$1)/1000</f>
        <v>0</v>
      </c>
      <c r="AB5" s="24">
        <f>COUNTIF(INDEX('Table Prediction Calculations'!$V$102:$AS$1101,0,MATCH($A5,'Table Prediction Calculations'!$V$100:$AS$100,0)),AB$1)/1000</f>
        <v>0</v>
      </c>
      <c r="AE5" s="18">
        <v>2</v>
      </c>
      <c r="AF5" s="5" t="str">
        <f>INDEX($A$3:$A$26, MATCH(MAX(F$3:F$26), F$3:F$26, 0))</f>
        <v>Ipswich Town</v>
      </c>
    </row>
    <row r="6" spans="1:32" ht="26.25" customHeight="1" x14ac:dyDescent="0.25">
      <c r="A6" s="9" t="str">
        <f>Table_Raw!B6</f>
        <v>Southampton</v>
      </c>
      <c r="B6" s="9">
        <f>Table_Raw!A6</f>
        <v>4</v>
      </c>
      <c r="C6" s="9">
        <f>Table_Raw!C6</f>
        <v>22</v>
      </c>
      <c r="D6" s="9">
        <f>Table_Raw!J6</f>
        <v>42</v>
      </c>
      <c r="E6" s="24">
        <f>COUNTIF(INDEX('Table Prediction Calculations'!$V$102:$AS$1101,0,MATCH($A6,'Table Prediction Calculations'!$V$100:$AS$100,0)),E$1)/1000</f>
        <v>0</v>
      </c>
      <c r="F6" s="24">
        <f>COUNTIF(INDEX('Table Prediction Calculations'!$V$102:$AS$1101,0,MATCH($A6,'Table Prediction Calculations'!$V$100:$AS$100,0)),F$1)/1000</f>
        <v>3.5000000000000003E-2</v>
      </c>
      <c r="G6" s="24">
        <f>COUNTIF(INDEX('Table Prediction Calculations'!$V$102:$AS$1101,0,MATCH($A6,'Table Prediction Calculations'!$V$100:$AS$100,0)),G$1)/1000</f>
        <v>0.35899999999999999</v>
      </c>
      <c r="H6" s="24">
        <f>COUNTIF(INDEX('Table Prediction Calculations'!$V$102:$AS$1101,0,MATCH($A6,'Table Prediction Calculations'!$V$100:$AS$100,0)),H$1)/1000</f>
        <v>0.42399999999999999</v>
      </c>
      <c r="I6" s="24">
        <f>COUNTIF(INDEX('Table Prediction Calculations'!$V$102:$AS$1101,0,MATCH($A6,'Table Prediction Calculations'!$V$100:$AS$100,0)),I$1)/1000</f>
        <v>0.124</v>
      </c>
      <c r="J6" s="24">
        <f>COUNTIF(INDEX('Table Prediction Calculations'!$V$102:$AS$1101,0,MATCH($A6,'Table Prediction Calculations'!$V$100:$AS$100,0)),J$1)/1000</f>
        <v>4.2000000000000003E-2</v>
      </c>
      <c r="K6" s="24">
        <f>COUNTIF(INDEX('Table Prediction Calculations'!$V$102:$AS$1101,0,MATCH($A6,'Table Prediction Calculations'!$V$100:$AS$100,0)),K$1)/1000</f>
        <v>1.0999999999999999E-2</v>
      </c>
      <c r="L6" s="24">
        <f>COUNTIF(INDEX('Table Prediction Calculations'!$V$102:$AS$1101,0,MATCH($A6,'Table Prediction Calculations'!$V$100:$AS$100,0)),L$1)/1000</f>
        <v>1E-3</v>
      </c>
      <c r="M6" s="24">
        <f>COUNTIF(INDEX('Table Prediction Calculations'!$V$102:$AS$1101,0,MATCH($A6,'Table Prediction Calculations'!$V$100:$AS$100,0)),M$1)/1000</f>
        <v>2E-3</v>
      </c>
      <c r="N6" s="24">
        <f>COUNTIF(INDEX('Table Prediction Calculations'!$V$102:$AS$1101,0,MATCH($A6,'Table Prediction Calculations'!$V$100:$AS$100,0)),N$1)/1000</f>
        <v>1E-3</v>
      </c>
      <c r="O6" s="24">
        <f>COUNTIF(INDEX('Table Prediction Calculations'!$V$102:$AS$1101,0,MATCH($A6,'Table Prediction Calculations'!$V$100:$AS$100,0)),O$1)/1000</f>
        <v>0</v>
      </c>
      <c r="P6" s="24">
        <f>COUNTIF(INDEX('Table Prediction Calculations'!$V$102:$AS$1101,0,MATCH($A6,'Table Prediction Calculations'!$V$100:$AS$100,0)),P$1)/1000</f>
        <v>0</v>
      </c>
      <c r="Q6" s="24">
        <f>COUNTIF(INDEX('Table Prediction Calculations'!$V$102:$AS$1101,0,MATCH($A6,'Table Prediction Calculations'!$V$100:$AS$100,0)),Q$1)/1000</f>
        <v>0</v>
      </c>
      <c r="R6" s="24">
        <f>COUNTIF(INDEX('Table Prediction Calculations'!$V$102:$AS$1101,0,MATCH($A6,'Table Prediction Calculations'!$V$100:$AS$100,0)),R$1)/1000</f>
        <v>0</v>
      </c>
      <c r="S6" s="24">
        <f>COUNTIF(INDEX('Table Prediction Calculations'!$V$102:$AS$1101,0,MATCH($A6,'Table Prediction Calculations'!$V$100:$AS$100,0)),S$1)/1000</f>
        <v>0</v>
      </c>
      <c r="T6" s="24">
        <f>COUNTIF(INDEX('Table Prediction Calculations'!$V$102:$AS$1101,0,MATCH($A6,'Table Prediction Calculations'!$V$100:$AS$100,0)),T$1)/1000</f>
        <v>0</v>
      </c>
      <c r="U6" s="24">
        <f>COUNTIF(INDEX('Table Prediction Calculations'!$V$102:$AS$1101,0,MATCH($A6,'Table Prediction Calculations'!$V$100:$AS$100,0)),U$1)/1000</f>
        <v>0</v>
      </c>
      <c r="V6" s="24">
        <f>COUNTIF(INDEX('Table Prediction Calculations'!$V$102:$AS$1101,0,MATCH($A6,'Table Prediction Calculations'!$V$100:$AS$100,0)),V$1)/1000</f>
        <v>0</v>
      </c>
      <c r="W6" s="24">
        <f>COUNTIF(INDEX('Table Prediction Calculations'!$V$102:$AS$1101,0,MATCH($A6,'Table Prediction Calculations'!$V$100:$AS$100,0)),W$1)/1000</f>
        <v>0</v>
      </c>
      <c r="X6" s="24">
        <f>COUNTIF(INDEX('Table Prediction Calculations'!$V$102:$AS$1101,0,MATCH($A6,'Table Prediction Calculations'!$V$100:$AS$100,0)),X$1)/1000</f>
        <v>0</v>
      </c>
      <c r="Y6" s="24">
        <f>COUNTIF(INDEX('Table Prediction Calculations'!$V$102:$AS$1101,0,MATCH($A6,'Table Prediction Calculations'!$V$100:$AS$100,0)),Y$1)/1000</f>
        <v>0</v>
      </c>
      <c r="Z6" s="24">
        <f>COUNTIF(INDEX('Table Prediction Calculations'!$V$102:$AS$1101,0,MATCH($A6,'Table Prediction Calculations'!$V$100:$AS$100,0)),Z$1)/1000</f>
        <v>0</v>
      </c>
      <c r="AA6" s="24">
        <f>COUNTIF(INDEX('Table Prediction Calculations'!$V$102:$AS$1101,0,MATCH($A6,'Table Prediction Calculations'!$V$100:$AS$100,0)),AA$1)/1000</f>
        <v>0</v>
      </c>
      <c r="AB6" s="24">
        <f>COUNTIF(INDEX('Table Prediction Calculations'!$V$102:$AS$1101,0,MATCH($A6,'Table Prediction Calculations'!$V$100:$AS$100,0)),AB$1)/1000</f>
        <v>0</v>
      </c>
      <c r="AE6" s="18">
        <v>3</v>
      </c>
      <c r="AF6" s="5" t="str">
        <f>INDEX($A$3:$A$26, MATCH(MAX(G$3:G$26), G$3:G$26, 0))</f>
        <v>Leeds United</v>
      </c>
    </row>
    <row r="7" spans="1:32" ht="26.25" customHeight="1" x14ac:dyDescent="0.25">
      <c r="A7" s="9" t="str">
        <f>Table_Raw!B7</f>
        <v>West Brom</v>
      </c>
      <c r="B7" s="9">
        <f>Table_Raw!A7</f>
        <v>5</v>
      </c>
      <c r="C7" s="9">
        <f>Table_Raw!C7</f>
        <v>22</v>
      </c>
      <c r="D7" s="9">
        <f>Table_Raw!J7</f>
        <v>36</v>
      </c>
      <c r="E7" s="24">
        <f>COUNTIF(INDEX('Table Prediction Calculations'!$V$102:$AS$1101,0,MATCH($A7,'Table Prediction Calculations'!$V$100:$AS$100,0)),E$1)/1000</f>
        <v>0</v>
      </c>
      <c r="F7" s="24">
        <f>COUNTIF(INDEX('Table Prediction Calculations'!$V$102:$AS$1101,0,MATCH($A7,'Table Prediction Calculations'!$V$100:$AS$100,0)),F$1)/1000</f>
        <v>1E-3</v>
      </c>
      <c r="G7" s="24">
        <f>COUNTIF(INDEX('Table Prediction Calculations'!$V$102:$AS$1101,0,MATCH($A7,'Table Prediction Calculations'!$V$100:$AS$100,0)),G$1)/1000</f>
        <v>1.7000000000000001E-2</v>
      </c>
      <c r="H7" s="24">
        <f>COUNTIF(INDEX('Table Prediction Calculations'!$V$102:$AS$1101,0,MATCH($A7,'Table Prediction Calculations'!$V$100:$AS$100,0)),H$1)/1000</f>
        <v>9.0999999999999998E-2</v>
      </c>
      <c r="I7" s="24">
        <f>COUNTIF(INDEX('Table Prediction Calculations'!$V$102:$AS$1101,0,MATCH($A7,'Table Prediction Calculations'!$V$100:$AS$100,0)),I$1)/1000</f>
        <v>0.27900000000000003</v>
      </c>
      <c r="J7" s="24">
        <f>COUNTIF(INDEX('Table Prediction Calculations'!$V$102:$AS$1101,0,MATCH($A7,'Table Prediction Calculations'!$V$100:$AS$100,0)),J$1)/1000</f>
        <v>0.26200000000000001</v>
      </c>
      <c r="K7" s="24">
        <f>COUNTIF(INDEX('Table Prediction Calculations'!$V$102:$AS$1101,0,MATCH($A7,'Table Prediction Calculations'!$V$100:$AS$100,0)),K$1)/1000</f>
        <v>0.159</v>
      </c>
      <c r="L7" s="24">
        <f>COUNTIF(INDEX('Table Prediction Calculations'!$V$102:$AS$1101,0,MATCH($A7,'Table Prediction Calculations'!$V$100:$AS$100,0)),L$1)/1000</f>
        <v>9.9000000000000005E-2</v>
      </c>
      <c r="M7" s="24">
        <f>COUNTIF(INDEX('Table Prediction Calculations'!$V$102:$AS$1101,0,MATCH($A7,'Table Prediction Calculations'!$V$100:$AS$100,0)),M$1)/1000</f>
        <v>4.2000000000000003E-2</v>
      </c>
      <c r="N7" s="24">
        <f>COUNTIF(INDEX('Table Prediction Calculations'!$V$102:$AS$1101,0,MATCH($A7,'Table Prediction Calculations'!$V$100:$AS$100,0)),N$1)/1000</f>
        <v>2.4E-2</v>
      </c>
      <c r="O7" s="24">
        <f>COUNTIF(INDEX('Table Prediction Calculations'!$V$102:$AS$1101,0,MATCH($A7,'Table Prediction Calculations'!$V$100:$AS$100,0)),O$1)/1000</f>
        <v>1.4999999999999999E-2</v>
      </c>
      <c r="P7" s="24">
        <f>COUNTIF(INDEX('Table Prediction Calculations'!$V$102:$AS$1101,0,MATCH($A7,'Table Prediction Calculations'!$V$100:$AS$100,0)),P$1)/1000</f>
        <v>4.0000000000000001E-3</v>
      </c>
      <c r="Q7" s="24">
        <f>COUNTIF(INDEX('Table Prediction Calculations'!$V$102:$AS$1101,0,MATCH($A7,'Table Prediction Calculations'!$V$100:$AS$100,0)),Q$1)/1000</f>
        <v>6.0000000000000001E-3</v>
      </c>
      <c r="R7" s="24">
        <f>COUNTIF(INDEX('Table Prediction Calculations'!$V$102:$AS$1101,0,MATCH($A7,'Table Prediction Calculations'!$V$100:$AS$100,0)),R$1)/1000</f>
        <v>1E-3</v>
      </c>
      <c r="S7" s="24">
        <f>COUNTIF(INDEX('Table Prediction Calculations'!$V$102:$AS$1101,0,MATCH($A7,'Table Prediction Calculations'!$V$100:$AS$100,0)),S$1)/1000</f>
        <v>0</v>
      </c>
      <c r="T7" s="24">
        <f>COUNTIF(INDEX('Table Prediction Calculations'!$V$102:$AS$1101,0,MATCH($A7,'Table Prediction Calculations'!$V$100:$AS$100,0)),T$1)/1000</f>
        <v>0</v>
      </c>
      <c r="U7" s="24">
        <f>COUNTIF(INDEX('Table Prediction Calculations'!$V$102:$AS$1101,0,MATCH($A7,'Table Prediction Calculations'!$V$100:$AS$100,0)),U$1)/1000</f>
        <v>0</v>
      </c>
      <c r="V7" s="24">
        <f>COUNTIF(INDEX('Table Prediction Calculations'!$V$102:$AS$1101,0,MATCH($A7,'Table Prediction Calculations'!$V$100:$AS$100,0)),V$1)/1000</f>
        <v>0</v>
      </c>
      <c r="W7" s="24">
        <f>COUNTIF(INDEX('Table Prediction Calculations'!$V$102:$AS$1101,0,MATCH($A7,'Table Prediction Calculations'!$V$100:$AS$100,0)),W$1)/1000</f>
        <v>0</v>
      </c>
      <c r="X7" s="24">
        <f>COUNTIF(INDEX('Table Prediction Calculations'!$V$102:$AS$1101,0,MATCH($A7,'Table Prediction Calculations'!$V$100:$AS$100,0)),X$1)/1000</f>
        <v>0</v>
      </c>
      <c r="Y7" s="24">
        <f>COUNTIF(INDEX('Table Prediction Calculations'!$V$102:$AS$1101,0,MATCH($A7,'Table Prediction Calculations'!$V$100:$AS$100,0)),Y$1)/1000</f>
        <v>0</v>
      </c>
      <c r="Z7" s="24">
        <f>COUNTIF(INDEX('Table Prediction Calculations'!$V$102:$AS$1101,0,MATCH($A7,'Table Prediction Calculations'!$V$100:$AS$100,0)),Z$1)/1000</f>
        <v>0</v>
      </c>
      <c r="AA7" s="24">
        <f>COUNTIF(INDEX('Table Prediction Calculations'!$V$102:$AS$1101,0,MATCH($A7,'Table Prediction Calculations'!$V$100:$AS$100,0)),AA$1)/1000</f>
        <v>0</v>
      </c>
      <c r="AB7" s="24">
        <f>COUNTIF(INDEX('Table Prediction Calculations'!$V$102:$AS$1101,0,MATCH($A7,'Table Prediction Calculations'!$V$100:$AS$100,0)),AB$1)/1000</f>
        <v>0</v>
      </c>
      <c r="AE7" s="18">
        <v>4</v>
      </c>
      <c r="AF7" s="5" t="str">
        <f>INDEX($A$3:$A$26, MATCH(MAX(H$3:H$26), H$3:H$26, 0))</f>
        <v>Southampton</v>
      </c>
    </row>
    <row r="8" spans="1:32" ht="26.25" customHeight="1" x14ac:dyDescent="0.25">
      <c r="A8" s="9" t="str">
        <f>Table_Raw!B8</f>
        <v>Hull City</v>
      </c>
      <c r="B8" s="9">
        <f>Table_Raw!A8</f>
        <v>6</v>
      </c>
      <c r="C8" s="9">
        <f>Table_Raw!C8</f>
        <v>22</v>
      </c>
      <c r="D8" s="9">
        <f>Table_Raw!J8</f>
        <v>36</v>
      </c>
      <c r="E8" s="24">
        <f>COUNTIF(INDEX('Table Prediction Calculations'!$V$102:$AS$1101,0,MATCH($A8,'Table Prediction Calculations'!$V$100:$AS$100,0)),E$1)/1000</f>
        <v>0</v>
      </c>
      <c r="F8" s="24">
        <f>COUNTIF(INDEX('Table Prediction Calculations'!$V$102:$AS$1101,0,MATCH($A8,'Table Prediction Calculations'!$V$100:$AS$100,0)),F$1)/1000</f>
        <v>2E-3</v>
      </c>
      <c r="G8" s="24">
        <f>COUNTIF(INDEX('Table Prediction Calculations'!$V$102:$AS$1101,0,MATCH($A8,'Table Prediction Calculations'!$V$100:$AS$100,0)),G$1)/1000</f>
        <v>3.6999999999999998E-2</v>
      </c>
      <c r="H8" s="24">
        <f>COUNTIF(INDEX('Table Prediction Calculations'!$V$102:$AS$1101,0,MATCH($A8,'Table Prediction Calculations'!$V$100:$AS$100,0)),H$1)/1000</f>
        <v>0.122</v>
      </c>
      <c r="I8" s="24">
        <f>COUNTIF(INDEX('Table Prediction Calculations'!$V$102:$AS$1101,0,MATCH($A8,'Table Prediction Calculations'!$V$100:$AS$100,0)),I$1)/1000</f>
        <v>0.32800000000000001</v>
      </c>
      <c r="J8" s="24">
        <f>COUNTIF(INDEX('Table Prediction Calculations'!$V$102:$AS$1101,0,MATCH($A8,'Table Prediction Calculations'!$V$100:$AS$100,0)),J$1)/1000</f>
        <v>0.22900000000000001</v>
      </c>
      <c r="K8" s="24">
        <f>COUNTIF(INDEX('Table Prediction Calculations'!$V$102:$AS$1101,0,MATCH($A8,'Table Prediction Calculations'!$V$100:$AS$100,0)),K$1)/1000</f>
        <v>0.14799999999999999</v>
      </c>
      <c r="L8" s="24">
        <f>COUNTIF(INDEX('Table Prediction Calculations'!$V$102:$AS$1101,0,MATCH($A8,'Table Prediction Calculations'!$V$100:$AS$100,0)),L$1)/1000</f>
        <v>6.5000000000000002E-2</v>
      </c>
      <c r="M8" s="24">
        <f>COUNTIF(INDEX('Table Prediction Calculations'!$V$102:$AS$1101,0,MATCH($A8,'Table Prediction Calculations'!$V$100:$AS$100,0)),M$1)/1000</f>
        <v>1.9E-2</v>
      </c>
      <c r="N8" s="24">
        <f>COUNTIF(INDEX('Table Prediction Calculations'!$V$102:$AS$1101,0,MATCH($A8,'Table Prediction Calculations'!$V$100:$AS$100,0)),N$1)/1000</f>
        <v>2.3E-2</v>
      </c>
      <c r="O8" s="24">
        <f>COUNTIF(INDEX('Table Prediction Calculations'!$V$102:$AS$1101,0,MATCH($A8,'Table Prediction Calculations'!$V$100:$AS$100,0)),O$1)/1000</f>
        <v>1.0999999999999999E-2</v>
      </c>
      <c r="P8" s="24">
        <f>COUNTIF(INDEX('Table Prediction Calculations'!$V$102:$AS$1101,0,MATCH($A8,'Table Prediction Calculations'!$V$100:$AS$100,0)),P$1)/1000</f>
        <v>0.01</v>
      </c>
      <c r="Q8" s="24">
        <f>COUNTIF(INDEX('Table Prediction Calculations'!$V$102:$AS$1101,0,MATCH($A8,'Table Prediction Calculations'!$V$100:$AS$100,0)),Q$1)/1000</f>
        <v>5.0000000000000001E-3</v>
      </c>
      <c r="R8" s="24">
        <f>COUNTIF(INDEX('Table Prediction Calculations'!$V$102:$AS$1101,0,MATCH($A8,'Table Prediction Calculations'!$V$100:$AS$100,0)),R$1)/1000</f>
        <v>1E-3</v>
      </c>
      <c r="S8" s="24">
        <f>COUNTIF(INDEX('Table Prediction Calculations'!$V$102:$AS$1101,0,MATCH($A8,'Table Prediction Calculations'!$V$100:$AS$100,0)),S$1)/1000</f>
        <v>0</v>
      </c>
      <c r="T8" s="24">
        <f>COUNTIF(INDEX('Table Prediction Calculations'!$V$102:$AS$1101,0,MATCH($A8,'Table Prediction Calculations'!$V$100:$AS$100,0)),T$1)/1000</f>
        <v>0</v>
      </c>
      <c r="U8" s="24">
        <f>COUNTIF(INDEX('Table Prediction Calculations'!$V$102:$AS$1101,0,MATCH($A8,'Table Prediction Calculations'!$V$100:$AS$100,0)),U$1)/1000</f>
        <v>0</v>
      </c>
      <c r="V8" s="24">
        <f>COUNTIF(INDEX('Table Prediction Calculations'!$V$102:$AS$1101,0,MATCH($A8,'Table Prediction Calculations'!$V$100:$AS$100,0)),V$1)/1000</f>
        <v>0</v>
      </c>
      <c r="W8" s="24">
        <f>COUNTIF(INDEX('Table Prediction Calculations'!$V$102:$AS$1101,0,MATCH($A8,'Table Prediction Calculations'!$V$100:$AS$100,0)),W$1)/1000</f>
        <v>0</v>
      </c>
      <c r="X8" s="24">
        <f>COUNTIF(INDEX('Table Prediction Calculations'!$V$102:$AS$1101,0,MATCH($A8,'Table Prediction Calculations'!$V$100:$AS$100,0)),X$1)/1000</f>
        <v>0</v>
      </c>
      <c r="Y8" s="24">
        <f>COUNTIF(INDEX('Table Prediction Calculations'!$V$102:$AS$1101,0,MATCH($A8,'Table Prediction Calculations'!$V$100:$AS$100,0)),Y$1)/1000</f>
        <v>0</v>
      </c>
      <c r="Z8" s="24">
        <f>COUNTIF(INDEX('Table Prediction Calculations'!$V$102:$AS$1101,0,MATCH($A8,'Table Prediction Calculations'!$V$100:$AS$100,0)),Z$1)/1000</f>
        <v>0</v>
      </c>
      <c r="AA8" s="24">
        <f>COUNTIF(INDEX('Table Prediction Calculations'!$V$102:$AS$1101,0,MATCH($A8,'Table Prediction Calculations'!$V$100:$AS$100,0)),AA$1)/1000</f>
        <v>0</v>
      </c>
      <c r="AB8" s="24">
        <f>COUNTIF(INDEX('Table Prediction Calculations'!$V$102:$AS$1101,0,MATCH($A8,'Table Prediction Calculations'!$V$100:$AS$100,0)),AB$1)/1000</f>
        <v>0</v>
      </c>
      <c r="AE8" s="18">
        <v>5</v>
      </c>
      <c r="AF8" s="5" t="str">
        <f>INDEX($A$3:$A$26, MATCH(MAX(I$3:I$26), I$3:I$26, 0))</f>
        <v>Hull City</v>
      </c>
    </row>
    <row r="9" spans="1:32" ht="26.25" customHeight="1" x14ac:dyDescent="0.25">
      <c r="A9" s="9" t="str">
        <f>Table_Raw!B9</f>
        <v>Sunderland</v>
      </c>
      <c r="B9" s="9">
        <f>Table_Raw!A9</f>
        <v>7</v>
      </c>
      <c r="C9" s="9">
        <f>Table_Raw!C9</f>
        <v>22</v>
      </c>
      <c r="D9" s="9">
        <f>Table_Raw!J9</f>
        <v>33</v>
      </c>
      <c r="E9" s="24">
        <f>COUNTIF(INDEX('Table Prediction Calculations'!$V$102:$AS$1101,0,MATCH($A9,'Table Prediction Calculations'!$V$100:$AS$100,0)),E$1)/1000</f>
        <v>0</v>
      </c>
      <c r="F9" s="24">
        <f>COUNTIF(INDEX('Table Prediction Calculations'!$V$102:$AS$1101,0,MATCH($A9,'Table Prediction Calculations'!$V$100:$AS$100,0)),F$1)/1000</f>
        <v>0</v>
      </c>
      <c r="G9" s="24">
        <f>COUNTIF(INDEX('Table Prediction Calculations'!$V$102:$AS$1101,0,MATCH($A9,'Table Prediction Calculations'!$V$100:$AS$100,0)),G$1)/1000</f>
        <v>0</v>
      </c>
      <c r="H9" s="24">
        <f>COUNTIF(INDEX('Table Prediction Calculations'!$V$102:$AS$1101,0,MATCH($A9,'Table Prediction Calculations'!$V$100:$AS$100,0)),H$1)/1000</f>
        <v>4.0000000000000001E-3</v>
      </c>
      <c r="I9" s="24">
        <f>COUNTIF(INDEX('Table Prediction Calculations'!$V$102:$AS$1101,0,MATCH($A9,'Table Prediction Calculations'!$V$100:$AS$100,0)),I$1)/1000</f>
        <v>6.6000000000000003E-2</v>
      </c>
      <c r="J9" s="24">
        <f>COUNTIF(INDEX('Table Prediction Calculations'!$V$102:$AS$1101,0,MATCH($A9,'Table Prediction Calculations'!$V$100:$AS$100,0)),J$1)/1000</f>
        <v>0.11799999999999999</v>
      </c>
      <c r="K9" s="24">
        <f>COUNTIF(INDEX('Table Prediction Calculations'!$V$102:$AS$1101,0,MATCH($A9,'Table Prediction Calculations'!$V$100:$AS$100,0)),K$1)/1000</f>
        <v>0.14699999999999999</v>
      </c>
      <c r="L9" s="24">
        <f>COUNTIF(INDEX('Table Prediction Calculations'!$V$102:$AS$1101,0,MATCH($A9,'Table Prediction Calculations'!$V$100:$AS$100,0)),L$1)/1000</f>
        <v>0.17299999999999999</v>
      </c>
      <c r="M9" s="24">
        <f>COUNTIF(INDEX('Table Prediction Calculations'!$V$102:$AS$1101,0,MATCH($A9,'Table Prediction Calculations'!$V$100:$AS$100,0)),M$1)/1000</f>
        <v>0.14799999999999999</v>
      </c>
      <c r="N9" s="24">
        <f>COUNTIF(INDEX('Table Prediction Calculations'!$V$102:$AS$1101,0,MATCH($A9,'Table Prediction Calculations'!$V$100:$AS$100,0)),N$1)/1000</f>
        <v>0.09</v>
      </c>
      <c r="O9" s="24">
        <f>COUNTIF(INDEX('Table Prediction Calculations'!$V$102:$AS$1101,0,MATCH($A9,'Table Prediction Calculations'!$V$100:$AS$100,0)),O$1)/1000</f>
        <v>7.6999999999999999E-2</v>
      </c>
      <c r="P9" s="24">
        <f>COUNTIF(INDEX('Table Prediction Calculations'!$V$102:$AS$1101,0,MATCH($A9,'Table Prediction Calculations'!$V$100:$AS$100,0)),P$1)/1000</f>
        <v>6.6000000000000003E-2</v>
      </c>
      <c r="Q9" s="24">
        <f>COUNTIF(INDEX('Table Prediction Calculations'!$V$102:$AS$1101,0,MATCH($A9,'Table Prediction Calculations'!$V$100:$AS$100,0)),Q$1)/1000</f>
        <v>4.3999999999999997E-2</v>
      </c>
      <c r="R9" s="24">
        <f>COUNTIF(INDEX('Table Prediction Calculations'!$V$102:$AS$1101,0,MATCH($A9,'Table Prediction Calculations'!$V$100:$AS$100,0)),R$1)/1000</f>
        <v>2.8000000000000001E-2</v>
      </c>
      <c r="S9" s="24">
        <f>COUNTIF(INDEX('Table Prediction Calculations'!$V$102:$AS$1101,0,MATCH($A9,'Table Prediction Calculations'!$V$100:$AS$100,0)),S$1)/1000</f>
        <v>1.6E-2</v>
      </c>
      <c r="T9" s="24">
        <f>COUNTIF(INDEX('Table Prediction Calculations'!$V$102:$AS$1101,0,MATCH($A9,'Table Prediction Calculations'!$V$100:$AS$100,0)),T$1)/1000</f>
        <v>1.4E-2</v>
      </c>
      <c r="U9" s="24">
        <f>COUNTIF(INDEX('Table Prediction Calculations'!$V$102:$AS$1101,0,MATCH($A9,'Table Prediction Calculations'!$V$100:$AS$100,0)),U$1)/1000</f>
        <v>6.0000000000000001E-3</v>
      </c>
      <c r="V9" s="24">
        <f>COUNTIF(INDEX('Table Prediction Calculations'!$V$102:$AS$1101,0,MATCH($A9,'Table Prediction Calculations'!$V$100:$AS$100,0)),V$1)/1000</f>
        <v>1E-3</v>
      </c>
      <c r="W9" s="24">
        <f>COUNTIF(INDEX('Table Prediction Calculations'!$V$102:$AS$1101,0,MATCH($A9,'Table Prediction Calculations'!$V$100:$AS$100,0)),W$1)/1000</f>
        <v>1E-3</v>
      </c>
      <c r="X9" s="24">
        <f>COUNTIF(INDEX('Table Prediction Calculations'!$V$102:$AS$1101,0,MATCH($A9,'Table Prediction Calculations'!$V$100:$AS$100,0)),X$1)/1000</f>
        <v>0</v>
      </c>
      <c r="Y9" s="24">
        <f>COUNTIF(INDEX('Table Prediction Calculations'!$V$102:$AS$1101,0,MATCH($A9,'Table Prediction Calculations'!$V$100:$AS$100,0)),Y$1)/1000</f>
        <v>0</v>
      </c>
      <c r="Z9" s="24">
        <f>COUNTIF(INDEX('Table Prediction Calculations'!$V$102:$AS$1101,0,MATCH($A9,'Table Prediction Calculations'!$V$100:$AS$100,0)),Z$1)/1000</f>
        <v>0</v>
      </c>
      <c r="AA9" s="24">
        <f>COUNTIF(INDEX('Table Prediction Calculations'!$V$102:$AS$1101,0,MATCH($A9,'Table Prediction Calculations'!$V$100:$AS$100,0)),AA$1)/1000</f>
        <v>0</v>
      </c>
      <c r="AB9" s="24">
        <f>COUNTIF(INDEX('Table Prediction Calculations'!$V$102:$AS$1101,0,MATCH($A9,'Table Prediction Calculations'!$V$100:$AS$100,0)),AB$1)/1000</f>
        <v>0</v>
      </c>
      <c r="AE9" s="18">
        <v>6</v>
      </c>
      <c r="AF9" s="5" t="str">
        <f>INDEX($A$3:$A$26, MATCH(MAX(J$3:J$26), J$3:J$26, 0))</f>
        <v>West Brom</v>
      </c>
    </row>
    <row r="10" spans="1:32" ht="26.25" customHeight="1" x14ac:dyDescent="0.25">
      <c r="A10" s="9" t="str">
        <f>Table_Raw!B10</f>
        <v>Preston</v>
      </c>
      <c r="B10" s="9">
        <f>Table_Raw!A10</f>
        <v>8</v>
      </c>
      <c r="C10" s="9">
        <f>Table_Raw!C10</f>
        <v>22</v>
      </c>
      <c r="D10" s="9">
        <f>Table_Raw!J10</f>
        <v>32</v>
      </c>
      <c r="E10" s="24">
        <f>COUNTIF(INDEX('Table Prediction Calculations'!$V$102:$AS$1101,0,MATCH($A10,'Table Prediction Calculations'!$V$100:$AS$100,0)),E$1)/1000</f>
        <v>0</v>
      </c>
      <c r="F10" s="24">
        <f>COUNTIF(INDEX('Table Prediction Calculations'!$V$102:$AS$1101,0,MATCH($A10,'Table Prediction Calculations'!$V$100:$AS$100,0)),F$1)/1000</f>
        <v>0</v>
      </c>
      <c r="G10" s="24">
        <f>COUNTIF(INDEX('Table Prediction Calculations'!$V$102:$AS$1101,0,MATCH($A10,'Table Prediction Calculations'!$V$100:$AS$100,0)),G$1)/1000</f>
        <v>0</v>
      </c>
      <c r="H10" s="24">
        <f>COUNTIF(INDEX('Table Prediction Calculations'!$V$102:$AS$1101,0,MATCH($A10,'Table Prediction Calculations'!$V$100:$AS$100,0)),H$1)/1000</f>
        <v>0</v>
      </c>
      <c r="I10" s="24">
        <f>COUNTIF(INDEX('Table Prediction Calculations'!$V$102:$AS$1101,0,MATCH($A10,'Table Prediction Calculations'!$V$100:$AS$100,0)),I$1)/1000</f>
        <v>4.0000000000000001E-3</v>
      </c>
      <c r="J10" s="24">
        <f>COUNTIF(INDEX('Table Prediction Calculations'!$V$102:$AS$1101,0,MATCH($A10,'Table Prediction Calculations'!$V$100:$AS$100,0)),J$1)/1000</f>
        <v>1.2E-2</v>
      </c>
      <c r="K10" s="24">
        <f>COUNTIF(INDEX('Table Prediction Calculations'!$V$102:$AS$1101,0,MATCH($A10,'Table Prediction Calculations'!$V$100:$AS$100,0)),K$1)/1000</f>
        <v>2.9000000000000001E-2</v>
      </c>
      <c r="L10" s="24">
        <f>COUNTIF(INDEX('Table Prediction Calculations'!$V$102:$AS$1101,0,MATCH($A10,'Table Prediction Calculations'!$V$100:$AS$100,0)),L$1)/1000</f>
        <v>5.1999999999999998E-2</v>
      </c>
      <c r="M10" s="24">
        <f>COUNTIF(INDEX('Table Prediction Calculations'!$V$102:$AS$1101,0,MATCH($A10,'Table Prediction Calculations'!$V$100:$AS$100,0)),M$1)/1000</f>
        <v>0.06</v>
      </c>
      <c r="N10" s="24">
        <f>COUNTIF(INDEX('Table Prediction Calculations'!$V$102:$AS$1101,0,MATCH($A10,'Table Prediction Calculations'!$V$100:$AS$100,0)),N$1)/1000</f>
        <v>6.9000000000000006E-2</v>
      </c>
      <c r="O10" s="24">
        <f>COUNTIF(INDEX('Table Prediction Calculations'!$V$102:$AS$1101,0,MATCH($A10,'Table Prediction Calculations'!$V$100:$AS$100,0)),O$1)/1000</f>
        <v>9.9000000000000005E-2</v>
      </c>
      <c r="P10" s="24">
        <f>COUNTIF(INDEX('Table Prediction Calculations'!$V$102:$AS$1101,0,MATCH($A10,'Table Prediction Calculations'!$V$100:$AS$100,0)),P$1)/1000</f>
        <v>0.113</v>
      </c>
      <c r="Q10" s="24">
        <f>COUNTIF(INDEX('Table Prediction Calculations'!$V$102:$AS$1101,0,MATCH($A10,'Table Prediction Calculations'!$V$100:$AS$100,0)),Q$1)/1000</f>
        <v>9.1999999999999998E-2</v>
      </c>
      <c r="R10" s="24">
        <f>COUNTIF(INDEX('Table Prediction Calculations'!$V$102:$AS$1101,0,MATCH($A10,'Table Prediction Calculations'!$V$100:$AS$100,0)),R$1)/1000</f>
        <v>0.11799999999999999</v>
      </c>
      <c r="S10" s="24">
        <f>COUNTIF(INDEX('Table Prediction Calculations'!$V$102:$AS$1101,0,MATCH($A10,'Table Prediction Calculations'!$V$100:$AS$100,0)),S$1)/1000</f>
        <v>0.10100000000000001</v>
      </c>
      <c r="T10" s="24">
        <f>COUNTIF(INDEX('Table Prediction Calculations'!$V$102:$AS$1101,0,MATCH($A10,'Table Prediction Calculations'!$V$100:$AS$100,0)),T$1)/1000</f>
        <v>8.5999999999999993E-2</v>
      </c>
      <c r="U10" s="24">
        <f>COUNTIF(INDEX('Table Prediction Calculations'!$V$102:$AS$1101,0,MATCH($A10,'Table Prediction Calculations'!$V$100:$AS$100,0)),U$1)/1000</f>
        <v>8.4000000000000005E-2</v>
      </c>
      <c r="V10" s="24">
        <f>COUNTIF(INDEX('Table Prediction Calculations'!$V$102:$AS$1101,0,MATCH($A10,'Table Prediction Calculations'!$V$100:$AS$100,0)),V$1)/1000</f>
        <v>5.5E-2</v>
      </c>
      <c r="W10" s="24">
        <f>COUNTIF(INDEX('Table Prediction Calculations'!$V$102:$AS$1101,0,MATCH($A10,'Table Prediction Calculations'!$V$100:$AS$100,0)),W$1)/1000</f>
        <v>1.7000000000000001E-2</v>
      </c>
      <c r="X10" s="24">
        <f>COUNTIF(INDEX('Table Prediction Calculations'!$V$102:$AS$1101,0,MATCH($A10,'Table Prediction Calculations'!$V$100:$AS$100,0)),X$1)/1000</f>
        <v>8.9999999999999993E-3</v>
      </c>
      <c r="Y10" s="24">
        <f>COUNTIF(INDEX('Table Prediction Calculations'!$V$102:$AS$1101,0,MATCH($A10,'Table Prediction Calculations'!$V$100:$AS$100,0)),Y$1)/1000</f>
        <v>0</v>
      </c>
      <c r="Z10" s="24">
        <f>COUNTIF(INDEX('Table Prediction Calculations'!$V$102:$AS$1101,0,MATCH($A10,'Table Prediction Calculations'!$V$100:$AS$100,0)),Z$1)/1000</f>
        <v>0</v>
      </c>
      <c r="AA10" s="24">
        <f>COUNTIF(INDEX('Table Prediction Calculations'!$V$102:$AS$1101,0,MATCH($A10,'Table Prediction Calculations'!$V$100:$AS$100,0)),AA$1)/1000</f>
        <v>0</v>
      </c>
      <c r="AB10" s="24">
        <f>COUNTIF(INDEX('Table Prediction Calculations'!$V$102:$AS$1101,0,MATCH($A10,'Table Prediction Calculations'!$V$100:$AS$100,0)),AB$1)/1000</f>
        <v>0</v>
      </c>
      <c r="AE10" s="18">
        <v>7</v>
      </c>
      <c r="AF10" s="5" t="str">
        <f>INDEX($A$3:$A$26, MATCH(MAX(K$3:K$26), K$3:K$26, 0))</f>
        <v>Watford</v>
      </c>
    </row>
    <row r="11" spans="1:32" ht="26.25" customHeight="1" x14ac:dyDescent="0.25">
      <c r="A11" s="9" t="str">
        <f>Table_Raw!B11</f>
        <v>Watford</v>
      </c>
      <c r="B11" s="9">
        <f>Table_Raw!A11</f>
        <v>9</v>
      </c>
      <c r="C11" s="9">
        <f>Table_Raw!C11</f>
        <v>22</v>
      </c>
      <c r="D11" s="9">
        <f>Table_Raw!J11</f>
        <v>31</v>
      </c>
      <c r="E11" s="24">
        <f>COUNTIF(INDEX('Table Prediction Calculations'!$V$102:$AS$1101,0,MATCH($A11,'Table Prediction Calculations'!$V$100:$AS$100,0)),E$1)/1000</f>
        <v>0</v>
      </c>
      <c r="F11" s="24">
        <f>COUNTIF(INDEX('Table Prediction Calculations'!$V$102:$AS$1101,0,MATCH($A11,'Table Prediction Calculations'!$V$100:$AS$100,0)),F$1)/1000</f>
        <v>0</v>
      </c>
      <c r="G11" s="24">
        <f>COUNTIF(INDEX('Table Prediction Calculations'!$V$102:$AS$1101,0,MATCH($A11,'Table Prediction Calculations'!$V$100:$AS$100,0)),G$1)/1000</f>
        <v>3.0000000000000001E-3</v>
      </c>
      <c r="H11" s="24">
        <f>COUNTIF(INDEX('Table Prediction Calculations'!$V$102:$AS$1101,0,MATCH($A11,'Table Prediction Calculations'!$V$100:$AS$100,0)),H$1)/1000</f>
        <v>0.01</v>
      </c>
      <c r="I11" s="24">
        <f>COUNTIF(INDEX('Table Prediction Calculations'!$V$102:$AS$1101,0,MATCH($A11,'Table Prediction Calculations'!$V$100:$AS$100,0)),I$1)/1000</f>
        <v>7.0999999999999994E-2</v>
      </c>
      <c r="J11" s="24">
        <f>COUNTIF(INDEX('Table Prediction Calculations'!$V$102:$AS$1101,0,MATCH($A11,'Table Prediction Calculations'!$V$100:$AS$100,0)),J$1)/1000</f>
        <v>0.14499999999999999</v>
      </c>
      <c r="K11" s="24">
        <f>COUNTIF(INDEX('Table Prediction Calculations'!$V$102:$AS$1101,0,MATCH($A11,'Table Prediction Calculations'!$V$100:$AS$100,0)),K$1)/1000</f>
        <v>0.22</v>
      </c>
      <c r="L11" s="24">
        <f>COUNTIF(INDEX('Table Prediction Calculations'!$V$102:$AS$1101,0,MATCH($A11,'Table Prediction Calculations'!$V$100:$AS$100,0)),L$1)/1000</f>
        <v>0.16900000000000001</v>
      </c>
      <c r="M11" s="24">
        <f>COUNTIF(INDEX('Table Prediction Calculations'!$V$102:$AS$1101,0,MATCH($A11,'Table Prediction Calculations'!$V$100:$AS$100,0)),M$1)/1000</f>
        <v>0.127</v>
      </c>
      <c r="N11" s="24">
        <f>COUNTIF(INDEX('Table Prediction Calculations'!$V$102:$AS$1101,0,MATCH($A11,'Table Prediction Calculations'!$V$100:$AS$100,0)),N$1)/1000</f>
        <v>8.7999999999999995E-2</v>
      </c>
      <c r="O11" s="24">
        <f>COUNTIF(INDEX('Table Prediction Calculations'!$V$102:$AS$1101,0,MATCH($A11,'Table Prediction Calculations'!$V$100:$AS$100,0)),O$1)/1000</f>
        <v>5.7000000000000002E-2</v>
      </c>
      <c r="P11" s="24">
        <f>COUNTIF(INDEX('Table Prediction Calculations'!$V$102:$AS$1101,0,MATCH($A11,'Table Prediction Calculations'!$V$100:$AS$100,0)),P$1)/1000</f>
        <v>4.9000000000000002E-2</v>
      </c>
      <c r="Q11" s="24">
        <f>COUNTIF(INDEX('Table Prediction Calculations'!$V$102:$AS$1101,0,MATCH($A11,'Table Prediction Calculations'!$V$100:$AS$100,0)),Q$1)/1000</f>
        <v>2.5999999999999999E-2</v>
      </c>
      <c r="R11" s="24">
        <f>COUNTIF(INDEX('Table Prediction Calculations'!$V$102:$AS$1101,0,MATCH($A11,'Table Prediction Calculations'!$V$100:$AS$100,0)),R$1)/1000</f>
        <v>1.9E-2</v>
      </c>
      <c r="S11" s="24">
        <f>COUNTIF(INDEX('Table Prediction Calculations'!$V$102:$AS$1101,0,MATCH($A11,'Table Prediction Calculations'!$V$100:$AS$100,0)),S$1)/1000</f>
        <v>8.0000000000000002E-3</v>
      </c>
      <c r="T11" s="24">
        <f>COUNTIF(INDEX('Table Prediction Calculations'!$V$102:$AS$1101,0,MATCH($A11,'Table Prediction Calculations'!$V$100:$AS$100,0)),T$1)/1000</f>
        <v>4.0000000000000001E-3</v>
      </c>
      <c r="U11" s="24">
        <f>COUNTIF(INDEX('Table Prediction Calculations'!$V$102:$AS$1101,0,MATCH($A11,'Table Prediction Calculations'!$V$100:$AS$100,0)),U$1)/1000</f>
        <v>2E-3</v>
      </c>
      <c r="V11" s="24">
        <f>COUNTIF(INDEX('Table Prediction Calculations'!$V$102:$AS$1101,0,MATCH($A11,'Table Prediction Calculations'!$V$100:$AS$100,0)),V$1)/1000</f>
        <v>1E-3</v>
      </c>
      <c r="W11" s="24">
        <f>COUNTIF(INDEX('Table Prediction Calculations'!$V$102:$AS$1101,0,MATCH($A11,'Table Prediction Calculations'!$V$100:$AS$100,0)),W$1)/1000</f>
        <v>1E-3</v>
      </c>
      <c r="X11" s="24">
        <f>COUNTIF(INDEX('Table Prediction Calculations'!$V$102:$AS$1101,0,MATCH($A11,'Table Prediction Calculations'!$V$100:$AS$100,0)),X$1)/1000</f>
        <v>0</v>
      </c>
      <c r="Y11" s="24">
        <f>COUNTIF(INDEX('Table Prediction Calculations'!$V$102:$AS$1101,0,MATCH($A11,'Table Prediction Calculations'!$V$100:$AS$100,0)),Y$1)/1000</f>
        <v>0</v>
      </c>
      <c r="Z11" s="24">
        <f>COUNTIF(INDEX('Table Prediction Calculations'!$V$102:$AS$1101,0,MATCH($A11,'Table Prediction Calculations'!$V$100:$AS$100,0)),Z$1)/1000</f>
        <v>0</v>
      </c>
      <c r="AA11" s="24">
        <f>COUNTIF(INDEX('Table Prediction Calculations'!$V$102:$AS$1101,0,MATCH($A11,'Table Prediction Calculations'!$V$100:$AS$100,0)),AA$1)/1000</f>
        <v>0</v>
      </c>
      <c r="AB11" s="24">
        <f>COUNTIF(INDEX('Table Prediction Calculations'!$V$102:$AS$1101,0,MATCH($A11,'Table Prediction Calculations'!$V$100:$AS$100,0)),AB$1)/1000</f>
        <v>0</v>
      </c>
      <c r="AE11" s="18">
        <v>8</v>
      </c>
      <c r="AF11" s="5" t="str">
        <f>INDEX($A$3:$A$26, MATCH(MAX(L$3:L$26), L$3:L$26, 0))</f>
        <v>Sunderland</v>
      </c>
    </row>
    <row r="12" spans="1:32" ht="26.25" customHeight="1" x14ac:dyDescent="0.25">
      <c r="A12" s="9" t="str">
        <f>Table_Raw!B12</f>
        <v>Norwich City</v>
      </c>
      <c r="B12" s="9">
        <f>Table_Raw!A12</f>
        <v>10</v>
      </c>
      <c r="C12" s="9">
        <f>Table_Raw!C12</f>
        <v>22</v>
      </c>
      <c r="D12" s="9">
        <f>Table_Raw!J12</f>
        <v>31</v>
      </c>
      <c r="E12" s="24">
        <f>COUNTIF(INDEX('Table Prediction Calculations'!$V$102:$AS$1101,0,MATCH($A12,'Table Prediction Calculations'!$V$100:$AS$100,0)),E$1)/1000</f>
        <v>0</v>
      </c>
      <c r="F12" s="24">
        <f>COUNTIF(INDEX('Table Prediction Calculations'!$V$102:$AS$1101,0,MATCH($A12,'Table Prediction Calculations'!$V$100:$AS$100,0)),F$1)/1000</f>
        <v>0</v>
      </c>
      <c r="G12" s="24">
        <f>COUNTIF(INDEX('Table Prediction Calculations'!$V$102:$AS$1101,0,MATCH($A12,'Table Prediction Calculations'!$V$100:$AS$100,0)),G$1)/1000</f>
        <v>0</v>
      </c>
      <c r="H12" s="24">
        <f>COUNTIF(INDEX('Table Prediction Calculations'!$V$102:$AS$1101,0,MATCH($A12,'Table Prediction Calculations'!$V$100:$AS$100,0)),H$1)/1000</f>
        <v>1E-3</v>
      </c>
      <c r="I12" s="24">
        <f>COUNTIF(INDEX('Table Prediction Calculations'!$V$102:$AS$1101,0,MATCH($A12,'Table Prediction Calculations'!$V$100:$AS$100,0)),I$1)/1000</f>
        <v>1.2999999999999999E-2</v>
      </c>
      <c r="J12" s="24">
        <f>COUNTIF(INDEX('Table Prediction Calculations'!$V$102:$AS$1101,0,MATCH($A12,'Table Prediction Calculations'!$V$100:$AS$100,0)),J$1)/1000</f>
        <v>3.7999999999999999E-2</v>
      </c>
      <c r="K12" s="24">
        <f>COUNTIF(INDEX('Table Prediction Calculations'!$V$102:$AS$1101,0,MATCH($A12,'Table Prediction Calculations'!$V$100:$AS$100,0)),K$1)/1000</f>
        <v>4.4999999999999998E-2</v>
      </c>
      <c r="L12" s="24">
        <f>COUNTIF(INDEX('Table Prediction Calculations'!$V$102:$AS$1101,0,MATCH($A12,'Table Prediction Calculations'!$V$100:$AS$100,0)),L$1)/1000</f>
        <v>7.0999999999999994E-2</v>
      </c>
      <c r="M12" s="24">
        <f>COUNTIF(INDEX('Table Prediction Calculations'!$V$102:$AS$1101,0,MATCH($A12,'Table Prediction Calculations'!$V$100:$AS$100,0)),M$1)/1000</f>
        <v>0.10199999999999999</v>
      </c>
      <c r="N12" s="24">
        <f>COUNTIF(INDEX('Table Prediction Calculations'!$V$102:$AS$1101,0,MATCH($A12,'Table Prediction Calculations'!$V$100:$AS$100,0)),N$1)/1000</f>
        <v>0.124</v>
      </c>
      <c r="O12" s="24">
        <f>COUNTIF(INDEX('Table Prediction Calculations'!$V$102:$AS$1101,0,MATCH($A12,'Table Prediction Calculations'!$V$100:$AS$100,0)),O$1)/1000</f>
        <v>0.1</v>
      </c>
      <c r="P12" s="24">
        <f>COUNTIF(INDEX('Table Prediction Calculations'!$V$102:$AS$1101,0,MATCH($A12,'Table Prediction Calculations'!$V$100:$AS$100,0)),P$1)/1000</f>
        <v>0.115</v>
      </c>
      <c r="Q12" s="24">
        <f>COUNTIF(INDEX('Table Prediction Calculations'!$V$102:$AS$1101,0,MATCH($A12,'Table Prediction Calculations'!$V$100:$AS$100,0)),Q$1)/1000</f>
        <v>0.112</v>
      </c>
      <c r="R12" s="24">
        <f>COUNTIF(INDEX('Table Prediction Calculations'!$V$102:$AS$1101,0,MATCH($A12,'Table Prediction Calculations'!$V$100:$AS$100,0)),R$1)/1000</f>
        <v>8.6999999999999994E-2</v>
      </c>
      <c r="S12" s="24">
        <f>COUNTIF(INDEX('Table Prediction Calculations'!$V$102:$AS$1101,0,MATCH($A12,'Table Prediction Calculations'!$V$100:$AS$100,0)),S$1)/1000</f>
        <v>7.4999999999999997E-2</v>
      </c>
      <c r="T12" s="24">
        <f>COUNTIF(INDEX('Table Prediction Calculations'!$V$102:$AS$1101,0,MATCH($A12,'Table Prediction Calculations'!$V$100:$AS$100,0)),T$1)/1000</f>
        <v>5.3999999999999999E-2</v>
      </c>
      <c r="U12" s="24">
        <f>COUNTIF(INDEX('Table Prediction Calculations'!$V$102:$AS$1101,0,MATCH($A12,'Table Prediction Calculations'!$V$100:$AS$100,0)),U$1)/1000</f>
        <v>3.3000000000000002E-2</v>
      </c>
      <c r="V12" s="24">
        <f>COUNTIF(INDEX('Table Prediction Calculations'!$V$102:$AS$1101,0,MATCH($A12,'Table Prediction Calculations'!$V$100:$AS$100,0)),V$1)/1000</f>
        <v>1.7999999999999999E-2</v>
      </c>
      <c r="W12" s="24">
        <f>COUNTIF(INDEX('Table Prediction Calculations'!$V$102:$AS$1101,0,MATCH($A12,'Table Prediction Calculations'!$V$100:$AS$100,0)),W$1)/1000</f>
        <v>8.0000000000000002E-3</v>
      </c>
      <c r="X12" s="24">
        <f>COUNTIF(INDEX('Table Prediction Calculations'!$V$102:$AS$1101,0,MATCH($A12,'Table Prediction Calculations'!$V$100:$AS$100,0)),X$1)/1000</f>
        <v>2E-3</v>
      </c>
      <c r="Y12" s="24">
        <f>COUNTIF(INDEX('Table Prediction Calculations'!$V$102:$AS$1101,0,MATCH($A12,'Table Prediction Calculations'!$V$100:$AS$100,0)),Y$1)/1000</f>
        <v>2E-3</v>
      </c>
      <c r="Z12" s="24">
        <f>COUNTIF(INDEX('Table Prediction Calculations'!$V$102:$AS$1101,0,MATCH($A12,'Table Prediction Calculations'!$V$100:$AS$100,0)),Z$1)/1000</f>
        <v>0</v>
      </c>
      <c r="AA12" s="24">
        <f>COUNTIF(INDEX('Table Prediction Calculations'!$V$102:$AS$1101,0,MATCH($A12,'Table Prediction Calculations'!$V$100:$AS$100,0)),AA$1)/1000</f>
        <v>0</v>
      </c>
      <c r="AB12" s="24">
        <f>COUNTIF(INDEX('Table Prediction Calculations'!$V$102:$AS$1101,0,MATCH($A12,'Table Prediction Calculations'!$V$100:$AS$100,0)),AB$1)/1000</f>
        <v>0</v>
      </c>
      <c r="AE12" s="18">
        <v>9</v>
      </c>
      <c r="AF12" s="5" t="str">
        <f>INDEX($A$3:$A$26, MATCH(MAX(M$3:M$26), M$3:M$26, 0))</f>
        <v>Sunderland</v>
      </c>
    </row>
    <row r="13" spans="1:32" ht="26.25" customHeight="1" x14ac:dyDescent="0.25">
      <c r="A13" s="9" t="str">
        <f>Table_Raw!B13</f>
        <v>Blackburn</v>
      </c>
      <c r="B13" s="9">
        <f>Table_Raw!A13</f>
        <v>11</v>
      </c>
      <c r="C13" s="9">
        <f>Table_Raw!C13</f>
        <v>22</v>
      </c>
      <c r="D13" s="9">
        <f>Table_Raw!J13</f>
        <v>31</v>
      </c>
      <c r="E13" s="24">
        <f>COUNTIF(INDEX('Table Prediction Calculations'!$V$102:$AS$1101,0,MATCH($A13,'Table Prediction Calculations'!$V$100:$AS$100,0)),E$1)/1000</f>
        <v>0</v>
      </c>
      <c r="F13" s="24">
        <f>COUNTIF(INDEX('Table Prediction Calculations'!$V$102:$AS$1101,0,MATCH($A13,'Table Prediction Calculations'!$V$100:$AS$100,0)),F$1)/1000</f>
        <v>0</v>
      </c>
      <c r="G13" s="24">
        <f>COUNTIF(INDEX('Table Prediction Calculations'!$V$102:$AS$1101,0,MATCH($A13,'Table Prediction Calculations'!$V$100:$AS$100,0)),G$1)/1000</f>
        <v>0</v>
      </c>
      <c r="H13" s="24">
        <f>COUNTIF(INDEX('Table Prediction Calculations'!$V$102:$AS$1101,0,MATCH($A13,'Table Prediction Calculations'!$V$100:$AS$100,0)),H$1)/1000</f>
        <v>0</v>
      </c>
      <c r="I13" s="24">
        <f>COUNTIF(INDEX('Table Prediction Calculations'!$V$102:$AS$1101,0,MATCH($A13,'Table Prediction Calculations'!$V$100:$AS$100,0)),I$1)/1000</f>
        <v>2.1000000000000001E-2</v>
      </c>
      <c r="J13" s="24">
        <f>COUNTIF(INDEX('Table Prediction Calculations'!$V$102:$AS$1101,0,MATCH($A13,'Table Prediction Calculations'!$V$100:$AS$100,0)),J$1)/1000</f>
        <v>5.3999999999999999E-2</v>
      </c>
      <c r="K13" s="24">
        <f>COUNTIF(INDEX('Table Prediction Calculations'!$V$102:$AS$1101,0,MATCH($A13,'Table Prediction Calculations'!$V$100:$AS$100,0)),K$1)/1000</f>
        <v>7.5999999999999998E-2</v>
      </c>
      <c r="L13" s="24">
        <f>COUNTIF(INDEX('Table Prediction Calculations'!$V$102:$AS$1101,0,MATCH($A13,'Table Prediction Calculations'!$V$100:$AS$100,0)),L$1)/1000</f>
        <v>9.2999999999999999E-2</v>
      </c>
      <c r="M13" s="24">
        <f>COUNTIF(INDEX('Table Prediction Calculations'!$V$102:$AS$1101,0,MATCH($A13,'Table Prediction Calculations'!$V$100:$AS$100,0)),M$1)/1000</f>
        <v>0.12</v>
      </c>
      <c r="N13" s="24">
        <f>COUNTIF(INDEX('Table Prediction Calculations'!$V$102:$AS$1101,0,MATCH($A13,'Table Prediction Calculations'!$V$100:$AS$100,0)),N$1)/1000</f>
        <v>0.13400000000000001</v>
      </c>
      <c r="O13" s="24">
        <f>COUNTIF(INDEX('Table Prediction Calculations'!$V$102:$AS$1101,0,MATCH($A13,'Table Prediction Calculations'!$V$100:$AS$100,0)),O$1)/1000</f>
        <v>9.8000000000000004E-2</v>
      </c>
      <c r="P13" s="24">
        <f>COUNTIF(INDEX('Table Prediction Calculations'!$V$102:$AS$1101,0,MATCH($A13,'Table Prediction Calculations'!$V$100:$AS$100,0)),P$1)/1000</f>
        <v>8.8999999999999996E-2</v>
      </c>
      <c r="Q13" s="24">
        <f>COUNTIF(INDEX('Table Prediction Calculations'!$V$102:$AS$1101,0,MATCH($A13,'Table Prediction Calculations'!$V$100:$AS$100,0)),Q$1)/1000</f>
        <v>0.1</v>
      </c>
      <c r="R13" s="24">
        <f>COUNTIF(INDEX('Table Prediction Calculations'!$V$102:$AS$1101,0,MATCH($A13,'Table Prediction Calculations'!$V$100:$AS$100,0)),R$1)/1000</f>
        <v>8.5000000000000006E-2</v>
      </c>
      <c r="S13" s="24">
        <f>COUNTIF(INDEX('Table Prediction Calculations'!$V$102:$AS$1101,0,MATCH($A13,'Table Prediction Calculations'!$V$100:$AS$100,0)),S$1)/1000</f>
        <v>4.3999999999999997E-2</v>
      </c>
      <c r="T13" s="24">
        <f>COUNTIF(INDEX('Table Prediction Calculations'!$V$102:$AS$1101,0,MATCH($A13,'Table Prediction Calculations'!$V$100:$AS$100,0)),T$1)/1000</f>
        <v>4.1000000000000002E-2</v>
      </c>
      <c r="U13" s="24">
        <f>COUNTIF(INDEX('Table Prediction Calculations'!$V$102:$AS$1101,0,MATCH($A13,'Table Prediction Calculations'!$V$100:$AS$100,0)),U$1)/1000</f>
        <v>2.7E-2</v>
      </c>
      <c r="V13" s="24">
        <f>COUNTIF(INDEX('Table Prediction Calculations'!$V$102:$AS$1101,0,MATCH($A13,'Table Prediction Calculations'!$V$100:$AS$100,0)),V$1)/1000</f>
        <v>1.2999999999999999E-2</v>
      </c>
      <c r="W13" s="24">
        <f>COUNTIF(INDEX('Table Prediction Calculations'!$V$102:$AS$1101,0,MATCH($A13,'Table Prediction Calculations'!$V$100:$AS$100,0)),W$1)/1000</f>
        <v>3.0000000000000001E-3</v>
      </c>
      <c r="X13" s="24">
        <f>COUNTIF(INDEX('Table Prediction Calculations'!$V$102:$AS$1101,0,MATCH($A13,'Table Prediction Calculations'!$V$100:$AS$100,0)),X$1)/1000</f>
        <v>1E-3</v>
      </c>
      <c r="Y13" s="24">
        <f>COUNTIF(INDEX('Table Prediction Calculations'!$V$102:$AS$1101,0,MATCH($A13,'Table Prediction Calculations'!$V$100:$AS$100,0)),Y$1)/1000</f>
        <v>1E-3</v>
      </c>
      <c r="Z13" s="24">
        <f>COUNTIF(INDEX('Table Prediction Calculations'!$V$102:$AS$1101,0,MATCH($A13,'Table Prediction Calculations'!$V$100:$AS$100,0)),Z$1)/1000</f>
        <v>0</v>
      </c>
      <c r="AA13" s="24">
        <f>COUNTIF(INDEX('Table Prediction Calculations'!$V$102:$AS$1101,0,MATCH($A13,'Table Prediction Calculations'!$V$100:$AS$100,0)),AA$1)/1000</f>
        <v>0</v>
      </c>
      <c r="AB13" s="24">
        <f>COUNTIF(INDEX('Table Prediction Calculations'!$V$102:$AS$1101,0,MATCH($A13,'Table Prediction Calculations'!$V$100:$AS$100,0)),AB$1)/1000</f>
        <v>0</v>
      </c>
      <c r="AE13" s="18">
        <v>10</v>
      </c>
      <c r="AF13" s="5" t="str">
        <f>INDEX($A$3:$A$26, MATCH(MAX(N$3:N$26), N$3:N$26, 0))</f>
        <v>Blackburn</v>
      </c>
    </row>
    <row r="14" spans="1:32" ht="26.25" customHeight="1" x14ac:dyDescent="0.25">
      <c r="A14" s="9" t="str">
        <f>Table_Raw!B14</f>
        <v>Cardiff City</v>
      </c>
      <c r="B14" s="9">
        <f>Table_Raw!A14</f>
        <v>12</v>
      </c>
      <c r="C14" s="9">
        <f>Table_Raw!C14</f>
        <v>22</v>
      </c>
      <c r="D14" s="9">
        <f>Table_Raw!J14</f>
        <v>30</v>
      </c>
      <c r="E14" s="24">
        <f>COUNTIF(INDEX('Table Prediction Calculations'!$V$102:$AS$1101,0,MATCH($A14,'Table Prediction Calculations'!$V$100:$AS$100,0)),E$1)/1000</f>
        <v>0</v>
      </c>
      <c r="F14" s="24">
        <f>COUNTIF(INDEX('Table Prediction Calculations'!$V$102:$AS$1101,0,MATCH($A14,'Table Prediction Calculations'!$V$100:$AS$100,0)),F$1)/1000</f>
        <v>0</v>
      </c>
      <c r="G14" s="24">
        <f>COUNTIF(INDEX('Table Prediction Calculations'!$V$102:$AS$1101,0,MATCH($A14,'Table Prediction Calculations'!$V$100:$AS$100,0)),G$1)/1000</f>
        <v>0</v>
      </c>
      <c r="H14" s="24">
        <f>COUNTIF(INDEX('Table Prediction Calculations'!$V$102:$AS$1101,0,MATCH($A14,'Table Prediction Calculations'!$V$100:$AS$100,0)),H$1)/1000</f>
        <v>0</v>
      </c>
      <c r="I14" s="24">
        <f>COUNTIF(INDEX('Table Prediction Calculations'!$V$102:$AS$1101,0,MATCH($A14,'Table Prediction Calculations'!$V$100:$AS$100,0)),I$1)/1000</f>
        <v>2E-3</v>
      </c>
      <c r="J14" s="24">
        <f>COUNTIF(INDEX('Table Prediction Calculations'!$V$102:$AS$1101,0,MATCH($A14,'Table Prediction Calculations'!$V$100:$AS$100,0)),J$1)/1000</f>
        <v>2.1000000000000001E-2</v>
      </c>
      <c r="K14" s="24">
        <f>COUNTIF(INDEX('Table Prediction Calculations'!$V$102:$AS$1101,0,MATCH($A14,'Table Prediction Calculations'!$V$100:$AS$100,0)),K$1)/1000</f>
        <v>4.2000000000000003E-2</v>
      </c>
      <c r="L14" s="24">
        <f>COUNTIF(INDEX('Table Prediction Calculations'!$V$102:$AS$1101,0,MATCH($A14,'Table Prediction Calculations'!$V$100:$AS$100,0)),L$1)/1000</f>
        <v>8.5999999999999993E-2</v>
      </c>
      <c r="M14" s="24">
        <f>COUNTIF(INDEX('Table Prediction Calculations'!$V$102:$AS$1101,0,MATCH($A14,'Table Prediction Calculations'!$V$100:$AS$100,0)),M$1)/1000</f>
        <v>0.11799999999999999</v>
      </c>
      <c r="N14" s="24">
        <f>COUNTIF(INDEX('Table Prediction Calculations'!$V$102:$AS$1101,0,MATCH($A14,'Table Prediction Calculations'!$V$100:$AS$100,0)),N$1)/1000</f>
        <v>0.109</v>
      </c>
      <c r="O14" s="24">
        <f>COUNTIF(INDEX('Table Prediction Calculations'!$V$102:$AS$1101,0,MATCH($A14,'Table Prediction Calculations'!$V$100:$AS$100,0)),O$1)/1000</f>
        <v>0.12</v>
      </c>
      <c r="P14" s="24">
        <f>COUNTIF(INDEX('Table Prediction Calculations'!$V$102:$AS$1101,0,MATCH($A14,'Table Prediction Calculations'!$V$100:$AS$100,0)),P$1)/1000</f>
        <v>0.11899999999999999</v>
      </c>
      <c r="Q14" s="24">
        <f>COUNTIF(INDEX('Table Prediction Calculations'!$V$102:$AS$1101,0,MATCH($A14,'Table Prediction Calculations'!$V$100:$AS$100,0)),Q$1)/1000</f>
        <v>0.1</v>
      </c>
      <c r="R14" s="24">
        <f>COUNTIF(INDEX('Table Prediction Calculations'!$V$102:$AS$1101,0,MATCH($A14,'Table Prediction Calculations'!$V$100:$AS$100,0)),R$1)/1000</f>
        <v>9.4E-2</v>
      </c>
      <c r="S14" s="24">
        <f>COUNTIF(INDEX('Table Prediction Calculations'!$V$102:$AS$1101,0,MATCH($A14,'Table Prediction Calculations'!$V$100:$AS$100,0)),S$1)/1000</f>
        <v>7.3999999999999996E-2</v>
      </c>
      <c r="T14" s="24">
        <f>COUNTIF(INDEX('Table Prediction Calculations'!$V$102:$AS$1101,0,MATCH($A14,'Table Prediction Calculations'!$V$100:$AS$100,0)),T$1)/1000</f>
        <v>5.7000000000000002E-2</v>
      </c>
      <c r="U14" s="24">
        <f>COUNTIF(INDEX('Table Prediction Calculations'!$V$102:$AS$1101,0,MATCH($A14,'Table Prediction Calculations'!$V$100:$AS$100,0)),U$1)/1000</f>
        <v>3.1E-2</v>
      </c>
      <c r="V14" s="24">
        <f>COUNTIF(INDEX('Table Prediction Calculations'!$V$102:$AS$1101,0,MATCH($A14,'Table Prediction Calculations'!$V$100:$AS$100,0)),V$1)/1000</f>
        <v>1.7999999999999999E-2</v>
      </c>
      <c r="W14" s="24">
        <f>COUNTIF(INDEX('Table Prediction Calculations'!$V$102:$AS$1101,0,MATCH($A14,'Table Prediction Calculations'!$V$100:$AS$100,0)),W$1)/1000</f>
        <v>4.0000000000000001E-3</v>
      </c>
      <c r="X14" s="24">
        <f>COUNTIF(INDEX('Table Prediction Calculations'!$V$102:$AS$1101,0,MATCH($A14,'Table Prediction Calculations'!$V$100:$AS$100,0)),X$1)/1000</f>
        <v>2E-3</v>
      </c>
      <c r="Y14" s="24">
        <f>COUNTIF(INDEX('Table Prediction Calculations'!$V$102:$AS$1101,0,MATCH($A14,'Table Prediction Calculations'!$V$100:$AS$100,0)),Y$1)/1000</f>
        <v>1E-3</v>
      </c>
      <c r="Z14" s="24">
        <f>COUNTIF(INDEX('Table Prediction Calculations'!$V$102:$AS$1101,0,MATCH($A14,'Table Prediction Calculations'!$V$100:$AS$100,0)),Z$1)/1000</f>
        <v>0</v>
      </c>
      <c r="AA14" s="24">
        <f>COUNTIF(INDEX('Table Prediction Calculations'!$V$102:$AS$1101,0,MATCH($A14,'Table Prediction Calculations'!$V$100:$AS$100,0)),AA$1)/1000</f>
        <v>0</v>
      </c>
      <c r="AB14" s="24">
        <f>COUNTIF(INDEX('Table Prediction Calculations'!$V$102:$AS$1101,0,MATCH($A14,'Table Prediction Calculations'!$V$100:$AS$100,0)),AB$1)/1000</f>
        <v>0</v>
      </c>
      <c r="AE14" s="18">
        <v>11</v>
      </c>
      <c r="AF14" s="5" t="str">
        <f>INDEX($A$3:$A$26, MATCH(MAX(O$3:O$26), O$3:O$26, 0))</f>
        <v>Middlesbrough</v>
      </c>
    </row>
    <row r="15" spans="1:32" ht="26.25" customHeight="1" x14ac:dyDescent="0.25">
      <c r="A15" s="9" t="str">
        <f>Table_Raw!B15</f>
        <v>Middlesbrough</v>
      </c>
      <c r="B15" s="9">
        <f>Table_Raw!A15</f>
        <v>13</v>
      </c>
      <c r="C15" s="9">
        <f>Table_Raw!C15</f>
        <v>22</v>
      </c>
      <c r="D15" s="9">
        <f>Table_Raw!J15</f>
        <v>30</v>
      </c>
      <c r="E15" s="24">
        <f>COUNTIF(INDEX('Table Prediction Calculations'!$V$102:$AS$1101,0,MATCH($A15,'Table Prediction Calculations'!$V$100:$AS$100,0)),E$1)/1000</f>
        <v>0</v>
      </c>
      <c r="F15" s="24">
        <f>COUNTIF(INDEX('Table Prediction Calculations'!$V$102:$AS$1101,0,MATCH($A15,'Table Prediction Calculations'!$V$100:$AS$100,0)),F$1)/1000</f>
        <v>0</v>
      </c>
      <c r="G15" s="24">
        <f>COUNTIF(INDEX('Table Prediction Calculations'!$V$102:$AS$1101,0,MATCH($A15,'Table Prediction Calculations'!$V$100:$AS$100,0)),G$1)/1000</f>
        <v>1E-3</v>
      </c>
      <c r="H15" s="24">
        <f>COUNTIF(INDEX('Table Prediction Calculations'!$V$102:$AS$1101,0,MATCH($A15,'Table Prediction Calculations'!$V$100:$AS$100,0)),H$1)/1000</f>
        <v>3.0000000000000001E-3</v>
      </c>
      <c r="I15" s="24">
        <f>COUNTIF(INDEX('Table Prediction Calculations'!$V$102:$AS$1101,0,MATCH($A15,'Table Prediction Calculations'!$V$100:$AS$100,0)),I$1)/1000</f>
        <v>1.4E-2</v>
      </c>
      <c r="J15" s="24">
        <f>COUNTIF(INDEX('Table Prediction Calculations'!$V$102:$AS$1101,0,MATCH($A15,'Table Prediction Calculations'!$V$100:$AS$100,0)),J$1)/1000</f>
        <v>4.2000000000000003E-2</v>
      </c>
      <c r="K15" s="24">
        <f>COUNTIF(INDEX('Table Prediction Calculations'!$V$102:$AS$1101,0,MATCH($A15,'Table Prediction Calculations'!$V$100:$AS$100,0)),K$1)/1000</f>
        <v>7.0000000000000007E-2</v>
      </c>
      <c r="L15" s="24">
        <f>COUNTIF(INDEX('Table Prediction Calculations'!$V$102:$AS$1101,0,MATCH($A15,'Table Prediction Calculations'!$V$100:$AS$100,0)),L$1)/1000</f>
        <v>9.4E-2</v>
      </c>
      <c r="M15" s="24">
        <f>COUNTIF(INDEX('Table Prediction Calculations'!$V$102:$AS$1101,0,MATCH($A15,'Table Prediction Calculations'!$V$100:$AS$100,0)),M$1)/1000</f>
        <v>0.121</v>
      </c>
      <c r="N15" s="24">
        <f>COUNTIF(INDEX('Table Prediction Calculations'!$V$102:$AS$1101,0,MATCH($A15,'Table Prediction Calculations'!$V$100:$AS$100,0)),N$1)/1000</f>
        <v>0.123</v>
      </c>
      <c r="O15" s="24">
        <f>COUNTIF(INDEX('Table Prediction Calculations'!$V$102:$AS$1101,0,MATCH($A15,'Table Prediction Calculations'!$V$100:$AS$100,0)),O$1)/1000</f>
        <v>0.13500000000000001</v>
      </c>
      <c r="P15" s="24">
        <f>COUNTIF(INDEX('Table Prediction Calculations'!$V$102:$AS$1101,0,MATCH($A15,'Table Prediction Calculations'!$V$100:$AS$100,0)),P$1)/1000</f>
        <v>8.8999999999999996E-2</v>
      </c>
      <c r="Q15" s="24">
        <f>COUNTIF(INDEX('Table Prediction Calculations'!$V$102:$AS$1101,0,MATCH($A15,'Table Prediction Calculations'!$V$100:$AS$100,0)),Q$1)/1000</f>
        <v>9.2999999999999999E-2</v>
      </c>
      <c r="R15" s="24">
        <f>COUNTIF(INDEX('Table Prediction Calculations'!$V$102:$AS$1101,0,MATCH($A15,'Table Prediction Calculations'!$V$100:$AS$100,0)),R$1)/1000</f>
        <v>6.4000000000000001E-2</v>
      </c>
      <c r="S15" s="24">
        <f>COUNTIF(INDEX('Table Prediction Calculations'!$V$102:$AS$1101,0,MATCH($A15,'Table Prediction Calculations'!$V$100:$AS$100,0)),S$1)/1000</f>
        <v>5.3999999999999999E-2</v>
      </c>
      <c r="T15" s="24">
        <f>COUNTIF(INDEX('Table Prediction Calculations'!$V$102:$AS$1101,0,MATCH($A15,'Table Prediction Calculations'!$V$100:$AS$100,0)),T$1)/1000</f>
        <v>4.7E-2</v>
      </c>
      <c r="U15" s="24">
        <f>COUNTIF(INDEX('Table Prediction Calculations'!$V$102:$AS$1101,0,MATCH($A15,'Table Prediction Calculations'!$V$100:$AS$100,0)),U$1)/1000</f>
        <v>2.1999999999999999E-2</v>
      </c>
      <c r="V15" s="24">
        <f>COUNTIF(INDEX('Table Prediction Calculations'!$V$102:$AS$1101,0,MATCH($A15,'Table Prediction Calculations'!$V$100:$AS$100,0)),V$1)/1000</f>
        <v>2.4E-2</v>
      </c>
      <c r="W15" s="24">
        <f>COUNTIF(INDEX('Table Prediction Calculations'!$V$102:$AS$1101,0,MATCH($A15,'Table Prediction Calculations'!$V$100:$AS$100,0)),W$1)/1000</f>
        <v>2E-3</v>
      </c>
      <c r="X15" s="24">
        <f>COUNTIF(INDEX('Table Prediction Calculations'!$V$102:$AS$1101,0,MATCH($A15,'Table Prediction Calculations'!$V$100:$AS$100,0)),X$1)/1000</f>
        <v>1E-3</v>
      </c>
      <c r="Y15" s="24">
        <f>COUNTIF(INDEX('Table Prediction Calculations'!$V$102:$AS$1101,0,MATCH($A15,'Table Prediction Calculations'!$V$100:$AS$100,0)),Y$1)/1000</f>
        <v>0</v>
      </c>
      <c r="Z15" s="24">
        <f>COUNTIF(INDEX('Table Prediction Calculations'!$V$102:$AS$1101,0,MATCH($A15,'Table Prediction Calculations'!$V$100:$AS$100,0)),Z$1)/1000</f>
        <v>0</v>
      </c>
      <c r="AA15" s="24">
        <f>COUNTIF(INDEX('Table Prediction Calculations'!$V$102:$AS$1101,0,MATCH($A15,'Table Prediction Calculations'!$V$100:$AS$100,0)),AA$1)/1000</f>
        <v>0</v>
      </c>
      <c r="AB15" s="24">
        <f>COUNTIF(INDEX('Table Prediction Calculations'!$V$102:$AS$1101,0,MATCH($A15,'Table Prediction Calculations'!$V$100:$AS$100,0)),AB$1)/1000</f>
        <v>0</v>
      </c>
      <c r="AE15" s="18">
        <v>12</v>
      </c>
      <c r="AF15" s="5" t="str">
        <f>INDEX($A$3:$A$26, MATCH(MAX(P$3:P$26), P$3:P$26, 0))</f>
        <v>Cardiff City</v>
      </c>
    </row>
    <row r="16" spans="1:32" ht="26.25" customHeight="1" x14ac:dyDescent="0.25">
      <c r="A16" s="9" t="str">
        <f>Table_Raw!B16</f>
        <v>Bristol City</v>
      </c>
      <c r="B16" s="9">
        <f>Table_Raw!A16</f>
        <v>14</v>
      </c>
      <c r="C16" s="9">
        <f>Table_Raw!C16</f>
        <v>22</v>
      </c>
      <c r="D16" s="9">
        <f>Table_Raw!J16</f>
        <v>29</v>
      </c>
      <c r="E16" s="24">
        <f>COUNTIF(INDEX('Table Prediction Calculations'!$V$102:$AS$1101,0,MATCH($A16,'Table Prediction Calculations'!$V$100:$AS$100,0)),E$1)/1000</f>
        <v>0</v>
      </c>
      <c r="F16" s="24">
        <f>COUNTIF(INDEX('Table Prediction Calculations'!$V$102:$AS$1101,0,MATCH($A16,'Table Prediction Calculations'!$V$100:$AS$100,0)),F$1)/1000</f>
        <v>0</v>
      </c>
      <c r="G16" s="24">
        <f>COUNTIF(INDEX('Table Prediction Calculations'!$V$102:$AS$1101,0,MATCH($A16,'Table Prediction Calculations'!$V$100:$AS$100,0)),G$1)/1000</f>
        <v>0</v>
      </c>
      <c r="H16" s="24">
        <f>COUNTIF(INDEX('Table Prediction Calculations'!$V$102:$AS$1101,0,MATCH($A16,'Table Prediction Calculations'!$V$100:$AS$100,0)),H$1)/1000</f>
        <v>0</v>
      </c>
      <c r="I16" s="24">
        <f>COUNTIF(INDEX('Table Prediction Calculations'!$V$102:$AS$1101,0,MATCH($A16,'Table Prediction Calculations'!$V$100:$AS$100,0)),I$1)/1000</f>
        <v>2E-3</v>
      </c>
      <c r="J16" s="24">
        <f>COUNTIF(INDEX('Table Prediction Calculations'!$V$102:$AS$1101,0,MATCH($A16,'Table Prediction Calculations'!$V$100:$AS$100,0)),J$1)/1000</f>
        <v>5.0000000000000001E-3</v>
      </c>
      <c r="K16" s="24">
        <f>COUNTIF(INDEX('Table Prediction Calculations'!$V$102:$AS$1101,0,MATCH($A16,'Table Prediction Calculations'!$V$100:$AS$100,0)),K$1)/1000</f>
        <v>2.1000000000000001E-2</v>
      </c>
      <c r="L16" s="24">
        <f>COUNTIF(INDEX('Table Prediction Calculations'!$V$102:$AS$1101,0,MATCH($A16,'Table Prediction Calculations'!$V$100:$AS$100,0)),L$1)/1000</f>
        <v>4.7E-2</v>
      </c>
      <c r="M16" s="24">
        <f>COUNTIF(INDEX('Table Prediction Calculations'!$V$102:$AS$1101,0,MATCH($A16,'Table Prediction Calculations'!$V$100:$AS$100,0)),M$1)/1000</f>
        <v>4.8000000000000001E-2</v>
      </c>
      <c r="N16" s="24">
        <f>COUNTIF(INDEX('Table Prediction Calculations'!$V$102:$AS$1101,0,MATCH($A16,'Table Prediction Calculations'!$V$100:$AS$100,0)),N$1)/1000</f>
        <v>8.8999999999999996E-2</v>
      </c>
      <c r="O16" s="24">
        <f>COUNTIF(INDEX('Table Prediction Calculations'!$V$102:$AS$1101,0,MATCH($A16,'Table Prediction Calculations'!$V$100:$AS$100,0)),O$1)/1000</f>
        <v>7.9000000000000001E-2</v>
      </c>
      <c r="P16" s="24">
        <f>COUNTIF(INDEX('Table Prediction Calculations'!$V$102:$AS$1101,0,MATCH($A16,'Table Prediction Calculations'!$V$100:$AS$100,0)),P$1)/1000</f>
        <v>0.10100000000000001</v>
      </c>
      <c r="Q16" s="24">
        <f>COUNTIF(INDEX('Table Prediction Calculations'!$V$102:$AS$1101,0,MATCH($A16,'Table Prediction Calculations'!$V$100:$AS$100,0)),Q$1)/1000</f>
        <v>9.6000000000000002E-2</v>
      </c>
      <c r="R16" s="24">
        <f>COUNTIF(INDEX('Table Prediction Calculations'!$V$102:$AS$1101,0,MATCH($A16,'Table Prediction Calculations'!$V$100:$AS$100,0)),R$1)/1000</f>
        <v>0.09</v>
      </c>
      <c r="S16" s="24">
        <f>COUNTIF(INDEX('Table Prediction Calculations'!$V$102:$AS$1101,0,MATCH($A16,'Table Prediction Calculations'!$V$100:$AS$100,0)),S$1)/1000</f>
        <v>0.105</v>
      </c>
      <c r="T16" s="24">
        <f>COUNTIF(INDEX('Table Prediction Calculations'!$V$102:$AS$1101,0,MATCH($A16,'Table Prediction Calculations'!$V$100:$AS$100,0)),T$1)/1000</f>
        <v>0.11600000000000001</v>
      </c>
      <c r="U16" s="24">
        <f>COUNTIF(INDEX('Table Prediction Calculations'!$V$102:$AS$1101,0,MATCH($A16,'Table Prediction Calculations'!$V$100:$AS$100,0)),U$1)/1000</f>
        <v>9.0999999999999998E-2</v>
      </c>
      <c r="V16" s="24">
        <f>COUNTIF(INDEX('Table Prediction Calculations'!$V$102:$AS$1101,0,MATCH($A16,'Table Prediction Calculations'!$V$100:$AS$100,0)),V$1)/1000</f>
        <v>6.8000000000000005E-2</v>
      </c>
      <c r="W16" s="24">
        <f>COUNTIF(INDEX('Table Prediction Calculations'!$V$102:$AS$1101,0,MATCH($A16,'Table Prediction Calculations'!$V$100:$AS$100,0)),W$1)/1000</f>
        <v>2.5999999999999999E-2</v>
      </c>
      <c r="X16" s="24">
        <f>COUNTIF(INDEX('Table Prediction Calculations'!$V$102:$AS$1101,0,MATCH($A16,'Table Prediction Calculations'!$V$100:$AS$100,0)),X$1)/1000</f>
        <v>0.01</v>
      </c>
      <c r="Y16" s="24">
        <f>COUNTIF(INDEX('Table Prediction Calculations'!$V$102:$AS$1101,0,MATCH($A16,'Table Prediction Calculations'!$V$100:$AS$100,0)),Y$1)/1000</f>
        <v>6.0000000000000001E-3</v>
      </c>
      <c r="Z16" s="24">
        <f>COUNTIF(INDEX('Table Prediction Calculations'!$V$102:$AS$1101,0,MATCH($A16,'Table Prediction Calculations'!$V$100:$AS$100,0)),Z$1)/1000</f>
        <v>0</v>
      </c>
      <c r="AA16" s="24">
        <f>COUNTIF(INDEX('Table Prediction Calculations'!$V$102:$AS$1101,0,MATCH($A16,'Table Prediction Calculations'!$V$100:$AS$100,0)),AA$1)/1000</f>
        <v>0</v>
      </c>
      <c r="AB16" s="24">
        <f>COUNTIF(INDEX('Table Prediction Calculations'!$V$102:$AS$1101,0,MATCH($A16,'Table Prediction Calculations'!$V$100:$AS$100,0)),AB$1)/1000</f>
        <v>0</v>
      </c>
      <c r="AE16" s="18">
        <v>13</v>
      </c>
      <c r="AF16" s="5" t="str">
        <f>INDEX($A$3:$A$26, MATCH(MAX(Q$3:Q$26), Q$3:Q$26, 0))</f>
        <v>Norwich City</v>
      </c>
    </row>
    <row r="17" spans="1:32" ht="26.25" customHeight="1" x14ac:dyDescent="0.25">
      <c r="A17" s="9" t="str">
        <f>Table_Raw!B17</f>
        <v>Coventry City</v>
      </c>
      <c r="B17" s="9">
        <f>Table_Raw!A17</f>
        <v>15</v>
      </c>
      <c r="C17" s="9">
        <f>Table_Raw!C17</f>
        <v>22</v>
      </c>
      <c r="D17" s="9">
        <f>Table_Raw!J17</f>
        <v>27</v>
      </c>
      <c r="E17" s="24">
        <f>COUNTIF(INDEX('Table Prediction Calculations'!$V$102:$AS$1101,0,MATCH($A17,'Table Prediction Calculations'!$V$100:$AS$100,0)),E$1)/1000</f>
        <v>0</v>
      </c>
      <c r="F17" s="24">
        <f>COUNTIF(INDEX('Table Prediction Calculations'!$V$102:$AS$1101,0,MATCH($A17,'Table Prediction Calculations'!$V$100:$AS$100,0)),F$1)/1000</f>
        <v>0</v>
      </c>
      <c r="G17" s="24">
        <f>COUNTIF(INDEX('Table Prediction Calculations'!$V$102:$AS$1101,0,MATCH($A17,'Table Prediction Calculations'!$V$100:$AS$100,0)),G$1)/1000</f>
        <v>0</v>
      </c>
      <c r="H17" s="24">
        <f>COUNTIF(INDEX('Table Prediction Calculations'!$V$102:$AS$1101,0,MATCH($A17,'Table Prediction Calculations'!$V$100:$AS$100,0)),H$1)/1000</f>
        <v>0</v>
      </c>
      <c r="I17" s="24">
        <f>COUNTIF(INDEX('Table Prediction Calculations'!$V$102:$AS$1101,0,MATCH($A17,'Table Prediction Calculations'!$V$100:$AS$100,0)),I$1)/1000</f>
        <v>0</v>
      </c>
      <c r="J17" s="24">
        <f>COUNTIF(INDEX('Table Prediction Calculations'!$V$102:$AS$1101,0,MATCH($A17,'Table Prediction Calculations'!$V$100:$AS$100,0)),J$1)/1000</f>
        <v>3.0000000000000001E-3</v>
      </c>
      <c r="K17" s="24">
        <f>COUNTIF(INDEX('Table Prediction Calculations'!$V$102:$AS$1101,0,MATCH($A17,'Table Prediction Calculations'!$V$100:$AS$100,0)),K$1)/1000</f>
        <v>1.0999999999999999E-2</v>
      </c>
      <c r="L17" s="24">
        <f>COUNTIF(INDEX('Table Prediction Calculations'!$V$102:$AS$1101,0,MATCH($A17,'Table Prediction Calculations'!$V$100:$AS$100,0)),L$1)/1000</f>
        <v>2.3E-2</v>
      </c>
      <c r="M17" s="24">
        <f>COUNTIF(INDEX('Table Prediction Calculations'!$V$102:$AS$1101,0,MATCH($A17,'Table Prediction Calculations'!$V$100:$AS$100,0)),M$1)/1000</f>
        <v>4.1000000000000002E-2</v>
      </c>
      <c r="N17" s="24">
        <f>COUNTIF(INDEX('Table Prediction Calculations'!$V$102:$AS$1101,0,MATCH($A17,'Table Prediction Calculations'!$V$100:$AS$100,0)),N$1)/1000</f>
        <v>6.0999999999999999E-2</v>
      </c>
      <c r="O17" s="24">
        <f>COUNTIF(INDEX('Table Prediction Calculations'!$V$102:$AS$1101,0,MATCH($A17,'Table Prediction Calculations'!$V$100:$AS$100,0)),O$1)/1000</f>
        <v>8.1000000000000003E-2</v>
      </c>
      <c r="P17" s="24">
        <f>COUNTIF(INDEX('Table Prediction Calculations'!$V$102:$AS$1101,0,MATCH($A17,'Table Prediction Calculations'!$V$100:$AS$100,0)),P$1)/1000</f>
        <v>8.4000000000000005E-2</v>
      </c>
      <c r="Q17" s="24">
        <f>COUNTIF(INDEX('Table Prediction Calculations'!$V$102:$AS$1101,0,MATCH($A17,'Table Prediction Calculations'!$V$100:$AS$100,0)),Q$1)/1000</f>
        <v>9.9000000000000005E-2</v>
      </c>
      <c r="R17" s="24">
        <f>COUNTIF(INDEX('Table Prediction Calculations'!$V$102:$AS$1101,0,MATCH($A17,'Table Prediction Calculations'!$V$100:$AS$100,0)),R$1)/1000</f>
        <v>0.122</v>
      </c>
      <c r="S17" s="24">
        <f>COUNTIF(INDEX('Table Prediction Calculations'!$V$102:$AS$1101,0,MATCH($A17,'Table Prediction Calculations'!$V$100:$AS$100,0)),S$1)/1000</f>
        <v>0.11700000000000001</v>
      </c>
      <c r="T17" s="24">
        <f>COUNTIF(INDEX('Table Prediction Calculations'!$V$102:$AS$1101,0,MATCH($A17,'Table Prediction Calculations'!$V$100:$AS$100,0)),T$1)/1000</f>
        <v>0.13600000000000001</v>
      </c>
      <c r="U17" s="24">
        <f>COUNTIF(INDEX('Table Prediction Calculations'!$V$102:$AS$1101,0,MATCH($A17,'Table Prediction Calculations'!$V$100:$AS$100,0)),U$1)/1000</f>
        <v>9.8000000000000004E-2</v>
      </c>
      <c r="V17" s="24">
        <f>COUNTIF(INDEX('Table Prediction Calculations'!$V$102:$AS$1101,0,MATCH($A17,'Table Prediction Calculations'!$V$100:$AS$100,0)),V$1)/1000</f>
        <v>6.6000000000000003E-2</v>
      </c>
      <c r="W17" s="24">
        <f>COUNTIF(INDEX('Table Prediction Calculations'!$V$102:$AS$1101,0,MATCH($A17,'Table Prediction Calculations'!$V$100:$AS$100,0)),W$1)/1000</f>
        <v>4.7E-2</v>
      </c>
      <c r="X17" s="24">
        <f>COUNTIF(INDEX('Table Prediction Calculations'!$V$102:$AS$1101,0,MATCH($A17,'Table Prediction Calculations'!$V$100:$AS$100,0)),X$1)/1000</f>
        <v>8.9999999999999993E-3</v>
      </c>
      <c r="Y17" s="24">
        <f>COUNTIF(INDEX('Table Prediction Calculations'!$V$102:$AS$1101,0,MATCH($A17,'Table Prediction Calculations'!$V$100:$AS$100,0)),Y$1)/1000</f>
        <v>0</v>
      </c>
      <c r="Z17" s="24">
        <f>COUNTIF(INDEX('Table Prediction Calculations'!$V$102:$AS$1101,0,MATCH($A17,'Table Prediction Calculations'!$V$100:$AS$100,0)),Z$1)/1000</f>
        <v>1E-3</v>
      </c>
      <c r="AA17" s="24">
        <f>COUNTIF(INDEX('Table Prediction Calculations'!$V$102:$AS$1101,0,MATCH($A17,'Table Prediction Calculations'!$V$100:$AS$100,0)),AA$1)/1000</f>
        <v>0</v>
      </c>
      <c r="AB17" s="24">
        <f>COUNTIF(INDEX('Table Prediction Calculations'!$V$102:$AS$1101,0,MATCH($A17,'Table Prediction Calculations'!$V$100:$AS$100,0)),AB$1)/1000</f>
        <v>0</v>
      </c>
      <c r="AE17" s="18">
        <v>14</v>
      </c>
      <c r="AF17" s="5" t="str">
        <f>INDEX($A$3:$A$26, MATCH(MAX(R$3:R$26), R$3:R$26, 0))</f>
        <v>Coventry City</v>
      </c>
    </row>
    <row r="18" spans="1:32" ht="26.25" customHeight="1" x14ac:dyDescent="0.25">
      <c r="A18" s="9" t="str">
        <f>Table_Raw!B18</f>
        <v>Plymouth Argyle</v>
      </c>
      <c r="B18" s="9">
        <f>Table_Raw!A18</f>
        <v>16</v>
      </c>
      <c r="C18" s="9">
        <f>Table_Raw!C18</f>
        <v>22</v>
      </c>
      <c r="D18" s="9">
        <f>Table_Raw!J18</f>
        <v>26</v>
      </c>
      <c r="E18" s="24">
        <f>COUNTIF(INDEX('Table Prediction Calculations'!$V$102:$AS$1101,0,MATCH($A18,'Table Prediction Calculations'!$V$100:$AS$100,0)),E$1)/1000</f>
        <v>0</v>
      </c>
      <c r="F18" s="24">
        <f>COUNTIF(INDEX('Table Prediction Calculations'!$V$102:$AS$1101,0,MATCH($A18,'Table Prediction Calculations'!$V$100:$AS$100,0)),F$1)/1000</f>
        <v>0</v>
      </c>
      <c r="G18" s="24">
        <f>COUNTIF(INDEX('Table Prediction Calculations'!$V$102:$AS$1101,0,MATCH($A18,'Table Prediction Calculations'!$V$100:$AS$100,0)),G$1)/1000</f>
        <v>0</v>
      </c>
      <c r="H18" s="24">
        <f>COUNTIF(INDEX('Table Prediction Calculations'!$V$102:$AS$1101,0,MATCH($A18,'Table Prediction Calculations'!$V$100:$AS$100,0)),H$1)/1000</f>
        <v>0</v>
      </c>
      <c r="I18" s="24">
        <f>COUNTIF(INDEX('Table Prediction Calculations'!$V$102:$AS$1101,0,MATCH($A18,'Table Prediction Calculations'!$V$100:$AS$100,0)),I$1)/1000</f>
        <v>0</v>
      </c>
      <c r="J18" s="24">
        <f>COUNTIF(INDEX('Table Prediction Calculations'!$V$102:$AS$1101,0,MATCH($A18,'Table Prediction Calculations'!$V$100:$AS$100,0)),J$1)/1000</f>
        <v>1E-3</v>
      </c>
      <c r="K18" s="24">
        <f>COUNTIF(INDEX('Table Prediction Calculations'!$V$102:$AS$1101,0,MATCH($A18,'Table Prediction Calculations'!$V$100:$AS$100,0)),K$1)/1000</f>
        <v>4.0000000000000001E-3</v>
      </c>
      <c r="L18" s="24">
        <f>COUNTIF(INDEX('Table Prediction Calculations'!$V$102:$AS$1101,0,MATCH($A18,'Table Prediction Calculations'!$V$100:$AS$100,0)),L$1)/1000</f>
        <v>1.0999999999999999E-2</v>
      </c>
      <c r="M18" s="24">
        <f>COUNTIF(INDEX('Table Prediction Calculations'!$V$102:$AS$1101,0,MATCH($A18,'Table Prediction Calculations'!$V$100:$AS$100,0)),M$1)/1000</f>
        <v>2.1000000000000001E-2</v>
      </c>
      <c r="N18" s="24">
        <f>COUNTIF(INDEX('Table Prediction Calculations'!$V$102:$AS$1101,0,MATCH($A18,'Table Prediction Calculations'!$V$100:$AS$100,0)),N$1)/1000</f>
        <v>2.5000000000000001E-2</v>
      </c>
      <c r="O18" s="24">
        <f>COUNTIF(INDEX('Table Prediction Calculations'!$V$102:$AS$1101,0,MATCH($A18,'Table Prediction Calculations'!$V$100:$AS$100,0)),O$1)/1000</f>
        <v>4.8000000000000001E-2</v>
      </c>
      <c r="P18" s="24">
        <f>COUNTIF(INDEX('Table Prediction Calculations'!$V$102:$AS$1101,0,MATCH($A18,'Table Prediction Calculations'!$V$100:$AS$100,0)),P$1)/1000</f>
        <v>6.2E-2</v>
      </c>
      <c r="Q18" s="24">
        <f>COUNTIF(INDEX('Table Prediction Calculations'!$V$102:$AS$1101,0,MATCH($A18,'Table Prediction Calculations'!$V$100:$AS$100,0)),Q$1)/1000</f>
        <v>7.0999999999999994E-2</v>
      </c>
      <c r="R18" s="24">
        <f>COUNTIF(INDEX('Table Prediction Calculations'!$V$102:$AS$1101,0,MATCH($A18,'Table Prediction Calculations'!$V$100:$AS$100,0)),R$1)/1000</f>
        <v>9.7000000000000003E-2</v>
      </c>
      <c r="S18" s="24">
        <f>COUNTIF(INDEX('Table Prediction Calculations'!$V$102:$AS$1101,0,MATCH($A18,'Table Prediction Calculations'!$V$100:$AS$100,0)),S$1)/1000</f>
        <v>0.123</v>
      </c>
      <c r="T18" s="24">
        <f>COUNTIF(INDEX('Table Prediction Calculations'!$V$102:$AS$1101,0,MATCH($A18,'Table Prediction Calculations'!$V$100:$AS$100,0)),T$1)/1000</f>
        <v>0.127</v>
      </c>
      <c r="U18" s="24">
        <f>COUNTIF(INDEX('Table Prediction Calculations'!$V$102:$AS$1101,0,MATCH($A18,'Table Prediction Calculations'!$V$100:$AS$100,0)),U$1)/1000</f>
        <v>0.12</v>
      </c>
      <c r="V18" s="24">
        <f>COUNTIF(INDEX('Table Prediction Calculations'!$V$102:$AS$1101,0,MATCH($A18,'Table Prediction Calculations'!$V$100:$AS$100,0)),V$1)/1000</f>
        <v>0.13800000000000001</v>
      </c>
      <c r="W18" s="24">
        <f>COUNTIF(INDEX('Table Prediction Calculations'!$V$102:$AS$1101,0,MATCH($A18,'Table Prediction Calculations'!$V$100:$AS$100,0)),W$1)/1000</f>
        <v>8.6999999999999994E-2</v>
      </c>
      <c r="X18" s="24">
        <f>COUNTIF(INDEX('Table Prediction Calculations'!$V$102:$AS$1101,0,MATCH($A18,'Table Prediction Calculations'!$V$100:$AS$100,0)),X$1)/1000</f>
        <v>4.5999999999999999E-2</v>
      </c>
      <c r="Y18" s="24">
        <f>COUNTIF(INDEX('Table Prediction Calculations'!$V$102:$AS$1101,0,MATCH($A18,'Table Prediction Calculations'!$V$100:$AS$100,0)),Y$1)/1000</f>
        <v>1.6E-2</v>
      </c>
      <c r="Z18" s="24">
        <f>COUNTIF(INDEX('Table Prediction Calculations'!$V$102:$AS$1101,0,MATCH($A18,'Table Prediction Calculations'!$V$100:$AS$100,0)),Z$1)/1000</f>
        <v>3.0000000000000001E-3</v>
      </c>
      <c r="AA18" s="24">
        <f>COUNTIF(INDEX('Table Prediction Calculations'!$V$102:$AS$1101,0,MATCH($A18,'Table Prediction Calculations'!$V$100:$AS$100,0)),AA$1)/1000</f>
        <v>0</v>
      </c>
      <c r="AB18" s="24">
        <f>COUNTIF(INDEX('Table Prediction Calculations'!$V$102:$AS$1101,0,MATCH($A18,'Table Prediction Calculations'!$V$100:$AS$100,0)),AB$1)/1000</f>
        <v>0</v>
      </c>
      <c r="AE18" s="18">
        <v>15</v>
      </c>
      <c r="AF18" s="5" t="str">
        <f>INDEX($A$3:$A$26, MATCH(MAX(S$3:S$26), S$3:S$26, 0))</f>
        <v>Birmingham City</v>
      </c>
    </row>
    <row r="19" spans="1:32" ht="26.25" customHeight="1" x14ac:dyDescent="0.25">
      <c r="A19" s="9" t="str">
        <f>Table_Raw!B19</f>
        <v>Birmingham City</v>
      </c>
      <c r="B19" s="9">
        <f>Table_Raw!A19</f>
        <v>17</v>
      </c>
      <c r="C19" s="9">
        <f>Table_Raw!C19</f>
        <v>22</v>
      </c>
      <c r="D19" s="9">
        <f>Table_Raw!J19</f>
        <v>26</v>
      </c>
      <c r="E19" s="24">
        <f>COUNTIF(INDEX('Table Prediction Calculations'!$V$102:$AS$1101,0,MATCH($A19,'Table Prediction Calculations'!$V$100:$AS$100,0)),E$1)/1000</f>
        <v>0</v>
      </c>
      <c r="F19" s="24">
        <f>COUNTIF(INDEX('Table Prediction Calculations'!$V$102:$AS$1101,0,MATCH($A19,'Table Prediction Calculations'!$V$100:$AS$100,0)),F$1)/1000</f>
        <v>0</v>
      </c>
      <c r="G19" s="24">
        <f>COUNTIF(INDEX('Table Prediction Calculations'!$V$102:$AS$1101,0,MATCH($A19,'Table Prediction Calculations'!$V$100:$AS$100,0)),G$1)/1000</f>
        <v>0</v>
      </c>
      <c r="H19" s="24">
        <f>COUNTIF(INDEX('Table Prediction Calculations'!$V$102:$AS$1101,0,MATCH($A19,'Table Prediction Calculations'!$V$100:$AS$100,0)),H$1)/1000</f>
        <v>0</v>
      </c>
      <c r="I19" s="24">
        <f>COUNTIF(INDEX('Table Prediction Calculations'!$V$102:$AS$1101,0,MATCH($A19,'Table Prediction Calculations'!$V$100:$AS$100,0)),I$1)/1000</f>
        <v>0</v>
      </c>
      <c r="J19" s="24">
        <f>COUNTIF(INDEX('Table Prediction Calculations'!$V$102:$AS$1101,0,MATCH($A19,'Table Prediction Calculations'!$V$100:$AS$100,0)),J$1)/1000</f>
        <v>2E-3</v>
      </c>
      <c r="K19" s="24">
        <f>COUNTIF(INDEX('Table Prediction Calculations'!$V$102:$AS$1101,0,MATCH($A19,'Table Prediction Calculations'!$V$100:$AS$100,0)),K$1)/1000</f>
        <v>6.0000000000000001E-3</v>
      </c>
      <c r="L19" s="24">
        <f>COUNTIF(INDEX('Table Prediction Calculations'!$V$102:$AS$1101,0,MATCH($A19,'Table Prediction Calculations'!$V$100:$AS$100,0)),L$1)/1000</f>
        <v>8.0000000000000002E-3</v>
      </c>
      <c r="M19" s="24">
        <f>COUNTIF(INDEX('Table Prediction Calculations'!$V$102:$AS$1101,0,MATCH($A19,'Table Prediction Calculations'!$V$100:$AS$100,0)),M$1)/1000</f>
        <v>1.7999999999999999E-2</v>
      </c>
      <c r="N19" s="24">
        <f>COUNTIF(INDEX('Table Prediction Calculations'!$V$102:$AS$1101,0,MATCH($A19,'Table Prediction Calculations'!$V$100:$AS$100,0)),N$1)/1000</f>
        <v>0.02</v>
      </c>
      <c r="O19" s="24">
        <f>COUNTIF(INDEX('Table Prediction Calculations'!$V$102:$AS$1101,0,MATCH($A19,'Table Prediction Calculations'!$V$100:$AS$100,0)),O$1)/1000</f>
        <v>0.04</v>
      </c>
      <c r="P19" s="24">
        <f>COUNTIF(INDEX('Table Prediction Calculations'!$V$102:$AS$1101,0,MATCH($A19,'Table Prediction Calculations'!$V$100:$AS$100,0)),P$1)/1000</f>
        <v>5.8000000000000003E-2</v>
      </c>
      <c r="Q19" s="24">
        <f>COUNTIF(INDEX('Table Prediction Calculations'!$V$102:$AS$1101,0,MATCH($A19,'Table Prediction Calculations'!$V$100:$AS$100,0)),Q$1)/1000</f>
        <v>0.08</v>
      </c>
      <c r="R19" s="24">
        <f>COUNTIF(INDEX('Table Prediction Calculations'!$V$102:$AS$1101,0,MATCH($A19,'Table Prediction Calculations'!$V$100:$AS$100,0)),R$1)/1000</f>
        <v>8.5999999999999993E-2</v>
      </c>
      <c r="S19" s="24">
        <f>COUNTIF(INDEX('Table Prediction Calculations'!$V$102:$AS$1101,0,MATCH($A19,'Table Prediction Calculations'!$V$100:$AS$100,0)),S$1)/1000</f>
        <v>0.129</v>
      </c>
      <c r="T19" s="24">
        <f>COUNTIF(INDEX('Table Prediction Calculations'!$V$102:$AS$1101,0,MATCH($A19,'Table Prediction Calculations'!$V$100:$AS$100,0)),T$1)/1000</f>
        <v>0.10100000000000001</v>
      </c>
      <c r="U19" s="24">
        <f>COUNTIF(INDEX('Table Prediction Calculations'!$V$102:$AS$1101,0,MATCH($A19,'Table Prediction Calculations'!$V$100:$AS$100,0)),U$1)/1000</f>
        <v>0.158</v>
      </c>
      <c r="V19" s="24">
        <f>COUNTIF(INDEX('Table Prediction Calculations'!$V$102:$AS$1101,0,MATCH($A19,'Table Prediction Calculations'!$V$100:$AS$100,0)),V$1)/1000</f>
        <v>0.12</v>
      </c>
      <c r="W19" s="24">
        <f>COUNTIF(INDEX('Table Prediction Calculations'!$V$102:$AS$1101,0,MATCH($A19,'Table Prediction Calculations'!$V$100:$AS$100,0)),W$1)/1000</f>
        <v>9.9000000000000005E-2</v>
      </c>
      <c r="X19" s="24">
        <f>COUNTIF(INDEX('Table Prediction Calculations'!$V$102:$AS$1101,0,MATCH($A19,'Table Prediction Calculations'!$V$100:$AS$100,0)),X$1)/1000</f>
        <v>5.2999999999999999E-2</v>
      </c>
      <c r="Y19" s="24">
        <f>COUNTIF(INDEX('Table Prediction Calculations'!$V$102:$AS$1101,0,MATCH($A19,'Table Prediction Calculations'!$V$100:$AS$100,0)),Y$1)/1000</f>
        <v>1.7999999999999999E-2</v>
      </c>
      <c r="Z19" s="24">
        <f>COUNTIF(INDEX('Table Prediction Calculations'!$V$102:$AS$1101,0,MATCH($A19,'Table Prediction Calculations'!$V$100:$AS$100,0)),Z$1)/1000</f>
        <v>4.0000000000000001E-3</v>
      </c>
      <c r="AA19" s="24">
        <f>COUNTIF(INDEX('Table Prediction Calculations'!$V$102:$AS$1101,0,MATCH($A19,'Table Prediction Calculations'!$V$100:$AS$100,0)),AA$1)/1000</f>
        <v>0</v>
      </c>
      <c r="AB19" s="24">
        <f>COUNTIF(INDEX('Table Prediction Calculations'!$V$102:$AS$1101,0,MATCH($A19,'Table Prediction Calculations'!$V$100:$AS$100,0)),AB$1)/1000</f>
        <v>0</v>
      </c>
      <c r="AE19" s="18">
        <v>16</v>
      </c>
      <c r="AF19" s="5" t="str">
        <f>INDEX($A$3:$A$26, MATCH(MAX(T$3:T$26), T$3:T$26, 0))</f>
        <v>Coventry City</v>
      </c>
    </row>
    <row r="20" spans="1:32" ht="26.25" customHeight="1" x14ac:dyDescent="0.25">
      <c r="A20" s="9" t="str">
        <f>Table_Raw!B20</f>
        <v>Swansea City</v>
      </c>
      <c r="B20" s="9">
        <f>Table_Raw!A20</f>
        <v>18</v>
      </c>
      <c r="C20" s="9">
        <f>Table_Raw!C20</f>
        <v>22</v>
      </c>
      <c r="D20" s="9">
        <f>Table_Raw!J20</f>
        <v>25</v>
      </c>
      <c r="E20" s="24">
        <f>COUNTIF(INDEX('Table Prediction Calculations'!$V$102:$AS$1101,0,MATCH($A20,'Table Prediction Calculations'!$V$100:$AS$100,0)),E$1)/1000</f>
        <v>0</v>
      </c>
      <c r="F20" s="24">
        <f>COUNTIF(INDEX('Table Prediction Calculations'!$V$102:$AS$1101,0,MATCH($A20,'Table Prediction Calculations'!$V$100:$AS$100,0)),F$1)/1000</f>
        <v>0</v>
      </c>
      <c r="G20" s="24">
        <f>COUNTIF(INDEX('Table Prediction Calculations'!$V$102:$AS$1101,0,MATCH($A20,'Table Prediction Calculations'!$V$100:$AS$100,0)),G$1)/1000</f>
        <v>0</v>
      </c>
      <c r="H20" s="24">
        <f>COUNTIF(INDEX('Table Prediction Calculations'!$V$102:$AS$1101,0,MATCH($A20,'Table Prediction Calculations'!$V$100:$AS$100,0)),H$1)/1000</f>
        <v>0</v>
      </c>
      <c r="I20" s="24">
        <f>COUNTIF(INDEX('Table Prediction Calculations'!$V$102:$AS$1101,0,MATCH($A20,'Table Prediction Calculations'!$V$100:$AS$100,0)),I$1)/1000</f>
        <v>0</v>
      </c>
      <c r="J20" s="24">
        <f>COUNTIF(INDEX('Table Prediction Calculations'!$V$102:$AS$1101,0,MATCH($A20,'Table Prediction Calculations'!$V$100:$AS$100,0)),J$1)/1000</f>
        <v>0</v>
      </c>
      <c r="K20" s="24">
        <f>COUNTIF(INDEX('Table Prediction Calculations'!$V$102:$AS$1101,0,MATCH($A20,'Table Prediction Calculations'!$V$100:$AS$100,0)),K$1)/1000</f>
        <v>5.0000000000000001E-3</v>
      </c>
      <c r="L20" s="24">
        <f>COUNTIF(INDEX('Table Prediction Calculations'!$V$102:$AS$1101,0,MATCH($A20,'Table Prediction Calculations'!$V$100:$AS$100,0)),L$1)/1000</f>
        <v>3.0000000000000001E-3</v>
      </c>
      <c r="M20" s="24">
        <f>COUNTIF(INDEX('Table Prediction Calculations'!$V$102:$AS$1101,0,MATCH($A20,'Table Prediction Calculations'!$V$100:$AS$100,0)),M$1)/1000</f>
        <v>1.2E-2</v>
      </c>
      <c r="N20" s="24">
        <f>COUNTIF(INDEX('Table Prediction Calculations'!$V$102:$AS$1101,0,MATCH($A20,'Table Prediction Calculations'!$V$100:$AS$100,0)),N$1)/1000</f>
        <v>1.9E-2</v>
      </c>
      <c r="O20" s="24">
        <f>COUNTIF(INDEX('Table Prediction Calculations'!$V$102:$AS$1101,0,MATCH($A20,'Table Prediction Calculations'!$V$100:$AS$100,0)),O$1)/1000</f>
        <v>3.2000000000000001E-2</v>
      </c>
      <c r="P20" s="24">
        <f>COUNTIF(INDEX('Table Prediction Calculations'!$V$102:$AS$1101,0,MATCH($A20,'Table Prediction Calculations'!$V$100:$AS$100,0)),P$1)/1000</f>
        <v>3.3000000000000002E-2</v>
      </c>
      <c r="Q20" s="24">
        <f>COUNTIF(INDEX('Table Prediction Calculations'!$V$102:$AS$1101,0,MATCH($A20,'Table Prediction Calculations'!$V$100:$AS$100,0)),Q$1)/1000</f>
        <v>4.7E-2</v>
      </c>
      <c r="R20" s="24">
        <f>COUNTIF(INDEX('Table Prediction Calculations'!$V$102:$AS$1101,0,MATCH($A20,'Table Prediction Calculations'!$V$100:$AS$100,0)),R$1)/1000</f>
        <v>6.8000000000000005E-2</v>
      </c>
      <c r="S20" s="24">
        <f>COUNTIF(INDEX('Table Prediction Calculations'!$V$102:$AS$1101,0,MATCH($A20,'Table Prediction Calculations'!$V$100:$AS$100,0)),S$1)/1000</f>
        <v>9.6000000000000002E-2</v>
      </c>
      <c r="T20" s="24">
        <f>COUNTIF(INDEX('Table Prediction Calculations'!$V$102:$AS$1101,0,MATCH($A20,'Table Prediction Calculations'!$V$100:$AS$100,0)),T$1)/1000</f>
        <v>0.129</v>
      </c>
      <c r="U20" s="24">
        <f>COUNTIF(INDEX('Table Prediction Calculations'!$V$102:$AS$1101,0,MATCH($A20,'Table Prediction Calculations'!$V$100:$AS$100,0)),U$1)/1000</f>
        <v>0.14399999999999999</v>
      </c>
      <c r="V20" s="24">
        <f>COUNTIF(INDEX('Table Prediction Calculations'!$V$102:$AS$1101,0,MATCH($A20,'Table Prediction Calculations'!$V$100:$AS$100,0)),V$1)/1000</f>
        <v>0.17499999999999999</v>
      </c>
      <c r="W20" s="24">
        <f>COUNTIF(INDEX('Table Prediction Calculations'!$V$102:$AS$1101,0,MATCH($A20,'Table Prediction Calculations'!$V$100:$AS$100,0)),W$1)/1000</f>
        <v>0.13300000000000001</v>
      </c>
      <c r="X20" s="24">
        <f>COUNTIF(INDEX('Table Prediction Calculations'!$V$102:$AS$1101,0,MATCH($A20,'Table Prediction Calculations'!$V$100:$AS$100,0)),X$1)/1000</f>
        <v>6.6000000000000003E-2</v>
      </c>
      <c r="Y20" s="24">
        <f>COUNTIF(INDEX('Table Prediction Calculations'!$V$102:$AS$1101,0,MATCH($A20,'Table Prediction Calculations'!$V$100:$AS$100,0)),Y$1)/1000</f>
        <v>2.4E-2</v>
      </c>
      <c r="Z20" s="24">
        <f>COUNTIF(INDEX('Table Prediction Calculations'!$V$102:$AS$1101,0,MATCH($A20,'Table Prediction Calculations'!$V$100:$AS$100,0)),Z$1)/1000</f>
        <v>1.0999999999999999E-2</v>
      </c>
      <c r="AA20" s="24">
        <f>COUNTIF(INDEX('Table Prediction Calculations'!$V$102:$AS$1101,0,MATCH($A20,'Table Prediction Calculations'!$V$100:$AS$100,0)),AA$1)/1000</f>
        <v>0</v>
      </c>
      <c r="AB20" s="24">
        <f>COUNTIF(INDEX('Table Prediction Calculations'!$V$102:$AS$1101,0,MATCH($A20,'Table Prediction Calculations'!$V$100:$AS$100,0)),AB$1)/1000</f>
        <v>0</v>
      </c>
      <c r="AE20" s="18">
        <v>17</v>
      </c>
      <c r="AF20" s="5" t="str">
        <f>INDEX($A$3:$A$26, MATCH(MAX(U$3:U$26), U$3:U$26, 0))</f>
        <v>Birmingham City</v>
      </c>
    </row>
    <row r="21" spans="1:32" ht="26.25" customHeight="1" x14ac:dyDescent="0.25">
      <c r="A21" s="9" t="str">
        <f>Table_Raw!B21</f>
        <v>Stoke City</v>
      </c>
      <c r="B21" s="9">
        <f>Table_Raw!A21</f>
        <v>19</v>
      </c>
      <c r="C21" s="9">
        <f>Table_Raw!C21</f>
        <v>22</v>
      </c>
      <c r="D21" s="9">
        <f>Table_Raw!J21</f>
        <v>23</v>
      </c>
      <c r="E21" s="24">
        <f>COUNTIF(INDEX('Table Prediction Calculations'!$V$102:$AS$1101,0,MATCH($A21,'Table Prediction Calculations'!$V$100:$AS$100,0)),E$1)/1000</f>
        <v>0</v>
      </c>
      <c r="F21" s="24">
        <f>COUNTIF(INDEX('Table Prediction Calculations'!$V$102:$AS$1101,0,MATCH($A21,'Table Prediction Calculations'!$V$100:$AS$100,0)),F$1)/1000</f>
        <v>0</v>
      </c>
      <c r="G21" s="24">
        <f>COUNTIF(INDEX('Table Prediction Calculations'!$V$102:$AS$1101,0,MATCH($A21,'Table Prediction Calculations'!$V$100:$AS$100,0)),G$1)/1000</f>
        <v>0</v>
      </c>
      <c r="H21" s="24">
        <f>COUNTIF(INDEX('Table Prediction Calculations'!$V$102:$AS$1101,0,MATCH($A21,'Table Prediction Calculations'!$V$100:$AS$100,0)),H$1)/1000</f>
        <v>0</v>
      </c>
      <c r="I21" s="24">
        <f>COUNTIF(INDEX('Table Prediction Calculations'!$V$102:$AS$1101,0,MATCH($A21,'Table Prediction Calculations'!$V$100:$AS$100,0)),I$1)/1000</f>
        <v>0</v>
      </c>
      <c r="J21" s="24">
        <f>COUNTIF(INDEX('Table Prediction Calculations'!$V$102:$AS$1101,0,MATCH($A21,'Table Prediction Calculations'!$V$100:$AS$100,0)),J$1)/1000</f>
        <v>0</v>
      </c>
      <c r="K21" s="24">
        <f>COUNTIF(INDEX('Table Prediction Calculations'!$V$102:$AS$1101,0,MATCH($A21,'Table Prediction Calculations'!$V$100:$AS$100,0)),K$1)/1000</f>
        <v>0</v>
      </c>
      <c r="L21" s="24">
        <f>COUNTIF(INDEX('Table Prediction Calculations'!$V$102:$AS$1101,0,MATCH($A21,'Table Prediction Calculations'!$V$100:$AS$100,0)),L$1)/1000</f>
        <v>0</v>
      </c>
      <c r="M21" s="24">
        <f>COUNTIF(INDEX('Table Prediction Calculations'!$V$102:$AS$1101,0,MATCH($A21,'Table Prediction Calculations'!$V$100:$AS$100,0)),M$1)/1000</f>
        <v>0</v>
      </c>
      <c r="N21" s="24">
        <f>COUNTIF(INDEX('Table Prediction Calculations'!$V$102:$AS$1101,0,MATCH($A21,'Table Prediction Calculations'!$V$100:$AS$100,0)),N$1)/1000</f>
        <v>0</v>
      </c>
      <c r="O21" s="24">
        <f>COUNTIF(INDEX('Table Prediction Calculations'!$V$102:$AS$1101,0,MATCH($A21,'Table Prediction Calculations'!$V$100:$AS$100,0)),O$1)/1000</f>
        <v>1E-3</v>
      </c>
      <c r="P21" s="24">
        <f>COUNTIF(INDEX('Table Prediction Calculations'!$V$102:$AS$1101,0,MATCH($A21,'Table Prediction Calculations'!$V$100:$AS$100,0)),P$1)/1000</f>
        <v>1E-3</v>
      </c>
      <c r="Q21" s="24">
        <f>COUNTIF(INDEX('Table Prediction Calculations'!$V$102:$AS$1101,0,MATCH($A21,'Table Prediction Calculations'!$V$100:$AS$100,0)),Q$1)/1000</f>
        <v>5.0000000000000001E-3</v>
      </c>
      <c r="R21" s="24">
        <f>COUNTIF(INDEX('Table Prediction Calculations'!$V$102:$AS$1101,0,MATCH($A21,'Table Prediction Calculations'!$V$100:$AS$100,0)),R$1)/1000</f>
        <v>5.0000000000000001E-3</v>
      </c>
      <c r="S21" s="24">
        <f>COUNTIF(INDEX('Table Prediction Calculations'!$V$102:$AS$1101,0,MATCH($A21,'Table Prediction Calculations'!$V$100:$AS$100,0)),S$1)/1000</f>
        <v>1.2999999999999999E-2</v>
      </c>
      <c r="T21" s="24">
        <f>COUNTIF(INDEX('Table Prediction Calculations'!$V$102:$AS$1101,0,MATCH($A21,'Table Prediction Calculations'!$V$100:$AS$100,0)),T$1)/1000</f>
        <v>1.4E-2</v>
      </c>
      <c r="U21" s="24">
        <f>COUNTIF(INDEX('Table Prediction Calculations'!$V$102:$AS$1101,0,MATCH($A21,'Table Prediction Calculations'!$V$100:$AS$100,0)),U$1)/1000</f>
        <v>3.5000000000000003E-2</v>
      </c>
      <c r="V21" s="24">
        <f>COUNTIF(INDEX('Table Prediction Calculations'!$V$102:$AS$1101,0,MATCH($A21,'Table Prediction Calculations'!$V$100:$AS$100,0)),V$1)/1000</f>
        <v>0.08</v>
      </c>
      <c r="W21" s="24">
        <f>COUNTIF(INDEX('Table Prediction Calculations'!$V$102:$AS$1101,0,MATCH($A21,'Table Prediction Calculations'!$V$100:$AS$100,0)),W$1)/1000</f>
        <v>0.16900000000000001</v>
      </c>
      <c r="X21" s="24">
        <f>COUNTIF(INDEX('Table Prediction Calculations'!$V$102:$AS$1101,0,MATCH($A21,'Table Prediction Calculations'!$V$100:$AS$100,0)),X$1)/1000</f>
        <v>0.27700000000000002</v>
      </c>
      <c r="Y21" s="24">
        <f>COUNTIF(INDEX('Table Prediction Calculations'!$V$102:$AS$1101,0,MATCH($A21,'Table Prediction Calculations'!$V$100:$AS$100,0)),Y$1)/1000</f>
        <v>0.26600000000000001</v>
      </c>
      <c r="Z21" s="24">
        <f>COUNTIF(INDEX('Table Prediction Calculations'!$V$102:$AS$1101,0,MATCH($A21,'Table Prediction Calculations'!$V$100:$AS$100,0)),Z$1)/1000</f>
        <v>0.123</v>
      </c>
      <c r="AA21" s="24">
        <f>COUNTIF(INDEX('Table Prediction Calculations'!$V$102:$AS$1101,0,MATCH($A21,'Table Prediction Calculations'!$V$100:$AS$100,0)),AA$1)/1000</f>
        <v>8.0000000000000002E-3</v>
      </c>
      <c r="AB21" s="24">
        <f>COUNTIF(INDEX('Table Prediction Calculations'!$V$102:$AS$1101,0,MATCH($A21,'Table Prediction Calculations'!$V$100:$AS$100,0)),AB$1)/1000</f>
        <v>2E-3</v>
      </c>
      <c r="AE21" s="18">
        <v>18</v>
      </c>
      <c r="AF21" s="5" t="str">
        <f>INDEX($A$3:$A$26, MATCH(MAX(V$3:V$26), V$3:V$26, 0))</f>
        <v>Swansea City</v>
      </c>
    </row>
    <row r="22" spans="1:32" ht="26.25" customHeight="1" x14ac:dyDescent="0.25">
      <c r="A22" s="9" t="str">
        <f>Table_Raw!B22</f>
        <v>Millwall</v>
      </c>
      <c r="B22" s="9">
        <f>Table_Raw!A22</f>
        <v>20</v>
      </c>
      <c r="C22" s="9">
        <f>Table_Raw!C26</f>
        <v>22</v>
      </c>
      <c r="D22" s="9">
        <f>Table_Raw!J26</f>
        <v>13</v>
      </c>
      <c r="E22" s="24">
        <f>COUNTIF(INDEX('Table Prediction Calculations'!$V$102:$AS$1101,0,MATCH($A22,'Table Prediction Calculations'!$V$100:$AS$100,0)),E$1)/1000</f>
        <v>0</v>
      </c>
      <c r="F22" s="24">
        <f>COUNTIF(INDEX('Table Prediction Calculations'!$V$102:$AS$1101,0,MATCH($A22,'Table Prediction Calculations'!$V$100:$AS$100,0)),F$1)/1000</f>
        <v>0</v>
      </c>
      <c r="G22" s="24">
        <f>COUNTIF(INDEX('Table Prediction Calculations'!$V$102:$AS$1101,0,MATCH($A22,'Table Prediction Calculations'!$V$100:$AS$100,0)),G$1)/1000</f>
        <v>0</v>
      </c>
      <c r="H22" s="24">
        <f>COUNTIF(INDEX('Table Prediction Calculations'!$V$102:$AS$1101,0,MATCH($A22,'Table Prediction Calculations'!$V$100:$AS$100,0)),H$1)/1000</f>
        <v>0</v>
      </c>
      <c r="I22" s="24">
        <f>COUNTIF(INDEX('Table Prediction Calculations'!$V$102:$AS$1101,0,MATCH($A22,'Table Prediction Calculations'!$V$100:$AS$100,0)),I$1)/1000</f>
        <v>0</v>
      </c>
      <c r="J22" s="24">
        <f>COUNTIF(INDEX('Table Prediction Calculations'!$V$102:$AS$1101,0,MATCH($A22,'Table Prediction Calculations'!$V$100:$AS$100,0)),J$1)/1000</f>
        <v>0</v>
      </c>
      <c r="K22" s="24">
        <f>COUNTIF(INDEX('Table Prediction Calculations'!$V$102:$AS$1101,0,MATCH($A22,'Table Prediction Calculations'!$V$100:$AS$100,0)),K$1)/1000</f>
        <v>0</v>
      </c>
      <c r="L22" s="24">
        <f>COUNTIF(INDEX('Table Prediction Calculations'!$V$102:$AS$1101,0,MATCH($A22,'Table Prediction Calculations'!$V$100:$AS$100,0)),L$1)/1000</f>
        <v>2E-3</v>
      </c>
      <c r="M22" s="24">
        <f>COUNTIF(INDEX('Table Prediction Calculations'!$V$102:$AS$1101,0,MATCH($A22,'Table Prediction Calculations'!$V$100:$AS$100,0)),M$1)/1000</f>
        <v>1E-3</v>
      </c>
      <c r="N22" s="24">
        <f>COUNTIF(INDEX('Table Prediction Calculations'!$V$102:$AS$1101,0,MATCH($A22,'Table Prediction Calculations'!$V$100:$AS$100,0)),N$1)/1000</f>
        <v>1E-3</v>
      </c>
      <c r="O22" s="24">
        <f>COUNTIF(INDEX('Table Prediction Calculations'!$V$102:$AS$1101,0,MATCH($A22,'Table Prediction Calculations'!$V$100:$AS$100,0)),O$1)/1000</f>
        <v>7.0000000000000001E-3</v>
      </c>
      <c r="P22" s="24">
        <f>COUNTIF(INDEX('Table Prediction Calculations'!$V$102:$AS$1101,0,MATCH($A22,'Table Prediction Calculations'!$V$100:$AS$100,0)),P$1)/1000</f>
        <v>6.0000000000000001E-3</v>
      </c>
      <c r="Q22" s="24">
        <f>COUNTIF(INDEX('Table Prediction Calculations'!$V$102:$AS$1101,0,MATCH($A22,'Table Prediction Calculations'!$V$100:$AS$100,0)),Q$1)/1000</f>
        <v>2.1000000000000001E-2</v>
      </c>
      <c r="R22" s="24">
        <f>COUNTIF(INDEX('Table Prediction Calculations'!$V$102:$AS$1101,0,MATCH($A22,'Table Prediction Calculations'!$V$100:$AS$100,0)),R$1)/1000</f>
        <v>0.03</v>
      </c>
      <c r="S22" s="24">
        <f>COUNTIF(INDEX('Table Prediction Calculations'!$V$102:$AS$1101,0,MATCH($A22,'Table Prediction Calculations'!$V$100:$AS$100,0)),S$1)/1000</f>
        <v>0.04</v>
      </c>
      <c r="T22" s="24">
        <f>COUNTIF(INDEX('Table Prediction Calculations'!$V$102:$AS$1101,0,MATCH($A22,'Table Prediction Calculations'!$V$100:$AS$100,0)),T$1)/1000</f>
        <v>6.0999999999999999E-2</v>
      </c>
      <c r="U22" s="24">
        <f>COUNTIF(INDEX('Table Prediction Calculations'!$V$102:$AS$1101,0,MATCH($A22,'Table Prediction Calculations'!$V$100:$AS$100,0)),U$1)/1000</f>
        <v>0.109</v>
      </c>
      <c r="V22" s="24">
        <f>COUNTIF(INDEX('Table Prediction Calculations'!$V$102:$AS$1101,0,MATCH($A22,'Table Prediction Calculations'!$V$100:$AS$100,0)),V$1)/1000</f>
        <v>0.161</v>
      </c>
      <c r="W22" s="24">
        <f>COUNTIF(INDEX('Table Prediction Calculations'!$V$102:$AS$1101,0,MATCH($A22,'Table Prediction Calculations'!$V$100:$AS$100,0)),W$1)/1000</f>
        <v>0.23599999999999999</v>
      </c>
      <c r="X22" s="24">
        <f>COUNTIF(INDEX('Table Prediction Calculations'!$V$102:$AS$1101,0,MATCH($A22,'Table Prediction Calculations'!$V$100:$AS$100,0)),X$1)/1000</f>
        <v>0.16400000000000001</v>
      </c>
      <c r="Y22" s="24">
        <f>COUNTIF(INDEX('Table Prediction Calculations'!$V$102:$AS$1101,0,MATCH($A22,'Table Prediction Calculations'!$V$100:$AS$100,0)),Y$1)/1000</f>
        <v>0.1</v>
      </c>
      <c r="Z22" s="24">
        <f>COUNTIF(INDEX('Table Prediction Calculations'!$V$102:$AS$1101,0,MATCH($A22,'Table Prediction Calculations'!$V$100:$AS$100,0)),Z$1)/1000</f>
        <v>0.06</v>
      </c>
      <c r="AA22" s="24">
        <f>COUNTIF(INDEX('Table Prediction Calculations'!$V$102:$AS$1101,0,MATCH($A22,'Table Prediction Calculations'!$V$100:$AS$100,0)),AA$1)/1000</f>
        <v>1E-3</v>
      </c>
      <c r="AB22" s="24">
        <f>COUNTIF(INDEX('Table Prediction Calculations'!$V$102:$AS$1101,0,MATCH($A22,'Table Prediction Calculations'!$V$100:$AS$100,0)),AB$1)/1000</f>
        <v>0</v>
      </c>
      <c r="AE22" s="18">
        <v>19</v>
      </c>
      <c r="AF22" s="5" t="str">
        <f>INDEX($A$3:$A$26, MATCH(MAX(W$3:W$26), W$3:W$26, 0))</f>
        <v>Millwall</v>
      </c>
    </row>
    <row r="23" spans="1:32" ht="26.25" customHeight="1" x14ac:dyDescent="0.25">
      <c r="A23" s="9" t="str">
        <f>Table_Raw!B23</f>
        <v>Huddersfield</v>
      </c>
      <c r="B23" s="9">
        <f>Table_Raw!A23</f>
        <v>21</v>
      </c>
      <c r="C23" s="9">
        <f>Table_Raw!C23</f>
        <v>22</v>
      </c>
      <c r="D23" s="9">
        <f>Table_Raw!J23</f>
        <v>22</v>
      </c>
      <c r="E23" s="24">
        <f>COUNTIF(INDEX('Table Prediction Calculations'!$V$102:$AS$1101,0,MATCH($A23,'Table Prediction Calculations'!$V$100:$AS$100,0)),E$1)/1000</f>
        <v>0</v>
      </c>
      <c r="F23" s="24">
        <f>COUNTIF(INDEX('Table Prediction Calculations'!$V$102:$AS$1101,0,MATCH($A23,'Table Prediction Calculations'!$V$100:$AS$100,0)),F$1)/1000</f>
        <v>0</v>
      </c>
      <c r="G23" s="24">
        <f>COUNTIF(INDEX('Table Prediction Calculations'!$V$102:$AS$1101,0,MATCH($A23,'Table Prediction Calculations'!$V$100:$AS$100,0)),G$1)/1000</f>
        <v>0</v>
      </c>
      <c r="H23" s="24">
        <f>COUNTIF(INDEX('Table Prediction Calculations'!$V$102:$AS$1101,0,MATCH($A23,'Table Prediction Calculations'!$V$100:$AS$100,0)),H$1)/1000</f>
        <v>0</v>
      </c>
      <c r="I23" s="24">
        <f>COUNTIF(INDEX('Table Prediction Calculations'!$V$102:$AS$1101,0,MATCH($A23,'Table Prediction Calculations'!$V$100:$AS$100,0)),I$1)/1000</f>
        <v>0</v>
      </c>
      <c r="J23" s="24">
        <f>COUNTIF(INDEX('Table Prediction Calculations'!$V$102:$AS$1101,0,MATCH($A23,'Table Prediction Calculations'!$V$100:$AS$100,0)),J$1)/1000</f>
        <v>0</v>
      </c>
      <c r="K23" s="24">
        <f>COUNTIF(INDEX('Table Prediction Calculations'!$V$102:$AS$1101,0,MATCH($A23,'Table Prediction Calculations'!$V$100:$AS$100,0)),K$1)/1000</f>
        <v>0</v>
      </c>
      <c r="L23" s="24">
        <f>COUNTIF(INDEX('Table Prediction Calculations'!$V$102:$AS$1101,0,MATCH($A23,'Table Prediction Calculations'!$V$100:$AS$100,0)),L$1)/1000</f>
        <v>0</v>
      </c>
      <c r="M23" s="24">
        <f>COUNTIF(INDEX('Table Prediction Calculations'!$V$102:$AS$1101,0,MATCH($A23,'Table Prediction Calculations'!$V$100:$AS$100,0)),M$1)/1000</f>
        <v>0</v>
      </c>
      <c r="N23" s="24">
        <f>COUNTIF(INDEX('Table Prediction Calculations'!$V$102:$AS$1101,0,MATCH($A23,'Table Prediction Calculations'!$V$100:$AS$100,0)),N$1)/1000</f>
        <v>0</v>
      </c>
      <c r="O23" s="24">
        <f>COUNTIF(INDEX('Table Prediction Calculations'!$V$102:$AS$1101,0,MATCH($A23,'Table Prediction Calculations'!$V$100:$AS$100,0)),O$1)/1000</f>
        <v>0</v>
      </c>
      <c r="P23" s="24">
        <f>COUNTIF(INDEX('Table Prediction Calculations'!$V$102:$AS$1101,0,MATCH($A23,'Table Prediction Calculations'!$V$100:$AS$100,0)),P$1)/1000</f>
        <v>0</v>
      </c>
      <c r="Q23" s="24">
        <f>COUNTIF(INDEX('Table Prediction Calculations'!$V$102:$AS$1101,0,MATCH($A23,'Table Prediction Calculations'!$V$100:$AS$100,0)),Q$1)/1000</f>
        <v>1E-3</v>
      </c>
      <c r="R23" s="24">
        <f>COUNTIF(INDEX('Table Prediction Calculations'!$V$102:$AS$1101,0,MATCH($A23,'Table Prediction Calculations'!$V$100:$AS$100,0)),R$1)/1000</f>
        <v>2E-3</v>
      </c>
      <c r="S23" s="24">
        <f>COUNTIF(INDEX('Table Prediction Calculations'!$V$102:$AS$1101,0,MATCH($A23,'Table Prediction Calculations'!$V$100:$AS$100,0)),S$1)/1000</f>
        <v>3.0000000000000001E-3</v>
      </c>
      <c r="T23" s="24">
        <f>COUNTIF(INDEX('Table Prediction Calculations'!$V$102:$AS$1101,0,MATCH($A23,'Table Prediction Calculations'!$V$100:$AS$100,0)),T$1)/1000</f>
        <v>1.2E-2</v>
      </c>
      <c r="U23" s="24">
        <f>COUNTIF(INDEX('Table Prediction Calculations'!$V$102:$AS$1101,0,MATCH($A23,'Table Prediction Calculations'!$V$100:$AS$100,0)),U$1)/1000</f>
        <v>2.5000000000000001E-2</v>
      </c>
      <c r="V23" s="24">
        <f>COUNTIF(INDEX('Table Prediction Calculations'!$V$102:$AS$1101,0,MATCH($A23,'Table Prediction Calculations'!$V$100:$AS$100,0)),V$1)/1000</f>
        <v>3.5999999999999997E-2</v>
      </c>
      <c r="W23" s="24">
        <f>COUNTIF(INDEX('Table Prediction Calculations'!$V$102:$AS$1101,0,MATCH($A23,'Table Prediction Calculations'!$V$100:$AS$100,0)),W$1)/1000</f>
        <v>9.2999999999999999E-2</v>
      </c>
      <c r="X23" s="24">
        <f>COUNTIF(INDEX('Table Prediction Calculations'!$V$102:$AS$1101,0,MATCH($A23,'Table Prediction Calculations'!$V$100:$AS$100,0)),X$1)/1000</f>
        <v>0.219</v>
      </c>
      <c r="Y23" s="24">
        <f>COUNTIF(INDEX('Table Prediction Calculations'!$V$102:$AS$1101,0,MATCH($A23,'Table Prediction Calculations'!$V$100:$AS$100,0)),Y$1)/1000</f>
        <v>0.30199999999999999</v>
      </c>
      <c r="Z23" s="24">
        <f>COUNTIF(INDEX('Table Prediction Calculations'!$V$102:$AS$1101,0,MATCH($A23,'Table Prediction Calculations'!$V$100:$AS$100,0)),Z$1)/1000</f>
        <v>0.27200000000000002</v>
      </c>
      <c r="AA23" s="24">
        <f>COUNTIF(INDEX('Table Prediction Calculations'!$V$102:$AS$1101,0,MATCH($A23,'Table Prediction Calculations'!$V$100:$AS$100,0)),AA$1)/1000</f>
        <v>3.3000000000000002E-2</v>
      </c>
      <c r="AB23" s="24">
        <f>COUNTIF(INDEX('Table Prediction Calculations'!$V$102:$AS$1101,0,MATCH($A23,'Table Prediction Calculations'!$V$100:$AS$100,0)),AB$1)/1000</f>
        <v>1E-3</v>
      </c>
      <c r="AE23" s="18">
        <v>20</v>
      </c>
      <c r="AF23" s="5" t="str">
        <f>INDEX($A$3:$A$26, MATCH(MAX(X$3:X$26), X$3:X$26, 0))</f>
        <v>Stoke City</v>
      </c>
    </row>
    <row r="24" spans="1:32" ht="26.25" customHeight="1" x14ac:dyDescent="0.25">
      <c r="A24" s="9" t="str">
        <f>Table_Raw!B24</f>
        <v>QPR</v>
      </c>
      <c r="B24" s="9">
        <f>Table_Raw!A24</f>
        <v>22</v>
      </c>
      <c r="C24" s="9">
        <f>Table_Raw!C24</f>
        <v>22</v>
      </c>
      <c r="D24" s="9">
        <f>Table_Raw!J24</f>
        <v>20</v>
      </c>
      <c r="E24" s="24">
        <f>COUNTIF(INDEX('Table Prediction Calculations'!$V$102:$AS$1101,0,MATCH($A24,'Table Prediction Calculations'!$V$100:$AS$100,0)),E$1)/1000</f>
        <v>0</v>
      </c>
      <c r="F24" s="24">
        <f>COUNTIF(INDEX('Table Prediction Calculations'!$V$102:$AS$1101,0,MATCH($A24,'Table Prediction Calculations'!$V$100:$AS$100,0)),F$1)/1000</f>
        <v>0</v>
      </c>
      <c r="G24" s="24">
        <f>COUNTIF(INDEX('Table Prediction Calculations'!$V$102:$AS$1101,0,MATCH($A24,'Table Prediction Calculations'!$V$100:$AS$100,0)),G$1)/1000</f>
        <v>0</v>
      </c>
      <c r="H24" s="24">
        <f>COUNTIF(INDEX('Table Prediction Calculations'!$V$102:$AS$1101,0,MATCH($A24,'Table Prediction Calculations'!$V$100:$AS$100,0)),H$1)/1000</f>
        <v>0</v>
      </c>
      <c r="I24" s="24">
        <f>COUNTIF(INDEX('Table Prediction Calculations'!$V$102:$AS$1101,0,MATCH($A24,'Table Prediction Calculations'!$V$100:$AS$100,0)),I$1)/1000</f>
        <v>0</v>
      </c>
      <c r="J24" s="24">
        <f>COUNTIF(INDEX('Table Prediction Calculations'!$V$102:$AS$1101,0,MATCH($A24,'Table Prediction Calculations'!$V$100:$AS$100,0)),J$1)/1000</f>
        <v>0</v>
      </c>
      <c r="K24" s="24">
        <f>COUNTIF(INDEX('Table Prediction Calculations'!$V$102:$AS$1101,0,MATCH($A24,'Table Prediction Calculations'!$V$100:$AS$100,0)),K$1)/1000</f>
        <v>0</v>
      </c>
      <c r="L24" s="24">
        <f>COUNTIF(INDEX('Table Prediction Calculations'!$V$102:$AS$1101,0,MATCH($A24,'Table Prediction Calculations'!$V$100:$AS$100,0)),L$1)/1000</f>
        <v>0</v>
      </c>
      <c r="M24" s="24">
        <f>COUNTIF(INDEX('Table Prediction Calculations'!$V$102:$AS$1101,0,MATCH($A24,'Table Prediction Calculations'!$V$100:$AS$100,0)),M$1)/1000</f>
        <v>0</v>
      </c>
      <c r="N24" s="24">
        <f>COUNTIF(INDEX('Table Prediction Calculations'!$V$102:$AS$1101,0,MATCH($A24,'Table Prediction Calculations'!$V$100:$AS$100,0)),N$1)/1000</f>
        <v>0</v>
      </c>
      <c r="O24" s="24">
        <f>COUNTIF(INDEX('Table Prediction Calculations'!$V$102:$AS$1101,0,MATCH($A24,'Table Prediction Calculations'!$V$100:$AS$100,0)),O$1)/1000</f>
        <v>0</v>
      </c>
      <c r="P24" s="24">
        <f>COUNTIF(INDEX('Table Prediction Calculations'!$V$102:$AS$1101,0,MATCH($A24,'Table Prediction Calculations'!$V$100:$AS$100,0)),P$1)/1000</f>
        <v>0</v>
      </c>
      <c r="Q24" s="24">
        <f>COUNTIF(INDEX('Table Prediction Calculations'!$V$102:$AS$1101,0,MATCH($A24,'Table Prediction Calculations'!$V$100:$AS$100,0)),Q$1)/1000</f>
        <v>1E-3</v>
      </c>
      <c r="R24" s="24">
        <f>COUNTIF(INDEX('Table Prediction Calculations'!$V$102:$AS$1101,0,MATCH($A24,'Table Prediction Calculations'!$V$100:$AS$100,0)),R$1)/1000</f>
        <v>0</v>
      </c>
      <c r="S24" s="24">
        <f>COUNTIF(INDEX('Table Prediction Calculations'!$V$102:$AS$1101,0,MATCH($A24,'Table Prediction Calculations'!$V$100:$AS$100,0)),S$1)/1000</f>
        <v>0</v>
      </c>
      <c r="T24" s="24">
        <f>COUNTIF(INDEX('Table Prediction Calculations'!$V$102:$AS$1101,0,MATCH($A24,'Table Prediction Calculations'!$V$100:$AS$100,0)),T$1)/1000</f>
        <v>1E-3</v>
      </c>
      <c r="U24" s="24">
        <f>COUNTIF(INDEX('Table Prediction Calculations'!$V$102:$AS$1101,0,MATCH($A24,'Table Prediction Calculations'!$V$100:$AS$100,0)),U$1)/1000</f>
        <v>1.4E-2</v>
      </c>
      <c r="V24" s="24">
        <f>COUNTIF(INDEX('Table Prediction Calculations'!$V$102:$AS$1101,0,MATCH($A24,'Table Prediction Calculations'!$V$100:$AS$100,0)),V$1)/1000</f>
        <v>2.5000000000000001E-2</v>
      </c>
      <c r="W24" s="24">
        <f>COUNTIF(INDEX('Table Prediction Calculations'!$V$102:$AS$1101,0,MATCH($A24,'Table Prediction Calculations'!$V$100:$AS$100,0)),W$1)/1000</f>
        <v>7.3999999999999996E-2</v>
      </c>
      <c r="X24" s="24">
        <f>COUNTIF(INDEX('Table Prediction Calculations'!$V$102:$AS$1101,0,MATCH($A24,'Table Prediction Calculations'!$V$100:$AS$100,0)),X$1)/1000</f>
        <v>0.13700000000000001</v>
      </c>
      <c r="Y24" s="24">
        <f>COUNTIF(INDEX('Table Prediction Calculations'!$V$102:$AS$1101,0,MATCH($A24,'Table Prediction Calculations'!$V$100:$AS$100,0)),Y$1)/1000</f>
        <v>0.245</v>
      </c>
      <c r="Z24" s="24">
        <f>COUNTIF(INDEX('Table Prediction Calculations'!$V$102:$AS$1101,0,MATCH($A24,'Table Prediction Calculations'!$V$100:$AS$100,0)),Z$1)/1000</f>
        <v>0.44400000000000001</v>
      </c>
      <c r="AA24" s="24">
        <f>COUNTIF(INDEX('Table Prediction Calculations'!$V$102:$AS$1101,0,MATCH($A24,'Table Prediction Calculations'!$V$100:$AS$100,0)),AA$1)/1000</f>
        <v>5.7000000000000002E-2</v>
      </c>
      <c r="AB24" s="24">
        <f>COUNTIF(INDEX('Table Prediction Calculations'!$V$102:$AS$1101,0,MATCH($A24,'Table Prediction Calculations'!$V$100:$AS$100,0)),AB$1)/1000</f>
        <v>1E-3</v>
      </c>
      <c r="AE24" s="18">
        <v>21</v>
      </c>
      <c r="AF24" s="5" t="str">
        <f>INDEX($A$3:$A$26, MATCH(MAX(Y$3:Y$26), Y$3:Y$26, 0))</f>
        <v>Huddersfield</v>
      </c>
    </row>
    <row r="25" spans="1:32" ht="26.25" customHeight="1" x14ac:dyDescent="0.25">
      <c r="A25" s="9" t="str">
        <f>Table_Raw!B25</f>
        <v>Sheffield Weds</v>
      </c>
      <c r="B25" s="9">
        <f>Table_Raw!A25</f>
        <v>23</v>
      </c>
      <c r="C25" s="9">
        <f>Table_Raw!C25</f>
        <v>22</v>
      </c>
      <c r="D25" s="9">
        <f>Table_Raw!J25</f>
        <v>16</v>
      </c>
      <c r="E25" s="24">
        <f>COUNTIF(INDEX('Table Prediction Calculations'!$V$102:$AS$1101,0,MATCH($A25,'Table Prediction Calculations'!$V$100:$AS$100,0)),E$1)/1000</f>
        <v>0</v>
      </c>
      <c r="F25" s="24">
        <f>COUNTIF(INDEX('Table Prediction Calculations'!$V$102:$AS$1101,0,MATCH($A25,'Table Prediction Calculations'!$V$100:$AS$100,0)),F$1)/1000</f>
        <v>0</v>
      </c>
      <c r="G25" s="24">
        <f>COUNTIF(INDEX('Table Prediction Calculations'!$V$102:$AS$1101,0,MATCH($A25,'Table Prediction Calculations'!$V$100:$AS$100,0)),G$1)/1000</f>
        <v>0</v>
      </c>
      <c r="H25" s="24">
        <f>COUNTIF(INDEX('Table Prediction Calculations'!$V$102:$AS$1101,0,MATCH($A25,'Table Prediction Calculations'!$V$100:$AS$100,0)),H$1)/1000</f>
        <v>0</v>
      </c>
      <c r="I25" s="24">
        <f>COUNTIF(INDEX('Table Prediction Calculations'!$V$102:$AS$1101,0,MATCH($A25,'Table Prediction Calculations'!$V$100:$AS$100,0)),I$1)/1000</f>
        <v>0</v>
      </c>
      <c r="J25" s="24">
        <f>COUNTIF(INDEX('Table Prediction Calculations'!$V$102:$AS$1101,0,MATCH($A25,'Table Prediction Calculations'!$V$100:$AS$100,0)),J$1)/1000</f>
        <v>0</v>
      </c>
      <c r="K25" s="24">
        <f>COUNTIF(INDEX('Table Prediction Calculations'!$V$102:$AS$1101,0,MATCH($A25,'Table Prediction Calculations'!$V$100:$AS$100,0)),K$1)/1000</f>
        <v>0</v>
      </c>
      <c r="L25" s="24">
        <f>COUNTIF(INDEX('Table Prediction Calculations'!$V$102:$AS$1101,0,MATCH($A25,'Table Prediction Calculations'!$V$100:$AS$100,0)),L$1)/1000</f>
        <v>0</v>
      </c>
      <c r="M25" s="24">
        <f>COUNTIF(INDEX('Table Prediction Calculations'!$V$102:$AS$1101,0,MATCH($A25,'Table Prediction Calculations'!$V$100:$AS$100,0)),M$1)/1000</f>
        <v>0</v>
      </c>
      <c r="N25" s="24">
        <f>COUNTIF(INDEX('Table Prediction Calculations'!$V$102:$AS$1101,0,MATCH($A25,'Table Prediction Calculations'!$V$100:$AS$100,0)),N$1)/1000</f>
        <v>0</v>
      </c>
      <c r="O25" s="24">
        <f>COUNTIF(INDEX('Table Prediction Calculations'!$V$102:$AS$1101,0,MATCH($A25,'Table Prediction Calculations'!$V$100:$AS$100,0)),O$1)/1000</f>
        <v>0</v>
      </c>
      <c r="P25" s="24">
        <f>COUNTIF(INDEX('Table Prediction Calculations'!$V$102:$AS$1101,0,MATCH($A25,'Table Prediction Calculations'!$V$100:$AS$100,0)),P$1)/1000</f>
        <v>0</v>
      </c>
      <c r="Q25" s="24">
        <f>COUNTIF(INDEX('Table Prediction Calculations'!$V$102:$AS$1101,0,MATCH($A25,'Table Prediction Calculations'!$V$100:$AS$100,0)),Q$1)/1000</f>
        <v>0</v>
      </c>
      <c r="R25" s="24">
        <f>COUNTIF(INDEX('Table Prediction Calculations'!$V$102:$AS$1101,0,MATCH($A25,'Table Prediction Calculations'!$V$100:$AS$100,0)),R$1)/1000</f>
        <v>0</v>
      </c>
      <c r="S25" s="24">
        <f>COUNTIF(INDEX('Table Prediction Calculations'!$V$102:$AS$1101,0,MATCH($A25,'Table Prediction Calculations'!$V$100:$AS$100,0)),S$1)/1000</f>
        <v>0</v>
      </c>
      <c r="T25" s="24">
        <f>COUNTIF(INDEX('Table Prediction Calculations'!$V$102:$AS$1101,0,MATCH($A25,'Table Prediction Calculations'!$V$100:$AS$100,0)),T$1)/1000</f>
        <v>0</v>
      </c>
      <c r="U25" s="24">
        <f>COUNTIF(INDEX('Table Prediction Calculations'!$V$102:$AS$1101,0,MATCH($A25,'Table Prediction Calculations'!$V$100:$AS$100,0)),U$1)/1000</f>
        <v>0</v>
      </c>
      <c r="V25" s="24">
        <f>COUNTIF(INDEX('Table Prediction Calculations'!$V$102:$AS$1101,0,MATCH($A25,'Table Prediction Calculations'!$V$100:$AS$100,0)),V$1)/1000</f>
        <v>0</v>
      </c>
      <c r="W25" s="24">
        <f>COUNTIF(INDEX('Table Prediction Calculations'!$V$102:$AS$1101,0,MATCH($A25,'Table Prediction Calculations'!$V$100:$AS$100,0)),W$1)/1000</f>
        <v>0</v>
      </c>
      <c r="X25" s="24">
        <f>COUNTIF(INDEX('Table Prediction Calculations'!$V$102:$AS$1101,0,MATCH($A25,'Table Prediction Calculations'!$V$100:$AS$100,0)),X$1)/1000</f>
        <v>3.0000000000000001E-3</v>
      </c>
      <c r="Y25" s="24">
        <f>COUNTIF(INDEX('Table Prediction Calculations'!$V$102:$AS$1101,0,MATCH($A25,'Table Prediction Calculations'!$V$100:$AS$100,0)),Y$1)/1000</f>
        <v>1.4999999999999999E-2</v>
      </c>
      <c r="Z25" s="24">
        <f>COUNTIF(INDEX('Table Prediction Calculations'!$V$102:$AS$1101,0,MATCH($A25,'Table Prediction Calculations'!$V$100:$AS$100,0)),Z$1)/1000</f>
        <v>5.6000000000000001E-2</v>
      </c>
      <c r="AA25" s="24">
        <f>COUNTIF(INDEX('Table Prediction Calculations'!$V$102:$AS$1101,0,MATCH($A25,'Table Prediction Calculations'!$V$100:$AS$100,0)),AA$1)/1000</f>
        <v>0.67300000000000004</v>
      </c>
      <c r="AB25" s="24">
        <f>COUNTIF(INDEX('Table Prediction Calculations'!$V$102:$AS$1101,0,MATCH($A25,'Table Prediction Calculations'!$V$100:$AS$100,0)),AB$1)/1000</f>
        <v>0.253</v>
      </c>
      <c r="AE25" s="18">
        <v>22</v>
      </c>
      <c r="AF25" s="5" t="str">
        <f>INDEX($A$3:$A$26, MATCH(MAX(Z$3:Z$26), Z$3:Z$26, 0))</f>
        <v>QPR</v>
      </c>
    </row>
    <row r="26" spans="1:32" ht="26.25" customHeight="1" x14ac:dyDescent="0.25">
      <c r="A26" s="9" t="str">
        <f>Table_Raw!B26</f>
        <v>Rotherham Utd</v>
      </c>
      <c r="B26" s="9">
        <f>Table_Raw!A26</f>
        <v>24</v>
      </c>
      <c r="C26" s="9">
        <f>Table_Raw!C26</f>
        <v>22</v>
      </c>
      <c r="D26" s="9">
        <f>Table_Raw!J26</f>
        <v>13</v>
      </c>
      <c r="E26" s="24">
        <f>COUNTIF(INDEX('Table Prediction Calculations'!$V$102:$AS$1101,0,MATCH($A26,'Table Prediction Calculations'!$V$100:$AS$100,0)),E$1)/1000</f>
        <v>0</v>
      </c>
      <c r="F26" s="24">
        <f>COUNTIF(INDEX('Table Prediction Calculations'!$V$102:$AS$1101,0,MATCH($A26,'Table Prediction Calculations'!$V$100:$AS$100,0)),F$1)/1000</f>
        <v>0</v>
      </c>
      <c r="G26" s="24">
        <f>COUNTIF(INDEX('Table Prediction Calculations'!$V$102:$AS$1101,0,MATCH($A26,'Table Prediction Calculations'!$V$100:$AS$100,0)),G$1)/1000</f>
        <v>0</v>
      </c>
      <c r="H26" s="24">
        <f>COUNTIF(INDEX('Table Prediction Calculations'!$V$102:$AS$1101,0,MATCH($A26,'Table Prediction Calculations'!$V$100:$AS$100,0)),H$1)/1000</f>
        <v>0</v>
      </c>
      <c r="I26" s="24">
        <f>COUNTIF(INDEX('Table Prediction Calculations'!$V$102:$AS$1101,0,MATCH($A26,'Table Prediction Calculations'!$V$100:$AS$100,0)),I$1)/1000</f>
        <v>0</v>
      </c>
      <c r="J26" s="24">
        <f>COUNTIF(INDEX('Table Prediction Calculations'!$V$102:$AS$1101,0,MATCH($A26,'Table Prediction Calculations'!$V$100:$AS$100,0)),J$1)/1000</f>
        <v>0</v>
      </c>
      <c r="K26" s="24">
        <f>COUNTIF(INDEX('Table Prediction Calculations'!$V$102:$AS$1101,0,MATCH($A26,'Table Prediction Calculations'!$V$100:$AS$100,0)),K$1)/1000</f>
        <v>0</v>
      </c>
      <c r="L26" s="24">
        <f>COUNTIF(INDEX('Table Prediction Calculations'!$V$102:$AS$1101,0,MATCH($A26,'Table Prediction Calculations'!$V$100:$AS$100,0)),L$1)/1000</f>
        <v>0</v>
      </c>
      <c r="M26" s="24">
        <f>COUNTIF(INDEX('Table Prediction Calculations'!$V$102:$AS$1101,0,MATCH($A26,'Table Prediction Calculations'!$V$100:$AS$100,0)),M$1)/1000</f>
        <v>0</v>
      </c>
      <c r="N26" s="24">
        <f>COUNTIF(INDEX('Table Prediction Calculations'!$V$102:$AS$1101,0,MATCH($A26,'Table Prediction Calculations'!$V$100:$AS$100,0)),N$1)/1000</f>
        <v>0</v>
      </c>
      <c r="O26" s="24">
        <f>COUNTIF(INDEX('Table Prediction Calculations'!$V$102:$AS$1101,0,MATCH($A26,'Table Prediction Calculations'!$V$100:$AS$100,0)),O$1)/1000</f>
        <v>0</v>
      </c>
      <c r="P26" s="24">
        <f>COUNTIF(INDEX('Table Prediction Calculations'!$V$102:$AS$1101,0,MATCH($A26,'Table Prediction Calculations'!$V$100:$AS$100,0)),P$1)/1000</f>
        <v>0</v>
      </c>
      <c r="Q26" s="24">
        <f>COUNTIF(INDEX('Table Prediction Calculations'!$V$102:$AS$1101,0,MATCH($A26,'Table Prediction Calculations'!$V$100:$AS$100,0)),Q$1)/1000</f>
        <v>0</v>
      </c>
      <c r="R26" s="24">
        <f>COUNTIF(INDEX('Table Prediction Calculations'!$V$102:$AS$1101,0,MATCH($A26,'Table Prediction Calculations'!$V$100:$AS$100,0)),R$1)/1000</f>
        <v>0</v>
      </c>
      <c r="S26" s="24">
        <f>COUNTIF(INDEX('Table Prediction Calculations'!$V$102:$AS$1101,0,MATCH($A26,'Table Prediction Calculations'!$V$100:$AS$100,0)),S$1)/1000</f>
        <v>0</v>
      </c>
      <c r="T26" s="24">
        <f>COUNTIF(INDEX('Table Prediction Calculations'!$V$102:$AS$1101,0,MATCH($A26,'Table Prediction Calculations'!$V$100:$AS$100,0)),T$1)/1000</f>
        <v>0</v>
      </c>
      <c r="U26" s="24">
        <f>COUNTIF(INDEX('Table Prediction Calculations'!$V$102:$AS$1101,0,MATCH($A26,'Table Prediction Calculations'!$V$100:$AS$100,0)),U$1)/1000</f>
        <v>0</v>
      </c>
      <c r="V26" s="24">
        <f>COUNTIF(INDEX('Table Prediction Calculations'!$V$102:$AS$1101,0,MATCH($A26,'Table Prediction Calculations'!$V$100:$AS$100,0)),V$1)/1000</f>
        <v>0</v>
      </c>
      <c r="W26" s="24">
        <f>COUNTIF(INDEX('Table Prediction Calculations'!$V$102:$AS$1101,0,MATCH($A26,'Table Prediction Calculations'!$V$100:$AS$100,0)),W$1)/1000</f>
        <v>0</v>
      </c>
      <c r="X26" s="24">
        <f>COUNTIF(INDEX('Table Prediction Calculations'!$V$102:$AS$1101,0,MATCH($A26,'Table Prediction Calculations'!$V$100:$AS$100,0)),X$1)/1000</f>
        <v>1E-3</v>
      </c>
      <c r="Y26" s="24">
        <f>COUNTIF(INDEX('Table Prediction Calculations'!$V$102:$AS$1101,0,MATCH($A26,'Table Prediction Calculations'!$V$100:$AS$100,0)),Y$1)/1000</f>
        <v>3.0000000000000001E-3</v>
      </c>
      <c r="Z26" s="24">
        <f>COUNTIF(INDEX('Table Prediction Calculations'!$V$102:$AS$1101,0,MATCH($A26,'Table Prediction Calculations'!$V$100:$AS$100,0)),Z$1)/1000</f>
        <v>2.5000000000000001E-2</v>
      </c>
      <c r="AA26" s="24">
        <f>COUNTIF(INDEX('Table Prediction Calculations'!$V$102:$AS$1101,0,MATCH($A26,'Table Prediction Calculations'!$V$100:$AS$100,0)),AA$1)/1000</f>
        <v>0.22800000000000001</v>
      </c>
      <c r="AB26" s="24">
        <f>COUNTIF(INDEX('Table Prediction Calculations'!$V$102:$AS$1101,0,MATCH($A26,'Table Prediction Calculations'!$V$100:$AS$100,0)),AB$1)/1000</f>
        <v>0.74299999999999999</v>
      </c>
      <c r="AE26" s="18">
        <v>23</v>
      </c>
      <c r="AF26" s="5" t="str">
        <f>INDEX($A$3:$A$26, MATCH(MAX(AA$3:AA$26), AA$3:AA$26, 0))</f>
        <v>Sheffield Weds</v>
      </c>
    </row>
    <row r="27" spans="1:32" ht="26.25" customHeight="1" x14ac:dyDescent="0.25">
      <c r="AE27" s="18">
        <v>24</v>
      </c>
      <c r="AF27" s="5" t="str">
        <f>INDEX($A$3:$A$26, MATCH(MAX(AB$3:AB$26), AB$3:AB$26, 0))</f>
        <v>Rotherham Utd</v>
      </c>
    </row>
  </sheetData>
  <mergeCells count="1">
    <mergeCell ref="AE2:AF2"/>
  </mergeCells>
  <phoneticPr fontId="6" type="noConversion"/>
  <conditionalFormatting sqref="E3:AB26">
    <cfRule type="colorScale" priority="1">
      <colorScale>
        <cfvo type="min"/>
        <cfvo type="percentile" val="20"/>
        <cfvo type="max"/>
        <color rgb="FFFCFCFF"/>
        <color rgb="FFFFD9D9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171F-76C2-4CDC-8F97-1AF86CDFF5D6}">
  <sheetPr codeName="Sheet9"/>
  <dimension ref="A1:CM1107"/>
  <sheetViews>
    <sheetView topLeftCell="A40" zoomScale="60" zoomScaleNormal="60" workbookViewId="0">
      <selection activeCell="W127" sqref="W127"/>
    </sheetView>
  </sheetViews>
  <sheetFormatPr defaultRowHeight="15" x14ac:dyDescent="0.25"/>
  <cols>
    <col min="1" max="1" width="9.42578125" bestFit="1" customWidth="1"/>
    <col min="2" max="2" width="18.140625" bestFit="1" customWidth="1"/>
    <col min="3" max="3" width="9" bestFit="1" customWidth="1"/>
    <col min="4" max="4" width="11.28515625" bestFit="1" customWidth="1"/>
    <col min="5" max="5" width="18.140625" bestFit="1" customWidth="1"/>
    <col min="11" max="11" width="3.85546875" bestFit="1" customWidth="1"/>
    <col min="12" max="12" width="17.85546875" bestFit="1" customWidth="1"/>
    <col min="22" max="22" width="17.85546875" bestFit="1" customWidth="1"/>
    <col min="23" max="23" width="24.28515625" bestFit="1" customWidth="1"/>
    <col min="24" max="24" width="25" bestFit="1" customWidth="1"/>
    <col min="30" max="30" width="17.85546875" bestFit="1" customWidth="1"/>
    <col min="31" max="31" width="17.5703125" bestFit="1" customWidth="1"/>
    <col min="32" max="32" width="16.140625" bestFit="1" customWidth="1"/>
    <col min="36" max="37" width="17.85546875" bestFit="1" customWidth="1"/>
    <col min="38" max="38" width="16.140625" bestFit="1" customWidth="1"/>
    <col min="43" max="43" width="17.85546875" bestFit="1" customWidth="1"/>
    <col min="44" max="44" width="20.5703125" bestFit="1" customWidth="1"/>
    <col min="45" max="45" width="25.7109375" bestFit="1" customWidth="1"/>
    <col min="46" max="46" width="12" bestFit="1" customWidth="1"/>
    <col min="47" max="47" width="24.140625" bestFit="1" customWidth="1"/>
    <col min="48" max="48" width="13.85546875" bestFit="1" customWidth="1"/>
    <col min="49" max="49" width="17.85546875" bestFit="1" customWidth="1"/>
    <col min="50" max="50" width="15.42578125" bestFit="1" customWidth="1"/>
    <col min="51" max="51" width="21.85546875" bestFit="1" customWidth="1"/>
    <col min="52" max="52" width="23.5703125" bestFit="1" customWidth="1"/>
    <col min="53" max="53" width="17.42578125" bestFit="1" customWidth="1"/>
    <col min="54" max="54" width="14.42578125" bestFit="1" customWidth="1"/>
    <col min="55" max="55" width="19.7109375" bestFit="1" customWidth="1"/>
    <col min="56" max="56" width="18.85546875" bestFit="1" customWidth="1"/>
    <col min="57" max="57" width="15.5703125" bestFit="1" customWidth="1"/>
    <col min="58" max="58" width="19.7109375" bestFit="1" customWidth="1"/>
    <col min="64" max="64" width="21.7109375" bestFit="1" customWidth="1"/>
    <col min="65" max="65" width="12.28515625" bestFit="1" customWidth="1"/>
    <col min="68" max="68" width="20.5703125" bestFit="1" customWidth="1"/>
    <col min="69" max="69" width="18.28515625" bestFit="1" customWidth="1"/>
    <col min="70" max="70" width="18.7109375" bestFit="1" customWidth="1"/>
    <col min="71" max="71" width="29" bestFit="1" customWidth="1"/>
    <col min="72" max="72" width="14.7109375" bestFit="1" customWidth="1"/>
    <col min="73" max="73" width="24.7109375" bestFit="1" customWidth="1"/>
    <col min="74" max="74" width="19.7109375" bestFit="1" customWidth="1"/>
    <col min="75" max="75" width="26.140625" bestFit="1" customWidth="1"/>
    <col min="76" max="76" width="28.28515625" bestFit="1" customWidth="1"/>
    <col min="77" max="77" width="23" customWidth="1"/>
    <col min="78" max="78" width="18.7109375" bestFit="1" customWidth="1"/>
    <col min="79" max="79" width="23.42578125" bestFit="1" customWidth="1"/>
    <col min="80" max="80" width="21.85546875" bestFit="1" customWidth="1"/>
    <col min="81" max="81" width="19" bestFit="1" customWidth="1"/>
    <col min="82" max="82" width="23.28515625" bestFit="1" customWidth="1"/>
    <col min="83" max="83" width="19.140625" bestFit="1" customWidth="1"/>
    <col min="84" max="84" width="18.7109375" bestFit="1" customWidth="1"/>
    <col min="89" max="89" width="20.5703125" bestFit="1" customWidth="1"/>
    <col min="90" max="91" width="25.140625" bestFit="1" customWidth="1"/>
  </cols>
  <sheetData>
    <row r="1" spans="1:91" x14ac:dyDescent="0.25">
      <c r="A1" t="s">
        <v>190</v>
      </c>
      <c r="B1" t="s">
        <v>194</v>
      </c>
      <c r="C1" t="s">
        <v>249</v>
      </c>
      <c r="D1" t="s">
        <v>250</v>
      </c>
      <c r="E1" t="s">
        <v>196</v>
      </c>
      <c r="K1" t="str">
        <f>Scores_and_Fixtures[[#Headers],[Wk]]</f>
        <v>Wk</v>
      </c>
      <c r="L1" t="str">
        <f>Scores_and_Fixtures[[#Headers],[Home]]</f>
        <v>Home</v>
      </c>
      <c r="M1" t="str">
        <f>Scores_and_Fixtures[[#Headers],[Home Score]]</f>
        <v>Home Score</v>
      </c>
      <c r="N1" t="str">
        <f>Scores_and_Fixtures[[#Headers],[Away Score]]</f>
        <v>Away Score</v>
      </c>
      <c r="O1" t="str">
        <f>Scores_and_Fixtures[[#Headers],[Away]]</f>
        <v>Away</v>
      </c>
    </row>
    <row r="2" spans="1:91" x14ac:dyDescent="0.25">
      <c r="A2">
        <v>1</v>
      </c>
      <c r="B2" t="s">
        <v>395</v>
      </c>
      <c r="C2">
        <v>1</v>
      </c>
      <c r="D2">
        <v>2</v>
      </c>
      <c r="E2" t="s">
        <v>396</v>
      </c>
      <c r="K2">
        <f>Scores_and_Fixtures[[#This Row],[Wk]]</f>
        <v>1</v>
      </c>
      <c r="L2" t="str">
        <f>Scores_and_Fixtures[[#This Row],[Home]]</f>
        <v>Sheffield Weds</v>
      </c>
      <c r="M2">
        <f ca="1">IF(ISBLANK(Scores_and_Fixtures[[#This Row],[Home Score]])=FALSE,Scores_and_Fixtures[[#This Row],[Home Score]],_xlfn.BINOM.INV(10000,(VLOOKUP(L2,$CK$4:$CM$27,2,FALSE)*VLOOKUP(O2,$CK$4:$CM$27,3,FALSE)*($CM$2/2))/10000,RAND()))</f>
        <v>1</v>
      </c>
      <c r="N2">
        <f ca="1">IF(ISBLANK(Scores_and_Fixtures[[#This Row],[Away Score]])=FALSE,Scores_and_Fixtures[[#This Row],[Away Score]],_xlfn.BINOM.INV(10000,(VLOOKUP(O2,$CK$4:$CM$27,2,FALSE)*VLOOKUP(L2,$CK$4:$CM$27,3,FALSE)*($CM$2/2))/10000,RAND()))</f>
        <v>2</v>
      </c>
      <c r="O2" t="str">
        <f>Scores_and_Fixtures[[#This Row],[Away]]</f>
        <v>Southampton</v>
      </c>
      <c r="BP2">
        <f>'Table Prediction Calculations'!BZ2</f>
        <v>2.75</v>
      </c>
      <c r="BQ2">
        <f>'Table Prediction Calculations'!CA2</f>
        <v>264</v>
      </c>
      <c r="BR2">
        <f>'Table Prediction Calculations'!CB2</f>
        <v>726</v>
      </c>
      <c r="BY2" t="s">
        <v>153</v>
      </c>
      <c r="BZ2">
        <f>CB2/CA2</f>
        <v>2.75</v>
      </c>
      <c r="CA2">
        <f>SUM(Stats[Matches Played])/2</f>
        <v>264</v>
      </c>
      <c r="CB2">
        <f>SUM(Stats[Goals For])</f>
        <v>726</v>
      </c>
      <c r="CE2" t="s">
        <v>256</v>
      </c>
      <c r="CF2">
        <f>CH2/CG2</f>
        <v>2.5537878787878787</v>
      </c>
      <c r="CG2">
        <f>SUM(Stats[Matches Played])/2</f>
        <v>264</v>
      </c>
      <c r="CH2">
        <f>SUM(Stats[xG])</f>
        <v>674.19999999999993</v>
      </c>
      <c r="CL2" t="s">
        <v>257</v>
      </c>
      <c r="CM2">
        <f>(0.5*BZ2)+(0.5*CF2)</f>
        <v>2.6518939393939394</v>
      </c>
    </row>
    <row r="3" spans="1:91" x14ac:dyDescent="0.25">
      <c r="A3">
        <v>1</v>
      </c>
      <c r="B3" t="s">
        <v>380</v>
      </c>
      <c r="C3">
        <v>1</v>
      </c>
      <c r="D3">
        <v>1</v>
      </c>
      <c r="E3" t="s">
        <v>392</v>
      </c>
      <c r="K3">
        <f>Scores_and_Fixtures[[#This Row],[Wk]]</f>
        <v>1</v>
      </c>
      <c r="L3" t="str">
        <f>Scores_and_Fixtures[[#This Row],[Home]]</f>
        <v>Bristol City</v>
      </c>
      <c r="M3">
        <f ca="1">IF(ISBLANK(Scores_and_Fixtures[[#This Row],[Home Score]])=FALSE,Scores_and_Fixtures[[#This Row],[Home Score]],_xlfn.BINOM.INV(10000,(VLOOKUP(L3,$CK$4:$CM$27,2,FALSE)*VLOOKUP(O3,$CK$4:$CM$27,3,FALSE)*($CM$2/2))/10000,RAND()))</f>
        <v>1</v>
      </c>
      <c r="N3">
        <f ca="1">IF(ISBLANK(Scores_and_Fixtures[[#This Row],[Away Score]])=FALSE,Scores_and_Fixtures[[#This Row],[Away Score]],_xlfn.BINOM.INV(10000,(VLOOKUP(O3,$CK$4:$CM$27,2,FALSE)*VLOOKUP(L3,$CK$4:$CM$27,3,FALSE)*($CM$2/2))/10000,RAND()))</f>
        <v>1</v>
      </c>
      <c r="O3" t="str">
        <f>Scores_and_Fixtures[[#This Row],[Away]]</f>
        <v>Preston</v>
      </c>
      <c r="BQ3" t="str">
        <f>'Table Prediction Calculations'!BY3</f>
        <v>Attacking Rating</v>
      </c>
      <c r="BR3" t="str">
        <f>'Table Prediction Calculations'!BZ3</f>
        <v>Defensive Rating</v>
      </c>
      <c r="BY3" t="s">
        <v>154</v>
      </c>
      <c r="BZ3" t="s">
        <v>155</v>
      </c>
      <c r="CE3" t="s">
        <v>154</v>
      </c>
      <c r="CF3" t="s">
        <v>155</v>
      </c>
      <c r="CL3" t="s">
        <v>258</v>
      </c>
      <c r="CM3" t="s">
        <v>259</v>
      </c>
    </row>
    <row r="4" spans="1:91" x14ac:dyDescent="0.25">
      <c r="A4">
        <v>1</v>
      </c>
      <c r="B4" t="s">
        <v>391</v>
      </c>
      <c r="C4">
        <v>3</v>
      </c>
      <c r="D4">
        <v>1</v>
      </c>
      <c r="E4" t="s">
        <v>383</v>
      </c>
      <c r="K4">
        <f>Scores_and_Fixtures[[#This Row],[Wk]]</f>
        <v>1</v>
      </c>
      <c r="L4" t="str">
        <f>Scores_and_Fixtures[[#This Row],[Home]]</f>
        <v>Plymouth Argyle</v>
      </c>
      <c r="M4">
        <f ca="1">IF(ISBLANK(Scores_and_Fixtures[[#This Row],[Home Score]])=FALSE,Scores_and_Fixtures[[#This Row],[Home Score]],_xlfn.BINOM.INV(10000,(VLOOKUP(L4,$CK$4:$CM$27,2,FALSE)*VLOOKUP(O4,$CK$4:$CM$27,3,FALSE)*($CM$2/2))/10000,RAND()))</f>
        <v>3</v>
      </c>
      <c r="N4">
        <f ca="1">IF(ISBLANK(Scores_and_Fixtures[[#This Row],[Away Score]])=FALSE,Scores_and_Fixtures[[#This Row],[Away Score]],_xlfn.BINOM.INV(10000,(VLOOKUP(O4,$CK$4:$CM$27,2,FALSE)*VLOOKUP(L4,$CK$4:$CM$27,3,FALSE)*($CM$2/2))/10000,RAND()))</f>
        <v>1</v>
      </c>
      <c r="O4" t="str">
        <f>Scores_and_Fixtures[[#This Row],[Away]]</f>
        <v>Huddersfield</v>
      </c>
      <c r="BP4" t="s">
        <v>378</v>
      </c>
      <c r="BQ4">
        <f>'Table Prediction Calculations'!BY4</f>
        <v>0.85950413223140498</v>
      </c>
      <c r="BR4">
        <f>'Table Prediction Calculations'!BZ4</f>
        <v>1.0578512396694215</v>
      </c>
      <c r="BX4" t="s">
        <v>378</v>
      </c>
      <c r="BY4">
        <f>(VLOOKUP(BX4,Stats[[Team]:[xGD/90]],6,FALSE)/VLOOKUP(BX4,Stats[[Team]:[xGD/90]],2,FALSE))/($BZ$2/2)</f>
        <v>0.85950413223140498</v>
      </c>
      <c r="BZ4">
        <f>(VLOOKUP(BX4,Stats[[Team]:[xGD/90]],7,FALSE)/VLOOKUP(BX4,Stats[[Team]:[xGD/90]],2,FALSE))/($BZ$2/2)</f>
        <v>1.0578512396694215</v>
      </c>
      <c r="CD4" t="s">
        <v>378</v>
      </c>
      <c r="CE4">
        <f>(VLOOKUP(BX4,Stats[[Team]:[xGD/90]],11,FALSE)/VLOOKUP(BX4,Stats[[Team]:[xGD/90]],2,FALSE))/($CF$2/2)</f>
        <v>0.88282408780777211</v>
      </c>
      <c r="CF4">
        <f>(VLOOKUP(BX4,Stats[[Team]:[xGD/90]],12,FALSE)/VLOOKUP(BX4,Stats[[Team]:[xGD/90]],2,FALSE))/($CF$2/2)</f>
        <v>1.0857312370216554</v>
      </c>
      <c r="CK4" t="s">
        <v>378</v>
      </c>
      <c r="CL4">
        <f t="shared" ref="CL4:CL27" si="0">(1+CE74)*(($BV$100*BY4)+($BW$100*CE4))</f>
        <v>0.91054644913171034</v>
      </c>
      <c r="CM4">
        <f t="shared" ref="CM4:CM27" si="1">(1+CF74)*(($BY$100*BZ4)+($BZ$100*CF4))</f>
        <v>1.1048228060298235</v>
      </c>
    </row>
    <row r="5" spans="1:91" x14ac:dyDescent="0.25">
      <c r="A5">
        <v>1</v>
      </c>
      <c r="B5" t="s">
        <v>397</v>
      </c>
      <c r="C5">
        <v>4</v>
      </c>
      <c r="D5">
        <v>1</v>
      </c>
      <c r="E5" t="s">
        <v>394</v>
      </c>
      <c r="K5">
        <f>Scores_and_Fixtures[[#This Row],[Wk]]</f>
        <v>1</v>
      </c>
      <c r="L5" t="str">
        <f>Scores_and_Fixtures[[#This Row],[Home]]</f>
        <v>Stoke City</v>
      </c>
      <c r="M5">
        <f ca="1">IF(ISBLANK(Scores_and_Fixtures[[#This Row],[Home Score]])=FALSE,Scores_and_Fixtures[[#This Row],[Home Score]],_xlfn.BINOM.INV(10000,(VLOOKUP(L5,$CK$4:$CM$27,2,FALSE)*VLOOKUP(O5,$CK$4:$CM$27,3,FALSE)*($CM$2/2))/10000,RAND()))</f>
        <v>4</v>
      </c>
      <c r="N5">
        <f ca="1">IF(ISBLANK(Scores_and_Fixtures[[#This Row],[Away Score]])=FALSE,Scores_and_Fixtures[[#This Row],[Away Score]],_xlfn.BINOM.INV(10000,(VLOOKUP(O5,$CK$4:$CM$27,2,FALSE)*VLOOKUP(L5,$CK$4:$CM$27,3,FALSE)*($CM$2/2))/10000,RAND()))</f>
        <v>1</v>
      </c>
      <c r="O5" t="str">
        <f>Scores_and_Fixtures[[#This Row],[Away]]</f>
        <v>Rotherham Utd</v>
      </c>
      <c r="BP5" t="s">
        <v>379</v>
      </c>
      <c r="BQ5">
        <f>'Table Prediction Calculations'!BY5</f>
        <v>1.1239669421487604</v>
      </c>
      <c r="BR5">
        <f>'Table Prediction Calculations'!BZ5</f>
        <v>1.2561983471074381</v>
      </c>
      <c r="BX5" t="s">
        <v>379</v>
      </c>
      <c r="BY5">
        <f>(VLOOKUP(BX5,Stats[[Team]:[xGD/90]],6,FALSE)/VLOOKUP(BX5,Stats[[Team]:[xGD/90]],2,FALSE))/($BZ$2/2)</f>
        <v>1.1239669421487604</v>
      </c>
      <c r="BZ5">
        <f>(VLOOKUP(BX5,Stats[[Team]:[xGD/90]],7,FALSE)/VLOOKUP(BX5,Stats[[Team]:[xGD/90]],2,FALSE))/($BZ$2/2)</f>
        <v>1.2561983471074381</v>
      </c>
      <c r="CD5" t="s">
        <v>379</v>
      </c>
      <c r="CE5">
        <f>(VLOOKUP(BX5,Stats[[Team]:[xGD/90]],11,FALSE)/VLOOKUP(BX5,Stats[[Team]:[xGD/90]],2,FALSE))/($CF$2/2)</f>
        <v>1.1889646989024028</v>
      </c>
      <c r="CF5">
        <f>(VLOOKUP(BX5,Stats[[Team]:[xGD/90]],12,FALSE)/VLOOKUP(BX5,Stats[[Team]:[xGD/90]],2,FALSE))/($CF$2/2)</f>
        <v>1.1426876297834472</v>
      </c>
      <c r="CK5" t="s">
        <v>379</v>
      </c>
      <c r="CL5">
        <f t="shared" si="0"/>
        <v>1.1746366079991382</v>
      </c>
      <c r="CM5">
        <f t="shared" si="1"/>
        <v>1.374067928843095</v>
      </c>
    </row>
    <row r="6" spans="1:91" x14ac:dyDescent="0.25">
      <c r="A6">
        <v>1</v>
      </c>
      <c r="B6" t="s">
        <v>388</v>
      </c>
      <c r="C6">
        <v>0</v>
      </c>
      <c r="D6">
        <v>1</v>
      </c>
      <c r="E6" t="s">
        <v>389</v>
      </c>
      <c r="K6">
        <f>Scores_and_Fixtures[[#This Row],[Wk]]</f>
        <v>1</v>
      </c>
      <c r="L6" t="str">
        <f>Scores_and_Fixtures[[#This Row],[Home]]</f>
        <v>Middlesbrough</v>
      </c>
      <c r="M6">
        <f ca="1">IF(ISBLANK(Scores_and_Fixtures[[#This Row],[Home Score]])=FALSE,Scores_and_Fixtures[[#This Row],[Home Score]],_xlfn.BINOM.INV(10000,(VLOOKUP(L6,$CK$4:$CM$27,2,FALSE)*VLOOKUP(O6,$CK$4:$CM$27,3,FALSE)*($CM$2/2))/10000,RAND()))</f>
        <v>0</v>
      </c>
      <c r="N6">
        <f ca="1">IF(ISBLANK(Scores_and_Fixtures[[#This Row],[Away Score]])=FALSE,Scores_and_Fixtures[[#This Row],[Away Score]],_xlfn.BINOM.INV(10000,(VLOOKUP(O6,$CK$4:$CM$27,2,FALSE)*VLOOKUP(L6,$CK$4:$CM$27,3,FALSE)*($CM$2/2))/10000,RAND()))</f>
        <v>1</v>
      </c>
      <c r="O6" t="str">
        <f>Scores_and_Fixtures[[#This Row],[Away]]</f>
        <v>Millwall</v>
      </c>
      <c r="BP6" t="s">
        <v>380</v>
      </c>
      <c r="BQ6">
        <f>'Table Prediction Calculations'!BY6</f>
        <v>0.76033057851239672</v>
      </c>
      <c r="BR6">
        <f>'Table Prediction Calculations'!BZ6</f>
        <v>0.79338842975206603</v>
      </c>
      <c r="BX6" t="s">
        <v>380</v>
      </c>
      <c r="BY6">
        <f>(VLOOKUP(BX6,Stats[[Team]:[xGD/90]],6,FALSE)/VLOOKUP(BX6,Stats[[Team]:[xGD/90]],2,FALSE))/($BZ$2/2)</f>
        <v>0.76033057851239672</v>
      </c>
      <c r="BZ6">
        <f>(VLOOKUP(BX6,Stats[[Team]:[xGD/90]],7,FALSE)/VLOOKUP(BX6,Stats[[Team]:[xGD/90]],2,FALSE))/($BZ$2/2)</f>
        <v>0.79338842975206603</v>
      </c>
      <c r="CD6" t="s">
        <v>380</v>
      </c>
      <c r="CE6">
        <f>(VLOOKUP(BX6,Stats[[Team]:[xGD/90]],11,FALSE)/VLOOKUP(BX6,Stats[[Team]:[xGD/90]],2,FALSE))/($CF$2/2)</f>
        <v>0.8792643132601603</v>
      </c>
      <c r="CF6">
        <f>(VLOOKUP(BX6,Stats[[Team]:[xGD/90]],12,FALSE)/VLOOKUP(BX6,Stats[[Team]:[xGD/90]],2,FALSE))/($CF$2/2)</f>
        <v>0.86502521506971219</v>
      </c>
      <c r="CK6" t="s">
        <v>380</v>
      </c>
      <c r="CL6">
        <f t="shared" si="0"/>
        <v>0.75547799237134272</v>
      </c>
      <c r="CM6">
        <f t="shared" si="1"/>
        <v>0.80342992776078881</v>
      </c>
    </row>
    <row r="7" spans="1:91" x14ac:dyDescent="0.25">
      <c r="A7">
        <v>1</v>
      </c>
      <c r="B7" t="s">
        <v>400</v>
      </c>
      <c r="C7">
        <v>4</v>
      </c>
      <c r="D7">
        <v>0</v>
      </c>
      <c r="E7" t="s">
        <v>393</v>
      </c>
      <c r="K7">
        <f>Scores_and_Fixtures[[#This Row],[Wk]]</f>
        <v>1</v>
      </c>
      <c r="L7" t="str">
        <f>Scores_and_Fixtures[[#This Row],[Home]]</f>
        <v>Watford</v>
      </c>
      <c r="M7">
        <f ca="1">IF(ISBLANK(Scores_and_Fixtures[[#This Row],[Home Score]])=FALSE,Scores_and_Fixtures[[#This Row],[Home Score]],_xlfn.BINOM.INV(10000,(VLOOKUP(L7,$CK$4:$CM$27,2,FALSE)*VLOOKUP(O7,$CK$4:$CM$27,3,FALSE)*($CM$2/2))/10000,RAND()))</f>
        <v>4</v>
      </c>
      <c r="N7">
        <f ca="1">IF(ISBLANK(Scores_and_Fixtures[[#This Row],[Away Score]])=FALSE,Scores_and_Fixtures[[#This Row],[Away Score]],_xlfn.BINOM.INV(10000,(VLOOKUP(O7,$CK$4:$CM$27,2,FALSE)*VLOOKUP(L7,$CK$4:$CM$27,3,FALSE)*($CM$2/2))/10000,RAND()))</f>
        <v>0</v>
      </c>
      <c r="O7" t="str">
        <f>Scores_and_Fixtures[[#This Row],[Away]]</f>
        <v>QPR</v>
      </c>
      <c r="BP7" t="s">
        <v>381</v>
      </c>
      <c r="BQ7">
        <f>'Table Prediction Calculations'!BY7</f>
        <v>0.92561983471074383</v>
      </c>
      <c r="BR7">
        <f>'Table Prediction Calculations'!BZ7</f>
        <v>0.8925619834710744</v>
      </c>
      <c r="BX7" t="s">
        <v>381</v>
      </c>
      <c r="BY7">
        <f>(VLOOKUP(BX7,Stats[[Team]:[xGD/90]],6,FALSE)/VLOOKUP(BX7,Stats[[Team]:[xGD/90]],2,FALSE))/($BZ$2/2)</f>
        <v>0.92561983471074383</v>
      </c>
      <c r="BZ7">
        <f>(VLOOKUP(BX7,Stats[[Team]:[xGD/90]],7,FALSE)/VLOOKUP(BX7,Stats[[Team]:[xGD/90]],2,FALSE))/($BZ$2/2)</f>
        <v>0.8925619834710744</v>
      </c>
      <c r="CD7" t="s">
        <v>381</v>
      </c>
      <c r="CE7">
        <f>(VLOOKUP(BX7,Stats[[Team]:[xGD/90]],11,FALSE)/VLOOKUP(BX7,Stats[[Team]:[xGD/90]],2,FALSE))/($CF$2/2)</f>
        <v>0.84722634233165228</v>
      </c>
      <c r="CF7">
        <f>(VLOOKUP(BX7,Stats[[Team]:[xGD/90]],12,FALSE)/VLOOKUP(BX7,Stats[[Team]:[xGD/90]],2,FALSE))/($CF$2/2)</f>
        <v>1.1142094334025512</v>
      </c>
      <c r="CK7" t="s">
        <v>381</v>
      </c>
      <c r="CL7">
        <f t="shared" si="0"/>
        <v>1.0224360776583932</v>
      </c>
      <c r="CM7">
        <f t="shared" si="1"/>
        <v>0.82116152030340717</v>
      </c>
    </row>
    <row r="8" spans="1:91" x14ac:dyDescent="0.25">
      <c r="A8">
        <v>1</v>
      </c>
      <c r="B8" t="s">
        <v>379</v>
      </c>
      <c r="C8">
        <v>2</v>
      </c>
      <c r="D8">
        <v>1</v>
      </c>
      <c r="E8" t="s">
        <v>401</v>
      </c>
      <c r="K8">
        <f>Scores_and_Fixtures[[#This Row],[Wk]]</f>
        <v>1</v>
      </c>
      <c r="L8" t="str">
        <f>Scores_and_Fixtures[[#This Row],[Home]]</f>
        <v>Blackburn</v>
      </c>
      <c r="M8">
        <f ca="1">IF(ISBLANK(Scores_and_Fixtures[[#This Row],[Home Score]])=FALSE,Scores_and_Fixtures[[#This Row],[Home Score]],_xlfn.BINOM.INV(10000,(VLOOKUP(L8,$CK$4:$CM$27,2,FALSE)*VLOOKUP(O8,$CK$4:$CM$27,3,FALSE)*($CM$2/2))/10000,RAND()))</f>
        <v>2</v>
      </c>
      <c r="N8">
        <f ca="1">IF(ISBLANK(Scores_and_Fixtures[[#This Row],[Away Score]])=FALSE,Scores_and_Fixtures[[#This Row],[Away Score]],_xlfn.BINOM.INV(10000,(VLOOKUP(O8,$CK$4:$CM$27,2,FALSE)*VLOOKUP(L8,$CK$4:$CM$27,3,FALSE)*($CM$2/2))/10000,RAND()))</f>
        <v>1</v>
      </c>
      <c r="O8" t="str">
        <f>Scores_and_Fixtures[[#This Row],[Away]]</f>
        <v>West Brom</v>
      </c>
      <c r="BP8" t="s">
        <v>382</v>
      </c>
      <c r="BQ8">
        <f>'Table Prediction Calculations'!BY8</f>
        <v>0.92561983471074383</v>
      </c>
      <c r="BR8">
        <f>'Table Prediction Calculations'!BZ8</f>
        <v>0.82644628099173556</v>
      </c>
      <c r="BX8" t="s">
        <v>382</v>
      </c>
      <c r="BY8">
        <f>(VLOOKUP(BX8,Stats[[Team]:[xGD/90]],6,FALSE)/VLOOKUP(BX8,Stats[[Team]:[xGD/90]],2,FALSE))/($BZ$2/2)</f>
        <v>0.92561983471074383</v>
      </c>
      <c r="BZ8">
        <f>(VLOOKUP(BX8,Stats[[Team]:[xGD/90]],7,FALSE)/VLOOKUP(BX8,Stats[[Team]:[xGD/90]],2,FALSE))/($BZ$2/2)</f>
        <v>0.82644628099173556</v>
      </c>
      <c r="CD8" t="s">
        <v>382</v>
      </c>
      <c r="CE8">
        <f>(VLOOKUP(BX8,Stats[[Team]:[xGD/90]],11,FALSE)/VLOOKUP(BX8,Stats[[Team]:[xGD/90]],2,FALSE))/($CF$2/2)</f>
        <v>1.1142094334025512</v>
      </c>
      <c r="CF8">
        <f>(VLOOKUP(BX8,Stats[[Team]:[xGD/90]],12,FALSE)/VLOOKUP(BX8,Stats[[Team]:[xGD/90]],2,FALSE))/($CF$2/2)</f>
        <v>0.85434589142687622</v>
      </c>
      <c r="CK8" t="s">
        <v>382</v>
      </c>
      <c r="CL8">
        <f t="shared" si="0"/>
        <v>0.89408296605458937</v>
      </c>
      <c r="CM8">
        <f t="shared" si="1"/>
        <v>0.86024473815101199</v>
      </c>
    </row>
    <row r="9" spans="1:91" x14ac:dyDescent="0.25">
      <c r="A9">
        <v>1</v>
      </c>
      <c r="B9" t="s">
        <v>390</v>
      </c>
      <c r="C9">
        <v>2</v>
      </c>
      <c r="D9">
        <v>1</v>
      </c>
      <c r="E9" t="s">
        <v>384</v>
      </c>
      <c r="K9">
        <f>Scores_and_Fixtures[[#This Row],[Wk]]</f>
        <v>1</v>
      </c>
      <c r="L9" t="str">
        <f>Scores_and_Fixtures[[#This Row],[Home]]</f>
        <v>Norwich City</v>
      </c>
      <c r="M9">
        <f ca="1">IF(ISBLANK(Scores_and_Fixtures[[#This Row],[Home Score]])=FALSE,Scores_and_Fixtures[[#This Row],[Home Score]],_xlfn.BINOM.INV(10000,(VLOOKUP(L9,$CK$4:$CM$27,2,FALSE)*VLOOKUP(O9,$CK$4:$CM$27,3,FALSE)*($CM$2/2))/10000,RAND()))</f>
        <v>2</v>
      </c>
      <c r="N9">
        <f ca="1">IF(ISBLANK(Scores_and_Fixtures[[#This Row],[Away Score]])=FALSE,Scores_and_Fixtures[[#This Row],[Away Score]],_xlfn.BINOM.INV(10000,(VLOOKUP(O9,$CK$4:$CM$27,2,FALSE)*VLOOKUP(L9,$CK$4:$CM$27,3,FALSE)*($CM$2/2))/10000,RAND()))</f>
        <v>1</v>
      </c>
      <c r="O9" t="str">
        <f>Scores_and_Fixtures[[#This Row],[Away]]</f>
        <v>Hull City</v>
      </c>
      <c r="BP9" t="s">
        <v>383</v>
      </c>
      <c r="BQ9">
        <f>'Table Prediction Calculations'!BY9</f>
        <v>0.69421487603305787</v>
      </c>
      <c r="BR9">
        <f>'Table Prediction Calculations'!BZ9</f>
        <v>1.1900826446280992</v>
      </c>
      <c r="BX9" t="s">
        <v>383</v>
      </c>
      <c r="BY9">
        <f>(VLOOKUP(BX9,Stats[[Team]:[xGD/90]],6,FALSE)/VLOOKUP(BX9,Stats[[Team]:[xGD/90]],2,FALSE))/($BZ$2/2)</f>
        <v>0.69421487603305787</v>
      </c>
      <c r="BZ9">
        <f>(VLOOKUP(BX9,Stats[[Team]:[xGD/90]],7,FALSE)/VLOOKUP(BX9,Stats[[Team]:[xGD/90]],2,FALSE))/($BZ$2/2)</f>
        <v>1.1900826446280992</v>
      </c>
      <c r="CD9" t="s">
        <v>383</v>
      </c>
      <c r="CE9">
        <f>(VLOOKUP(BX9,Stats[[Team]:[xGD/90]],11,FALSE)/VLOOKUP(BX9,Stats[[Team]:[xGD/90]],2,FALSE))/($CF$2/2)</f>
        <v>0.78671017502224871</v>
      </c>
      <c r="CF9">
        <f>(VLOOKUP(BX9,Stats[[Team]:[xGD/90]],12,FALSE)/VLOOKUP(BX9,Stats[[Team]:[xGD/90]],2,FALSE))/($CF$2/2)</f>
        <v>1.160486502521507</v>
      </c>
      <c r="CK9" t="s">
        <v>383</v>
      </c>
      <c r="CL9">
        <f t="shared" si="0"/>
        <v>0.69871150784914815</v>
      </c>
      <c r="CM9">
        <f t="shared" si="1"/>
        <v>1.2703560612558207</v>
      </c>
    </row>
    <row r="10" spans="1:91" x14ac:dyDescent="0.25">
      <c r="A10">
        <v>1</v>
      </c>
      <c r="B10" t="s">
        <v>399</v>
      </c>
      <c r="C10">
        <v>1</v>
      </c>
      <c r="D10">
        <v>1</v>
      </c>
      <c r="E10" t="s">
        <v>378</v>
      </c>
      <c r="K10">
        <f>Scores_and_Fixtures[[#This Row],[Wk]]</f>
        <v>1</v>
      </c>
      <c r="L10" t="str">
        <f>Scores_and_Fixtures[[#This Row],[Home]]</f>
        <v>Swansea City</v>
      </c>
      <c r="M10">
        <f ca="1">IF(ISBLANK(Scores_and_Fixtures[[#This Row],[Home Score]])=FALSE,Scores_and_Fixtures[[#This Row],[Home Score]],_xlfn.BINOM.INV(10000,(VLOOKUP(L10,$CK$4:$CM$27,2,FALSE)*VLOOKUP(O10,$CK$4:$CM$27,3,FALSE)*($CM$2/2))/10000,RAND()))</f>
        <v>1</v>
      </c>
      <c r="N10">
        <f ca="1">IF(ISBLANK(Scores_and_Fixtures[[#This Row],[Away Score]])=FALSE,Scores_and_Fixtures[[#This Row],[Away Score]],_xlfn.BINOM.INV(10000,(VLOOKUP(O10,$CK$4:$CM$27,2,FALSE)*VLOOKUP(L10,$CK$4:$CM$27,3,FALSE)*($CM$2/2))/10000,RAND()))</f>
        <v>1</v>
      </c>
      <c r="O10" t="str">
        <f>Scores_and_Fixtures[[#This Row],[Away]]</f>
        <v>Birmingham City</v>
      </c>
      <c r="BP10" t="s">
        <v>384</v>
      </c>
      <c r="BQ10">
        <f>'Table Prediction Calculations'!BY10</f>
        <v>1.1239669421487604</v>
      </c>
      <c r="BR10">
        <f>'Table Prediction Calculations'!BZ10</f>
        <v>0.8925619834710744</v>
      </c>
      <c r="BX10" t="s">
        <v>384</v>
      </c>
      <c r="BY10">
        <f>(VLOOKUP(BX10,Stats[[Team]:[xGD/90]],6,FALSE)/VLOOKUP(BX10,Stats[[Team]:[xGD/90]],2,FALSE))/($BZ$2/2)</f>
        <v>1.1239669421487604</v>
      </c>
      <c r="BZ10">
        <f>(VLOOKUP(BX10,Stats[[Team]:[xGD/90]],7,FALSE)/VLOOKUP(BX10,Stats[[Team]:[xGD/90]],2,FALSE))/($BZ$2/2)</f>
        <v>0.8925619834710744</v>
      </c>
      <c r="CD10" t="s">
        <v>384</v>
      </c>
      <c r="CE10">
        <f>(VLOOKUP(BX10,Stats[[Team]:[xGD/90]],11,FALSE)/VLOOKUP(BX10,Stats[[Team]:[xGD/90]],2,FALSE))/($CF$2/2)</f>
        <v>1.0572530406407594</v>
      </c>
      <c r="CF10">
        <f>(VLOOKUP(BX10,Stats[[Team]:[xGD/90]],12,FALSE)/VLOOKUP(BX10,Stats[[Team]:[xGD/90]],2,FALSE))/($CF$2/2)</f>
        <v>0.85790566597448836</v>
      </c>
      <c r="CK10" t="s">
        <v>384</v>
      </c>
      <c r="CL10">
        <f t="shared" si="0"/>
        <v>1.2310821670302434</v>
      </c>
      <c r="CM10">
        <f t="shared" si="1"/>
        <v>0.95804490765308592</v>
      </c>
    </row>
    <row r="11" spans="1:91" x14ac:dyDescent="0.25">
      <c r="A11">
        <v>1</v>
      </c>
      <c r="B11" t="s">
        <v>387</v>
      </c>
      <c r="C11">
        <v>2</v>
      </c>
      <c r="D11">
        <v>1</v>
      </c>
      <c r="E11" t="s">
        <v>382</v>
      </c>
      <c r="K11">
        <f>Scores_and_Fixtures[[#This Row],[Wk]]</f>
        <v>1</v>
      </c>
      <c r="L11" t="str">
        <f>Scores_and_Fixtures[[#This Row],[Home]]</f>
        <v>Leicester City</v>
      </c>
      <c r="M11">
        <f ca="1">IF(ISBLANK(Scores_and_Fixtures[[#This Row],[Home Score]])=FALSE,Scores_and_Fixtures[[#This Row],[Home Score]],_xlfn.BINOM.INV(10000,(VLOOKUP(L11,$CK$4:$CM$27,2,FALSE)*VLOOKUP(O11,$CK$4:$CM$27,3,FALSE)*($CM$2/2))/10000,RAND()))</f>
        <v>2</v>
      </c>
      <c r="N11">
        <f ca="1">IF(ISBLANK(Scores_and_Fixtures[[#This Row],[Away Score]])=FALSE,Scores_and_Fixtures[[#This Row],[Away Score]],_xlfn.BINOM.INV(10000,(VLOOKUP(O11,$CK$4:$CM$27,2,FALSE)*VLOOKUP(L11,$CK$4:$CM$27,3,FALSE)*($CM$2/2))/10000,RAND()))</f>
        <v>1</v>
      </c>
      <c r="O11" t="str">
        <f>Scores_and_Fixtures[[#This Row],[Away]]</f>
        <v>Coventry City</v>
      </c>
      <c r="BP11" t="s">
        <v>385</v>
      </c>
      <c r="BQ11">
        <f>'Table Prediction Calculations'!BY11</f>
        <v>1.5537190082644627</v>
      </c>
      <c r="BR11">
        <f>'Table Prediction Calculations'!BZ11</f>
        <v>0.92561983471074383</v>
      </c>
      <c r="BX11" t="s">
        <v>385</v>
      </c>
      <c r="BY11">
        <f>(VLOOKUP(BX11,Stats[[Team]:[xGD/90]],6,FALSE)/VLOOKUP(BX11,Stats[[Team]:[xGD/90]],2,FALSE))/($BZ$2/2)</f>
        <v>1.5537190082644627</v>
      </c>
      <c r="BZ11">
        <f>(VLOOKUP(BX11,Stats[[Team]:[xGD/90]],7,FALSE)/VLOOKUP(BX11,Stats[[Team]:[xGD/90]],2,FALSE))/($BZ$2/2)</f>
        <v>0.92561983471074383</v>
      </c>
      <c r="CD11" t="s">
        <v>385</v>
      </c>
      <c r="CE11">
        <f>(VLOOKUP(BX11,Stats[[Team]:[xGD/90]],11,FALSE)/VLOOKUP(BX11,Stats[[Team]:[xGD/90]],2,FALSE))/($CF$2/2)</f>
        <v>1.3527143280925542</v>
      </c>
      <c r="CF11">
        <f>(VLOOKUP(BX11,Stats[[Team]:[xGD/90]],12,FALSE)/VLOOKUP(BX11,Stats[[Team]:[xGD/90]],2,FALSE))/($CF$2/2)</f>
        <v>0.86146544052210017</v>
      </c>
      <c r="CK11" t="s">
        <v>385</v>
      </c>
      <c r="CL11">
        <f t="shared" si="0"/>
        <v>1.7395934274729843</v>
      </c>
      <c r="CM11">
        <f t="shared" si="1"/>
        <v>1.0049730834058404</v>
      </c>
    </row>
    <row r="12" spans="1:91" x14ac:dyDescent="0.25">
      <c r="A12">
        <v>1</v>
      </c>
      <c r="B12" t="s">
        <v>386</v>
      </c>
      <c r="C12">
        <v>2</v>
      </c>
      <c r="D12">
        <v>2</v>
      </c>
      <c r="E12" t="s">
        <v>381</v>
      </c>
      <c r="K12">
        <f>Scores_and_Fixtures[[#This Row],[Wk]]</f>
        <v>1</v>
      </c>
      <c r="L12" t="str">
        <f>Scores_and_Fixtures[[#This Row],[Home]]</f>
        <v>Leeds United</v>
      </c>
      <c r="M12">
        <f ca="1">IF(ISBLANK(Scores_and_Fixtures[[#This Row],[Home Score]])=FALSE,Scores_and_Fixtures[[#This Row],[Home Score]],_xlfn.BINOM.INV(10000,(VLOOKUP(L12,$CK$4:$CM$27,2,FALSE)*VLOOKUP(O12,$CK$4:$CM$27,3,FALSE)*($CM$2/2))/10000,RAND()))</f>
        <v>2</v>
      </c>
      <c r="N12">
        <f ca="1">IF(ISBLANK(Scores_and_Fixtures[[#This Row],[Away Score]])=FALSE,Scores_and_Fixtures[[#This Row],[Away Score]],_xlfn.BINOM.INV(10000,(VLOOKUP(O12,$CK$4:$CM$27,2,FALSE)*VLOOKUP(L12,$CK$4:$CM$27,3,FALSE)*($CM$2/2))/10000,RAND()))</f>
        <v>2</v>
      </c>
      <c r="O12" t="str">
        <f>Scores_and_Fixtures[[#This Row],[Away]]</f>
        <v>Cardiff City</v>
      </c>
      <c r="BP12" t="s">
        <v>386</v>
      </c>
      <c r="BQ12">
        <f>'Table Prediction Calculations'!BY12</f>
        <v>1.2231404958677687</v>
      </c>
      <c r="BR12">
        <f>'Table Prediction Calculations'!BZ12</f>
        <v>0.72727272727272729</v>
      </c>
      <c r="BX12" t="s">
        <v>386</v>
      </c>
      <c r="BY12">
        <f>(VLOOKUP(BX12,Stats[[Team]:[xGD/90]],6,FALSE)/VLOOKUP(BX12,Stats[[Team]:[xGD/90]],2,FALSE))/($BZ$2/2)</f>
        <v>1.2231404958677687</v>
      </c>
      <c r="BZ12">
        <f>(VLOOKUP(BX12,Stats[[Team]:[xGD/90]],7,FALSE)/VLOOKUP(BX12,Stats[[Team]:[xGD/90]],2,FALSE))/($BZ$2/2)</f>
        <v>0.72727272727272729</v>
      </c>
      <c r="CD12" t="s">
        <v>386</v>
      </c>
      <c r="CE12">
        <f>(VLOOKUP(BX12,Stats[[Team]:[xGD/90]],11,FALSE)/VLOOKUP(BX12,Stats[[Team]:[xGD/90]],2,FALSE))/($CF$2/2)</f>
        <v>1.3099970335212103</v>
      </c>
      <c r="CF12">
        <f>(VLOOKUP(BX12,Stats[[Team]:[xGD/90]],12,FALSE)/VLOOKUP(BX12,Stats[[Team]:[xGD/90]],2,FALSE))/($CF$2/2)</f>
        <v>0.71551468407000895</v>
      </c>
      <c r="CK12" t="s">
        <v>386</v>
      </c>
      <c r="CL12">
        <f t="shared" si="0"/>
        <v>1.2704611659646072</v>
      </c>
      <c r="CM12">
        <f t="shared" si="1"/>
        <v>0.77358990452500187</v>
      </c>
    </row>
    <row r="13" spans="1:91" x14ac:dyDescent="0.25">
      <c r="A13">
        <v>1</v>
      </c>
      <c r="B13" t="s">
        <v>398</v>
      </c>
      <c r="C13">
        <v>1</v>
      </c>
      <c r="D13">
        <v>2</v>
      </c>
      <c r="E13" t="s">
        <v>385</v>
      </c>
      <c r="K13">
        <f>Scores_and_Fixtures[[#This Row],[Wk]]</f>
        <v>1</v>
      </c>
      <c r="L13" t="str">
        <f>Scores_and_Fixtures[[#This Row],[Home]]</f>
        <v>Sunderland</v>
      </c>
      <c r="M13">
        <f ca="1">IF(ISBLANK(Scores_and_Fixtures[[#This Row],[Home Score]])=FALSE,Scores_and_Fixtures[[#This Row],[Home Score]],_xlfn.BINOM.INV(10000,(VLOOKUP(L13,$CK$4:$CM$27,2,FALSE)*VLOOKUP(O13,$CK$4:$CM$27,3,FALSE)*($CM$2/2))/10000,RAND()))</f>
        <v>1</v>
      </c>
      <c r="N13">
        <f ca="1">IF(ISBLANK(Scores_and_Fixtures[[#This Row],[Away Score]])=FALSE,Scores_and_Fixtures[[#This Row],[Away Score]],_xlfn.BINOM.INV(10000,(VLOOKUP(O13,$CK$4:$CM$27,2,FALSE)*VLOOKUP(L13,$CK$4:$CM$27,3,FALSE)*($CM$2/2))/10000,RAND()))</f>
        <v>2</v>
      </c>
      <c r="O13" t="str">
        <f>Scores_and_Fixtures[[#This Row],[Away]]</f>
        <v>Ipswich Town</v>
      </c>
      <c r="BP13" t="s">
        <v>387</v>
      </c>
      <c r="BQ13">
        <f>'Table Prediction Calculations'!BY13</f>
        <v>1.4545454545454546</v>
      </c>
      <c r="BR13">
        <f>'Table Prediction Calculations'!BZ13</f>
        <v>0.52892561983471076</v>
      </c>
      <c r="BX13" t="s">
        <v>387</v>
      </c>
      <c r="BY13">
        <f>(VLOOKUP(BX13,Stats[[Team]:[xGD/90]],6,FALSE)/VLOOKUP(BX13,Stats[[Team]:[xGD/90]],2,FALSE))/($BZ$2/2)</f>
        <v>1.4545454545454546</v>
      </c>
      <c r="BZ13">
        <f>(VLOOKUP(BX13,Stats[[Team]:[xGD/90]],7,FALSE)/VLOOKUP(BX13,Stats[[Team]:[xGD/90]],2,FALSE))/($BZ$2/2)</f>
        <v>0.52892561983471076</v>
      </c>
      <c r="CD13" t="s">
        <v>387</v>
      </c>
      <c r="CE13">
        <f>(VLOOKUP(BX13,Stats[[Team]:[xGD/90]],11,FALSE)/VLOOKUP(BX13,Stats[[Team]:[xGD/90]],2,FALSE))/($CF$2/2)</f>
        <v>1.4203500444971817</v>
      </c>
      <c r="CF13">
        <f>(VLOOKUP(BX13,Stats[[Team]:[xGD/90]],12,FALSE)/VLOOKUP(BX13,Stats[[Team]:[xGD/90]],2,FALSE))/($CF$2/2)</f>
        <v>0.72975378226045684</v>
      </c>
      <c r="CK13" t="s">
        <v>387</v>
      </c>
      <c r="CL13">
        <f t="shared" si="0"/>
        <v>1.5726562322790283</v>
      </c>
      <c r="CM13">
        <f t="shared" si="1"/>
        <v>0.43774940540195562</v>
      </c>
    </row>
    <row r="14" spans="1:91" x14ac:dyDescent="0.25">
      <c r="A14">
        <v>2</v>
      </c>
      <c r="B14" t="s">
        <v>382</v>
      </c>
      <c r="C14">
        <v>3</v>
      </c>
      <c r="D14">
        <v>0</v>
      </c>
      <c r="E14" t="s">
        <v>388</v>
      </c>
      <c r="K14">
        <f>Scores_and_Fixtures[[#This Row],[Wk]]</f>
        <v>2</v>
      </c>
      <c r="L14" t="str">
        <f>Scores_and_Fixtures[[#This Row],[Home]]</f>
        <v>Coventry City</v>
      </c>
      <c r="M14">
        <f ca="1">IF(ISBLANK(Scores_and_Fixtures[[#This Row],[Home Score]])=FALSE,Scores_and_Fixtures[[#This Row],[Home Score]],_xlfn.BINOM.INV(10000,(VLOOKUP(L14,$CK$4:$CM$27,2,FALSE)*VLOOKUP(O14,$CK$4:$CM$27,3,FALSE)*($CM$2/2))/10000,RAND()))</f>
        <v>3</v>
      </c>
      <c r="N14">
        <f ca="1">IF(ISBLANK(Scores_and_Fixtures[[#This Row],[Away Score]])=FALSE,Scores_and_Fixtures[[#This Row],[Away Score]],_xlfn.BINOM.INV(10000,(VLOOKUP(O14,$CK$4:$CM$27,2,FALSE)*VLOOKUP(L14,$CK$4:$CM$27,3,FALSE)*($CM$2/2))/10000,RAND()))</f>
        <v>0</v>
      </c>
      <c r="O14" t="str">
        <f>Scores_and_Fixtures[[#This Row],[Away]]</f>
        <v>Middlesbrough</v>
      </c>
      <c r="BP14" t="s">
        <v>388</v>
      </c>
      <c r="BQ14">
        <f>'Table Prediction Calculations'!BY14</f>
        <v>1.1239669421487604</v>
      </c>
      <c r="BR14">
        <f>'Table Prediction Calculations'!BZ14</f>
        <v>1.1239669421487604</v>
      </c>
      <c r="BX14" t="s">
        <v>388</v>
      </c>
      <c r="BY14">
        <f>(VLOOKUP(BX14,Stats[[Team]:[xGD/90]],6,FALSE)/VLOOKUP(BX14,Stats[[Team]:[xGD/90]],2,FALSE))/($BZ$2/2)</f>
        <v>1.1239669421487604</v>
      </c>
      <c r="BZ14">
        <f>(VLOOKUP(BX14,Stats[[Team]:[xGD/90]],7,FALSE)/VLOOKUP(BX14,Stats[[Team]:[xGD/90]],2,FALSE))/($BZ$2/2)</f>
        <v>1.1239669421487604</v>
      </c>
      <c r="CD14" t="s">
        <v>388</v>
      </c>
      <c r="CE14">
        <f>(VLOOKUP(BX14,Stats[[Team]:[xGD/90]],11,FALSE)/VLOOKUP(BX14,Stats[[Team]:[xGD/90]],2,FALSE))/($CF$2/2)</f>
        <v>1.2566004153070305</v>
      </c>
      <c r="CF14">
        <f>(VLOOKUP(BX14,Stats[[Team]:[xGD/90]],12,FALSE)/VLOOKUP(BX14,Stats[[Team]:[xGD/90]],2,FALSE))/($CF$2/2)</f>
        <v>0.90418273509344416</v>
      </c>
      <c r="CK14" t="s">
        <v>388</v>
      </c>
      <c r="CL14">
        <f t="shared" si="0"/>
        <v>1.1404578754533179</v>
      </c>
      <c r="CM14">
        <f t="shared" si="1"/>
        <v>1.2688882589045258</v>
      </c>
    </row>
    <row r="15" spans="1:91" x14ac:dyDescent="0.25">
      <c r="A15">
        <v>2</v>
      </c>
      <c r="B15" t="s">
        <v>383</v>
      </c>
      <c r="C15">
        <v>0</v>
      </c>
      <c r="D15">
        <v>1</v>
      </c>
      <c r="E15" t="s">
        <v>387</v>
      </c>
      <c r="K15">
        <f>Scores_and_Fixtures[[#This Row],[Wk]]</f>
        <v>2</v>
      </c>
      <c r="L15" t="str">
        <f>Scores_and_Fixtures[[#This Row],[Home]]</f>
        <v>Huddersfield</v>
      </c>
      <c r="M15">
        <f ca="1">IF(ISBLANK(Scores_and_Fixtures[[#This Row],[Home Score]])=FALSE,Scores_and_Fixtures[[#This Row],[Home Score]],_xlfn.BINOM.INV(10000,(VLOOKUP(L15,$CK$4:$CM$27,2,FALSE)*VLOOKUP(O15,$CK$4:$CM$27,3,FALSE)*($CM$2/2))/10000,RAND()))</f>
        <v>0</v>
      </c>
      <c r="N15">
        <f ca="1">IF(ISBLANK(Scores_and_Fixtures[[#This Row],[Away Score]])=FALSE,Scores_and_Fixtures[[#This Row],[Away Score]],_xlfn.BINOM.INV(10000,(VLOOKUP(O15,$CK$4:$CM$27,2,FALSE)*VLOOKUP(L15,$CK$4:$CM$27,3,FALSE)*($CM$2/2))/10000,RAND()))</f>
        <v>1</v>
      </c>
      <c r="O15" t="str">
        <f>Scores_and_Fixtures[[#This Row],[Away]]</f>
        <v>Leicester City</v>
      </c>
      <c r="BP15" t="s">
        <v>389</v>
      </c>
      <c r="BQ15">
        <f>'Table Prediction Calculations'!BY15</f>
        <v>0.79338842975206603</v>
      </c>
      <c r="BR15">
        <f>'Table Prediction Calculations'!BZ15</f>
        <v>1.0247933884297522</v>
      </c>
      <c r="BX15" t="s">
        <v>389</v>
      </c>
      <c r="BY15">
        <f>(VLOOKUP(BX15,Stats[[Team]:[xGD/90]],6,FALSE)/VLOOKUP(BX15,Stats[[Team]:[xGD/90]],2,FALSE))/($BZ$2/2)</f>
        <v>0.79338842975206603</v>
      </c>
      <c r="BZ15">
        <f>(VLOOKUP(BX15,Stats[[Team]:[xGD/90]],7,FALSE)/VLOOKUP(BX15,Stats[[Team]:[xGD/90]],2,FALSE))/($BZ$2/2)</f>
        <v>1.0247933884297522</v>
      </c>
      <c r="CD15" t="s">
        <v>389</v>
      </c>
      <c r="CE15">
        <f>(VLOOKUP(BX15,Stats[[Team]:[xGD/90]],11,FALSE)/VLOOKUP(BX15,Stats[[Team]:[xGD/90]],2,FALSE))/($CF$2/2)</f>
        <v>0.80450904776030863</v>
      </c>
      <c r="CF15">
        <f>(VLOOKUP(BX15,Stats[[Team]:[xGD/90]],12,FALSE)/VLOOKUP(BX15,Stats[[Team]:[xGD/90]],2,FALSE))/($CF$2/2)</f>
        <v>1.0786116879264314</v>
      </c>
      <c r="CK15" t="s">
        <v>389</v>
      </c>
      <c r="CL15">
        <f t="shared" si="0"/>
        <v>0.84515596930287684</v>
      </c>
      <c r="CM15">
        <f t="shared" si="1"/>
        <v>1.0573949163472984</v>
      </c>
    </row>
    <row r="16" spans="1:91" x14ac:dyDescent="0.25">
      <c r="A16">
        <v>2</v>
      </c>
      <c r="B16" t="s">
        <v>401</v>
      </c>
      <c r="C16">
        <v>3</v>
      </c>
      <c r="D16">
        <v>2</v>
      </c>
      <c r="E16" t="s">
        <v>399</v>
      </c>
      <c r="K16">
        <f>Scores_and_Fixtures[[#This Row],[Wk]]</f>
        <v>2</v>
      </c>
      <c r="L16" t="str">
        <f>Scores_and_Fixtures[[#This Row],[Home]]</f>
        <v>West Brom</v>
      </c>
      <c r="M16">
        <f ca="1">IF(ISBLANK(Scores_and_Fixtures[[#This Row],[Home Score]])=FALSE,Scores_and_Fixtures[[#This Row],[Home Score]],_xlfn.BINOM.INV(10000,(VLOOKUP(L16,$CK$4:$CM$27,2,FALSE)*VLOOKUP(O16,$CK$4:$CM$27,3,FALSE)*($CM$2/2))/10000,RAND()))</f>
        <v>3</v>
      </c>
      <c r="N16">
        <f ca="1">IF(ISBLANK(Scores_and_Fixtures[[#This Row],[Away Score]])=FALSE,Scores_and_Fixtures[[#This Row],[Away Score]],_xlfn.BINOM.INV(10000,(VLOOKUP(O16,$CK$4:$CM$27,2,FALSE)*VLOOKUP(L16,$CK$4:$CM$27,3,FALSE)*($CM$2/2))/10000,RAND()))</f>
        <v>2</v>
      </c>
      <c r="O16" t="str">
        <f>Scores_and_Fixtures[[#This Row],[Away]]</f>
        <v>Swansea City</v>
      </c>
      <c r="BP16" t="s">
        <v>390</v>
      </c>
      <c r="BQ16">
        <f>'Table Prediction Calculations'!BY16</f>
        <v>1.2892561983471074</v>
      </c>
      <c r="BR16">
        <f>'Table Prediction Calculations'!BZ16</f>
        <v>1.2892561983471074</v>
      </c>
      <c r="BX16" t="s">
        <v>390</v>
      </c>
      <c r="BY16">
        <f>(VLOOKUP(BX16,Stats[[Team]:[xGD/90]],6,FALSE)/VLOOKUP(BX16,Stats[[Team]:[xGD/90]],2,FALSE))/($BZ$2/2)</f>
        <v>1.2892561983471074</v>
      </c>
      <c r="BZ16">
        <f>(VLOOKUP(BX16,Stats[[Team]:[xGD/90]],7,FALSE)/VLOOKUP(BX16,Stats[[Team]:[xGD/90]],2,FALSE))/($BZ$2/2)</f>
        <v>1.2892561983471074</v>
      </c>
      <c r="CD16" t="s">
        <v>390</v>
      </c>
      <c r="CE16">
        <f>(VLOOKUP(BX16,Stats[[Team]:[xGD/90]],11,FALSE)/VLOOKUP(BX16,Stats[[Team]:[xGD/90]],2,FALSE))/($CF$2/2)</f>
        <v>1.1035301097597152</v>
      </c>
      <c r="CF16">
        <f>(VLOOKUP(BX16,Stats[[Team]:[xGD/90]],12,FALSE)/VLOOKUP(BX16,Stats[[Team]:[xGD/90]],2,FALSE))/($CF$2/2)</f>
        <v>1.1960842479976268</v>
      </c>
      <c r="CK16" t="s">
        <v>390</v>
      </c>
      <c r="CL16">
        <f t="shared" si="0"/>
        <v>1.4493782631128829</v>
      </c>
      <c r="CM16">
        <f t="shared" si="1"/>
        <v>1.4012795132550691</v>
      </c>
    </row>
    <row r="17" spans="1:91" x14ac:dyDescent="0.25">
      <c r="A17">
        <v>2</v>
      </c>
      <c r="B17" t="s">
        <v>381</v>
      </c>
      <c r="C17">
        <v>1</v>
      </c>
      <c r="D17">
        <v>2</v>
      </c>
      <c r="E17" t="s">
        <v>393</v>
      </c>
      <c r="K17">
        <f>Scores_and_Fixtures[[#This Row],[Wk]]</f>
        <v>2</v>
      </c>
      <c r="L17" t="str">
        <f>Scores_and_Fixtures[[#This Row],[Home]]</f>
        <v>Cardiff City</v>
      </c>
      <c r="M17">
        <f ca="1">IF(ISBLANK(Scores_and_Fixtures[[#This Row],[Home Score]])=FALSE,Scores_and_Fixtures[[#This Row],[Home Score]],_xlfn.BINOM.INV(10000,(VLOOKUP(L17,$CK$4:$CM$27,2,FALSE)*VLOOKUP(O17,$CK$4:$CM$27,3,FALSE)*($CM$2/2))/10000,RAND()))</f>
        <v>1</v>
      </c>
      <c r="N17">
        <f ca="1">IF(ISBLANK(Scores_and_Fixtures[[#This Row],[Away Score]])=FALSE,Scores_and_Fixtures[[#This Row],[Away Score]],_xlfn.BINOM.INV(10000,(VLOOKUP(O17,$CK$4:$CM$27,2,FALSE)*VLOOKUP(L17,$CK$4:$CM$27,3,FALSE)*($CM$2/2))/10000,RAND()))</f>
        <v>2</v>
      </c>
      <c r="O17" t="str">
        <f>Scores_and_Fixtures[[#This Row],[Away]]</f>
        <v>QPR</v>
      </c>
      <c r="BP17" t="s">
        <v>391</v>
      </c>
      <c r="BQ17">
        <f>'Table Prediction Calculations'!BY17</f>
        <v>1.1239669421487604</v>
      </c>
      <c r="BR17">
        <f>'Table Prediction Calculations'!BZ17</f>
        <v>1.1570247933884297</v>
      </c>
      <c r="BX17" t="s">
        <v>391</v>
      </c>
      <c r="BY17">
        <f>(VLOOKUP(BX17,Stats[[Team]:[xGD/90]],6,FALSE)/VLOOKUP(BX17,Stats[[Team]:[xGD/90]],2,FALSE))/($BZ$2/2)</f>
        <v>1.1239669421487604</v>
      </c>
      <c r="BZ17">
        <f>(VLOOKUP(BX17,Stats[[Team]:[xGD/90]],7,FALSE)/VLOOKUP(BX17,Stats[[Team]:[xGD/90]],2,FALSE))/($BZ$2/2)</f>
        <v>1.1570247933884297</v>
      </c>
      <c r="CD17" t="s">
        <v>391</v>
      </c>
      <c r="CE17">
        <f>(VLOOKUP(BX17,Stats[[Team]:[xGD/90]],11,FALSE)/VLOOKUP(BX17,Stats[[Team]:[xGD/90]],2,FALSE))/($CF$2/2)</f>
        <v>1.0394541679026994</v>
      </c>
      <c r="CF17">
        <f>(VLOOKUP(BX17,Stats[[Team]:[xGD/90]],12,FALSE)/VLOOKUP(BX17,Stats[[Team]:[xGD/90]],2,FALSE))/($CF$2/2)</f>
        <v>1.3740729753782261</v>
      </c>
      <c r="CK17" t="s">
        <v>391</v>
      </c>
      <c r="CL17">
        <f t="shared" si="0"/>
        <v>1.2376849764871265</v>
      </c>
      <c r="CM17">
        <f t="shared" si="1"/>
        <v>1.1084319088968215</v>
      </c>
    </row>
    <row r="18" spans="1:91" x14ac:dyDescent="0.25">
      <c r="A18">
        <v>2</v>
      </c>
      <c r="B18" t="s">
        <v>400</v>
      </c>
      <c r="C18">
        <v>0</v>
      </c>
      <c r="D18">
        <v>0</v>
      </c>
      <c r="E18" t="s">
        <v>391</v>
      </c>
      <c r="K18">
        <f>Scores_and_Fixtures[[#This Row],[Wk]]</f>
        <v>2</v>
      </c>
      <c r="L18" t="str">
        <f>Scores_and_Fixtures[[#This Row],[Home]]</f>
        <v>Watford</v>
      </c>
      <c r="M18">
        <f ca="1">IF(ISBLANK(Scores_and_Fixtures[[#This Row],[Home Score]])=FALSE,Scores_and_Fixtures[[#This Row],[Home Score]],_xlfn.BINOM.INV(10000,(VLOOKUP(L18,$CK$4:$CM$27,2,FALSE)*VLOOKUP(O18,$CK$4:$CM$27,3,FALSE)*($CM$2/2))/10000,RAND()))</f>
        <v>0</v>
      </c>
      <c r="N18">
        <f ca="1">IF(ISBLANK(Scores_and_Fixtures[[#This Row],[Away Score]])=FALSE,Scores_and_Fixtures[[#This Row],[Away Score]],_xlfn.BINOM.INV(10000,(VLOOKUP(O18,$CK$4:$CM$27,2,FALSE)*VLOOKUP(L18,$CK$4:$CM$27,3,FALSE)*($CM$2/2))/10000,RAND()))</f>
        <v>0</v>
      </c>
      <c r="O18" t="str">
        <f>Scores_and_Fixtures[[#This Row],[Away]]</f>
        <v>Plymouth Argyle</v>
      </c>
      <c r="BP18" t="s">
        <v>392</v>
      </c>
      <c r="BQ18">
        <f>'Table Prediction Calculations'!BY18</f>
        <v>0.92561983471074383</v>
      </c>
      <c r="BR18">
        <f>'Table Prediction Calculations'!BZ18</f>
        <v>1.2561983471074381</v>
      </c>
      <c r="BX18" t="s">
        <v>392</v>
      </c>
      <c r="BY18">
        <f>(VLOOKUP(BX18,Stats[[Team]:[xGD/90]],6,FALSE)/VLOOKUP(BX18,Stats[[Team]:[xGD/90]],2,FALSE))/($BZ$2/2)</f>
        <v>0.92561983471074383</v>
      </c>
      <c r="BZ18">
        <f>(VLOOKUP(BX18,Stats[[Team]:[xGD/90]],7,FALSE)/VLOOKUP(BX18,Stats[[Team]:[xGD/90]],2,FALSE))/($BZ$2/2)</f>
        <v>1.2561983471074381</v>
      </c>
      <c r="CD18" t="s">
        <v>392</v>
      </c>
      <c r="CE18">
        <f>(VLOOKUP(BX18,Stats[[Team]:[xGD/90]],11,FALSE)/VLOOKUP(BX18,Stats[[Team]:[xGD/90]],2,FALSE))/($CF$2/2)</f>
        <v>0.69059626223672499</v>
      </c>
      <c r="CF18">
        <f>(VLOOKUP(BX18,Stats[[Team]:[xGD/90]],12,FALSE)/VLOOKUP(BX18,Stats[[Team]:[xGD/90]],2,FALSE))/($CF$2/2)</f>
        <v>1.0252150697122515</v>
      </c>
      <c r="CK18" t="s">
        <v>392</v>
      </c>
      <c r="CL18">
        <f t="shared" si="0"/>
        <v>1.0667044194640338</v>
      </c>
      <c r="CM18">
        <f t="shared" si="1"/>
        <v>1.4138310478458604</v>
      </c>
    </row>
    <row r="19" spans="1:91" x14ac:dyDescent="0.25">
      <c r="A19">
        <v>2</v>
      </c>
      <c r="B19" t="s">
        <v>385</v>
      </c>
      <c r="C19">
        <v>2</v>
      </c>
      <c r="D19">
        <v>0</v>
      </c>
      <c r="E19" t="s">
        <v>397</v>
      </c>
      <c r="K19">
        <f>Scores_and_Fixtures[[#This Row],[Wk]]</f>
        <v>2</v>
      </c>
      <c r="L19" t="str">
        <f>Scores_and_Fixtures[[#This Row],[Home]]</f>
        <v>Ipswich Town</v>
      </c>
      <c r="M19">
        <f ca="1">IF(ISBLANK(Scores_and_Fixtures[[#This Row],[Home Score]])=FALSE,Scores_and_Fixtures[[#This Row],[Home Score]],_xlfn.BINOM.INV(10000,(VLOOKUP(L19,$CK$4:$CM$27,2,FALSE)*VLOOKUP(O19,$CK$4:$CM$27,3,FALSE)*($CM$2/2))/10000,RAND()))</f>
        <v>2</v>
      </c>
      <c r="N19">
        <f ca="1">IF(ISBLANK(Scores_and_Fixtures[[#This Row],[Away Score]])=FALSE,Scores_and_Fixtures[[#This Row],[Away Score]],_xlfn.BINOM.INV(10000,(VLOOKUP(O19,$CK$4:$CM$27,2,FALSE)*VLOOKUP(L19,$CK$4:$CM$27,3,FALSE)*($CM$2/2))/10000,RAND()))</f>
        <v>0</v>
      </c>
      <c r="O19" t="str">
        <f>Scores_and_Fixtures[[#This Row],[Away]]</f>
        <v>Stoke City</v>
      </c>
      <c r="BP19" t="s">
        <v>393</v>
      </c>
      <c r="BQ19">
        <f>'Table Prediction Calculations'!BY19</f>
        <v>0.66115702479338845</v>
      </c>
      <c r="BR19">
        <f>'Table Prediction Calculations'!BZ19</f>
        <v>1.0578512396694215</v>
      </c>
      <c r="BX19" t="s">
        <v>393</v>
      </c>
      <c r="BY19">
        <f>(VLOOKUP(BX19,Stats[[Team]:[xGD/90]],6,FALSE)/VLOOKUP(BX19,Stats[[Team]:[xGD/90]],2,FALSE))/($BZ$2/2)</f>
        <v>0.66115702479338845</v>
      </c>
      <c r="BZ19">
        <f>(VLOOKUP(BX19,Stats[[Team]:[xGD/90]],7,FALSE)/VLOOKUP(BX19,Stats[[Team]:[xGD/90]],2,FALSE))/($BZ$2/2)</f>
        <v>1.0578512396694215</v>
      </c>
      <c r="CD19" t="s">
        <v>393</v>
      </c>
      <c r="CE19">
        <f>(VLOOKUP(BX19,Stats[[Team]:[xGD/90]],11,FALSE)/VLOOKUP(BX19,Stats[[Team]:[xGD/90]],2,FALSE))/($CF$2/2)</f>
        <v>0.67279738949866508</v>
      </c>
      <c r="CF19">
        <f>(VLOOKUP(BX19,Stats[[Team]:[xGD/90]],12,FALSE)/VLOOKUP(BX19,Stats[[Team]:[xGD/90]],2,FALSE))/($CF$2/2)</f>
        <v>1.0323346188074756</v>
      </c>
      <c r="CK19" t="s">
        <v>393</v>
      </c>
      <c r="CL19">
        <f t="shared" si="0"/>
        <v>0.70324554682202522</v>
      </c>
      <c r="CM19">
        <f t="shared" si="1"/>
        <v>1.1288655817492312</v>
      </c>
    </row>
    <row r="20" spans="1:91" x14ac:dyDescent="0.25">
      <c r="A20">
        <v>2</v>
      </c>
      <c r="B20" t="s">
        <v>392</v>
      </c>
      <c r="C20">
        <v>2</v>
      </c>
      <c r="D20">
        <v>1</v>
      </c>
      <c r="E20" t="s">
        <v>398</v>
      </c>
      <c r="K20">
        <f>Scores_and_Fixtures[[#This Row],[Wk]]</f>
        <v>2</v>
      </c>
      <c r="L20" t="str">
        <f>Scores_and_Fixtures[[#This Row],[Home]]</f>
        <v>Preston</v>
      </c>
      <c r="M20">
        <f ca="1">IF(ISBLANK(Scores_and_Fixtures[[#This Row],[Home Score]])=FALSE,Scores_and_Fixtures[[#This Row],[Home Score]],_xlfn.BINOM.INV(10000,(VLOOKUP(L20,$CK$4:$CM$27,2,FALSE)*VLOOKUP(O20,$CK$4:$CM$27,3,FALSE)*($CM$2/2))/10000,RAND()))</f>
        <v>2</v>
      </c>
      <c r="N20">
        <f ca="1">IF(ISBLANK(Scores_and_Fixtures[[#This Row],[Away Score]])=FALSE,Scores_and_Fixtures[[#This Row],[Away Score]],_xlfn.BINOM.INV(10000,(VLOOKUP(O20,$CK$4:$CM$27,2,FALSE)*VLOOKUP(L20,$CK$4:$CM$27,3,FALSE)*($CM$2/2))/10000,RAND()))</f>
        <v>1</v>
      </c>
      <c r="O20" t="str">
        <f>Scores_and_Fixtures[[#This Row],[Away]]</f>
        <v>Sunderland</v>
      </c>
      <c r="BP20" t="s">
        <v>394</v>
      </c>
      <c r="BQ20">
        <f>'Table Prediction Calculations'!BY20</f>
        <v>0.66115702479338845</v>
      </c>
      <c r="BR20">
        <f>'Table Prediction Calculations'!BZ20</f>
        <v>1.4545454545454546</v>
      </c>
      <c r="BX20" t="s">
        <v>394</v>
      </c>
      <c r="BY20">
        <f>(VLOOKUP(BX20,Stats[[Team]:[xGD/90]],6,FALSE)/VLOOKUP(BX20,Stats[[Team]:[xGD/90]],2,FALSE))/($BZ$2/2)</f>
        <v>0.66115702479338845</v>
      </c>
      <c r="BZ20">
        <f>(VLOOKUP(BX20,Stats[[Team]:[xGD/90]],7,FALSE)/VLOOKUP(BX20,Stats[[Team]:[xGD/90]],2,FALSE))/($BZ$2/2)</f>
        <v>1.4545454545454546</v>
      </c>
      <c r="CD20" t="s">
        <v>394</v>
      </c>
      <c r="CE20">
        <f>(VLOOKUP(BX20,Stats[[Team]:[xGD/90]],11,FALSE)/VLOOKUP(BX20,Stats[[Team]:[xGD/90]],2,FALSE))/($CF$2/2)</f>
        <v>0.53040640759418567</v>
      </c>
      <c r="CF20">
        <f>(VLOOKUP(BX20,Stats[[Team]:[xGD/90]],12,FALSE)/VLOOKUP(BX20,Stats[[Team]:[xGD/90]],2,FALSE))/($CF$2/2)</f>
        <v>1.4345891426876298</v>
      </c>
      <c r="CK20" t="s">
        <v>394</v>
      </c>
      <c r="CL20">
        <f t="shared" si="0"/>
        <v>0.75325667950868536</v>
      </c>
      <c r="CM20">
        <f t="shared" si="1"/>
        <v>1.5456231880665809</v>
      </c>
    </row>
    <row r="21" spans="1:91" x14ac:dyDescent="0.25">
      <c r="A21">
        <v>2</v>
      </c>
      <c r="B21" t="s">
        <v>394</v>
      </c>
      <c r="C21">
        <v>2</v>
      </c>
      <c r="D21">
        <v>2</v>
      </c>
      <c r="E21" t="s">
        <v>379</v>
      </c>
      <c r="K21">
        <f>Scores_and_Fixtures[[#This Row],[Wk]]</f>
        <v>2</v>
      </c>
      <c r="L21" t="str">
        <f>Scores_and_Fixtures[[#This Row],[Home]]</f>
        <v>Rotherham Utd</v>
      </c>
      <c r="M21">
        <f ca="1">IF(ISBLANK(Scores_and_Fixtures[[#This Row],[Home Score]])=FALSE,Scores_and_Fixtures[[#This Row],[Home Score]],_xlfn.BINOM.INV(10000,(VLOOKUP(L21,$CK$4:$CM$27,2,FALSE)*VLOOKUP(O21,$CK$4:$CM$27,3,FALSE)*($CM$2/2))/10000,RAND()))</f>
        <v>2</v>
      </c>
      <c r="N21">
        <f ca="1">IF(ISBLANK(Scores_and_Fixtures[[#This Row],[Away Score]])=FALSE,Scores_and_Fixtures[[#This Row],[Away Score]],_xlfn.BINOM.INV(10000,(VLOOKUP(O21,$CK$4:$CM$27,2,FALSE)*VLOOKUP(L21,$CK$4:$CM$27,3,FALSE)*($CM$2/2))/10000,RAND()))</f>
        <v>2</v>
      </c>
      <c r="O21" t="str">
        <f>Scores_and_Fixtures[[#This Row],[Away]]</f>
        <v>Blackburn</v>
      </c>
      <c r="BP21" t="s">
        <v>395</v>
      </c>
      <c r="BQ21">
        <f>'Table Prediction Calculations'!BY21</f>
        <v>0.52892561983471076</v>
      </c>
      <c r="BR21">
        <f>'Table Prediction Calculations'!BZ21</f>
        <v>1.1570247933884297</v>
      </c>
      <c r="BX21" t="s">
        <v>395</v>
      </c>
      <c r="BY21">
        <f>(VLOOKUP(BX21,Stats[[Team]:[xGD/90]],6,FALSE)/VLOOKUP(BX21,Stats[[Team]:[xGD/90]],2,FALSE))/($BZ$2/2)</f>
        <v>0.52892561983471076</v>
      </c>
      <c r="BZ21">
        <f>(VLOOKUP(BX21,Stats[[Team]:[xGD/90]],7,FALSE)/VLOOKUP(BX21,Stats[[Team]:[xGD/90]],2,FALSE))/($BZ$2/2)</f>
        <v>1.1570247933884297</v>
      </c>
      <c r="CD21" t="s">
        <v>395</v>
      </c>
      <c r="CE21">
        <f>(VLOOKUP(BX21,Stats[[Team]:[xGD/90]],11,FALSE)/VLOOKUP(BX21,Stats[[Team]:[xGD/90]],2,FALSE))/($CF$2/2)</f>
        <v>0.77959062592702455</v>
      </c>
      <c r="CF21">
        <f>(VLOOKUP(BX21,Stats[[Team]:[xGD/90]],12,FALSE)/VLOOKUP(BX21,Stats[[Team]:[xGD/90]],2,FALSE))/($CF$2/2)</f>
        <v>0.99317709878374361</v>
      </c>
      <c r="CK21" t="s">
        <v>395</v>
      </c>
      <c r="CL21">
        <f t="shared" si="0"/>
        <v>0.40764802767588909</v>
      </c>
      <c r="CM21">
        <f t="shared" si="1"/>
        <v>1.286673960630133</v>
      </c>
    </row>
    <row r="22" spans="1:91" x14ac:dyDescent="0.25">
      <c r="A22">
        <v>2</v>
      </c>
      <c r="B22" t="s">
        <v>384</v>
      </c>
      <c r="C22">
        <v>4</v>
      </c>
      <c r="D22">
        <v>2</v>
      </c>
      <c r="E22" t="s">
        <v>395</v>
      </c>
      <c r="K22">
        <f>Scores_and_Fixtures[[#This Row],[Wk]]</f>
        <v>2</v>
      </c>
      <c r="L22" t="str">
        <f>Scores_and_Fixtures[[#This Row],[Home]]</f>
        <v>Hull City</v>
      </c>
      <c r="M22">
        <f ca="1">IF(ISBLANK(Scores_and_Fixtures[[#This Row],[Home Score]])=FALSE,Scores_and_Fixtures[[#This Row],[Home Score]],_xlfn.BINOM.INV(10000,(VLOOKUP(L22,$CK$4:$CM$27,2,FALSE)*VLOOKUP(O22,$CK$4:$CM$27,3,FALSE)*($CM$2/2))/10000,RAND()))</f>
        <v>4</v>
      </c>
      <c r="N22">
        <f ca="1">IF(ISBLANK(Scores_and_Fixtures[[#This Row],[Away Score]])=FALSE,Scores_and_Fixtures[[#This Row],[Away Score]],_xlfn.BINOM.INV(10000,(VLOOKUP(O22,$CK$4:$CM$27,2,FALSE)*VLOOKUP(L22,$CK$4:$CM$27,3,FALSE)*($CM$2/2))/10000,RAND()))</f>
        <v>2</v>
      </c>
      <c r="O22" t="str">
        <f>Scores_and_Fixtures[[#This Row],[Away]]</f>
        <v>Sheffield Weds</v>
      </c>
      <c r="BP22" t="s">
        <v>396</v>
      </c>
      <c r="BQ22">
        <f>'Table Prediction Calculations'!BY22</f>
        <v>1.2231404958677687</v>
      </c>
      <c r="BR22">
        <f>'Table Prediction Calculations'!BZ22</f>
        <v>0.95867768595041314</v>
      </c>
      <c r="BX22" t="s">
        <v>396</v>
      </c>
      <c r="BY22">
        <f>(VLOOKUP(BX22,Stats[[Team]:[xGD/90]],6,FALSE)/VLOOKUP(BX22,Stats[[Team]:[xGD/90]],2,FALSE))/($BZ$2/2)</f>
        <v>1.2231404958677687</v>
      </c>
      <c r="BZ22">
        <f>(VLOOKUP(BX22,Stats[[Team]:[xGD/90]],7,FALSE)/VLOOKUP(BX22,Stats[[Team]:[xGD/90]],2,FALSE))/($BZ$2/2)</f>
        <v>0.95867768595041314</v>
      </c>
      <c r="CD22" t="s">
        <v>396</v>
      </c>
      <c r="CE22">
        <f>(VLOOKUP(BX22,Stats[[Team]:[xGD/90]],11,FALSE)/VLOOKUP(BX22,Stats[[Team]:[xGD/90]],2,FALSE))/($CF$2/2)</f>
        <v>1.2281222189261347</v>
      </c>
      <c r="CF22">
        <f>(VLOOKUP(BX22,Stats[[Team]:[xGD/90]],12,FALSE)/VLOOKUP(BX22,Stats[[Team]:[xGD/90]],2,FALSE))/($CF$2/2)</f>
        <v>0.89350341145060808</v>
      </c>
      <c r="CK22" t="s">
        <v>396</v>
      </c>
      <c r="CL22">
        <f t="shared" si="0"/>
        <v>1.3082643876729718</v>
      </c>
      <c r="CM22">
        <f t="shared" si="1"/>
        <v>1.0403642517261429</v>
      </c>
    </row>
    <row r="23" spans="1:91" x14ac:dyDescent="0.25">
      <c r="A23">
        <v>2</v>
      </c>
      <c r="B23" t="s">
        <v>396</v>
      </c>
      <c r="C23">
        <v>4</v>
      </c>
      <c r="D23">
        <v>4</v>
      </c>
      <c r="E23" t="s">
        <v>390</v>
      </c>
      <c r="K23">
        <f>Scores_and_Fixtures[[#This Row],[Wk]]</f>
        <v>2</v>
      </c>
      <c r="L23" t="str">
        <f>Scores_and_Fixtures[[#This Row],[Home]]</f>
        <v>Southampton</v>
      </c>
      <c r="M23">
        <f ca="1">IF(ISBLANK(Scores_and_Fixtures[[#This Row],[Home Score]])=FALSE,Scores_and_Fixtures[[#This Row],[Home Score]],_xlfn.BINOM.INV(10000,(VLOOKUP(L23,$CK$4:$CM$27,2,FALSE)*VLOOKUP(O23,$CK$4:$CM$27,3,FALSE)*($CM$2/2))/10000,RAND()))</f>
        <v>4</v>
      </c>
      <c r="N23">
        <f ca="1">IF(ISBLANK(Scores_and_Fixtures[[#This Row],[Away Score]])=FALSE,Scores_and_Fixtures[[#This Row],[Away Score]],_xlfn.BINOM.INV(10000,(VLOOKUP(O23,$CK$4:$CM$27,2,FALSE)*VLOOKUP(L23,$CK$4:$CM$27,3,FALSE)*($CM$2/2))/10000,RAND()))</f>
        <v>4</v>
      </c>
      <c r="O23" t="str">
        <f>Scores_and_Fixtures[[#This Row],[Away]]</f>
        <v>Norwich City</v>
      </c>
      <c r="BP23" t="s">
        <v>397</v>
      </c>
      <c r="BQ23">
        <f>'Table Prediction Calculations'!BY23</f>
        <v>0.69421487603305787</v>
      </c>
      <c r="BR23">
        <f>'Table Prediction Calculations'!BZ23</f>
        <v>0.99173553719008256</v>
      </c>
      <c r="BX23" t="s">
        <v>397</v>
      </c>
      <c r="BY23">
        <f>(VLOOKUP(BX23,Stats[[Team]:[xGD/90]],6,FALSE)/VLOOKUP(BX23,Stats[[Team]:[xGD/90]],2,FALSE))/($BZ$2/2)</f>
        <v>0.69421487603305787</v>
      </c>
      <c r="BZ23">
        <f>(VLOOKUP(BX23,Stats[[Team]:[xGD/90]],7,FALSE)/VLOOKUP(BX23,Stats[[Team]:[xGD/90]],2,FALSE))/($BZ$2/2)</f>
        <v>0.99173553719008256</v>
      </c>
      <c r="CD23" t="s">
        <v>397</v>
      </c>
      <c r="CE23">
        <f>(VLOOKUP(BX23,Stats[[Team]:[xGD/90]],11,FALSE)/VLOOKUP(BX23,Stats[[Team]:[xGD/90]],2,FALSE))/($CF$2/2)</f>
        <v>0.91130228418866821</v>
      </c>
      <c r="CF23">
        <f>(VLOOKUP(BX23,Stats[[Team]:[xGD/90]],12,FALSE)/VLOOKUP(BX23,Stats[[Team]:[xGD/90]],2,FALSE))/($CF$2/2)</f>
        <v>1.0430139424503115</v>
      </c>
      <c r="CK23" t="s">
        <v>397</v>
      </c>
      <c r="CL23">
        <f t="shared" si="0"/>
        <v>0.62118148550112773</v>
      </c>
      <c r="CM23">
        <f t="shared" si="1"/>
        <v>1.023680482401583</v>
      </c>
    </row>
    <row r="24" spans="1:91" x14ac:dyDescent="0.25">
      <c r="A24">
        <v>2</v>
      </c>
      <c r="B24" t="s">
        <v>389</v>
      </c>
      <c r="C24">
        <v>0</v>
      </c>
      <c r="D24">
        <v>1</v>
      </c>
      <c r="E24" t="s">
        <v>380</v>
      </c>
      <c r="K24">
        <f>Scores_and_Fixtures[[#This Row],[Wk]]</f>
        <v>2</v>
      </c>
      <c r="L24" t="str">
        <f>Scores_and_Fixtures[[#This Row],[Home]]</f>
        <v>Millwall</v>
      </c>
      <c r="M24">
        <f ca="1">IF(ISBLANK(Scores_and_Fixtures[[#This Row],[Home Score]])=FALSE,Scores_and_Fixtures[[#This Row],[Home Score]],_xlfn.BINOM.INV(10000,(VLOOKUP(L24,$CK$4:$CM$27,2,FALSE)*VLOOKUP(O24,$CK$4:$CM$27,3,FALSE)*($CM$2/2))/10000,RAND()))</f>
        <v>0</v>
      </c>
      <c r="N24">
        <f ca="1">IF(ISBLANK(Scores_and_Fixtures[[#This Row],[Away Score]])=FALSE,Scores_and_Fixtures[[#This Row],[Away Score]],_xlfn.BINOM.INV(10000,(VLOOKUP(O24,$CK$4:$CM$27,2,FALSE)*VLOOKUP(L24,$CK$4:$CM$27,3,FALSE)*($CM$2/2))/10000,RAND()))</f>
        <v>1</v>
      </c>
      <c r="O24" t="str">
        <f>Scores_and_Fixtures[[#This Row],[Away]]</f>
        <v>Bristol City</v>
      </c>
      <c r="BP24" t="s">
        <v>398</v>
      </c>
      <c r="BQ24">
        <f>'Table Prediction Calculations'!BY24</f>
        <v>1.0578512396694215</v>
      </c>
      <c r="BR24">
        <f>'Table Prediction Calculations'!BZ24</f>
        <v>0.79338842975206603</v>
      </c>
      <c r="BX24" t="s">
        <v>398</v>
      </c>
      <c r="BY24">
        <f>(VLOOKUP(BX24,Stats[[Team]:[xGD/90]],6,FALSE)/VLOOKUP(BX24,Stats[[Team]:[xGD/90]],2,FALSE))/($BZ$2/2)</f>
        <v>1.0578512396694215</v>
      </c>
      <c r="BZ24">
        <f>(VLOOKUP(BX24,Stats[[Team]:[xGD/90]],7,FALSE)/VLOOKUP(BX24,Stats[[Team]:[xGD/90]],2,FALSE))/($BZ$2/2)</f>
        <v>0.79338842975206603</v>
      </c>
      <c r="CD24" t="s">
        <v>398</v>
      </c>
      <c r="CE24">
        <f>(VLOOKUP(BX24,Stats[[Team]:[xGD/90]],11,FALSE)/VLOOKUP(BX24,Stats[[Team]:[xGD/90]],2,FALSE))/($CF$2/2)</f>
        <v>1.2921981607831503</v>
      </c>
      <c r="CF24">
        <f>(VLOOKUP(BX24,Stats[[Team]:[xGD/90]],12,FALSE)/VLOOKUP(BX24,Stats[[Team]:[xGD/90]],2,FALSE))/($CF$2/2)</f>
        <v>0.81162859685553257</v>
      </c>
      <c r="CK24" t="s">
        <v>398</v>
      </c>
      <c r="CL24">
        <f t="shared" si="0"/>
        <v>1.0102688699468461</v>
      </c>
      <c r="CM24">
        <f t="shared" si="1"/>
        <v>0.82987009711266302</v>
      </c>
    </row>
    <row r="25" spans="1:91" x14ac:dyDescent="0.25">
      <c r="A25">
        <v>2</v>
      </c>
      <c r="B25" t="s">
        <v>378</v>
      </c>
      <c r="C25">
        <v>1</v>
      </c>
      <c r="D25">
        <v>0</v>
      </c>
      <c r="E25" t="s">
        <v>386</v>
      </c>
      <c r="K25">
        <f>Scores_and_Fixtures[[#This Row],[Wk]]</f>
        <v>2</v>
      </c>
      <c r="L25" t="str">
        <f>Scores_and_Fixtures[[#This Row],[Home]]</f>
        <v>Birmingham City</v>
      </c>
      <c r="M25">
        <f ca="1">IF(ISBLANK(Scores_and_Fixtures[[#This Row],[Home Score]])=FALSE,Scores_and_Fixtures[[#This Row],[Home Score]],_xlfn.BINOM.INV(10000,(VLOOKUP(L25,$CK$4:$CM$27,2,FALSE)*VLOOKUP(O25,$CK$4:$CM$27,3,FALSE)*($CM$2/2))/10000,RAND()))</f>
        <v>1</v>
      </c>
      <c r="N25">
        <f ca="1">IF(ISBLANK(Scores_and_Fixtures[[#This Row],[Away Score]])=FALSE,Scores_and_Fixtures[[#This Row],[Away Score]],_xlfn.BINOM.INV(10000,(VLOOKUP(O25,$CK$4:$CM$27,2,FALSE)*VLOOKUP(L25,$CK$4:$CM$27,3,FALSE)*($CM$2/2))/10000,RAND()))</f>
        <v>0</v>
      </c>
      <c r="O25" t="str">
        <f>Scores_and_Fixtures[[#This Row],[Away]]</f>
        <v>Leeds United</v>
      </c>
      <c r="AL25" t="s">
        <v>378</v>
      </c>
      <c r="AW25" t="s">
        <v>278</v>
      </c>
      <c r="BP25" t="s">
        <v>399</v>
      </c>
      <c r="BQ25">
        <f>'Table Prediction Calculations'!BY25</f>
        <v>0.99173553719008256</v>
      </c>
      <c r="BR25">
        <f>'Table Prediction Calculations'!BZ25</f>
        <v>1.0247933884297522</v>
      </c>
      <c r="BX25" t="s">
        <v>399</v>
      </c>
      <c r="BY25">
        <f>(VLOOKUP(BX25,Stats[[Team]:[xGD/90]],6,FALSE)/VLOOKUP(BX25,Stats[[Team]:[xGD/90]],2,FALSE))/($BZ$2/2)</f>
        <v>0.99173553719008256</v>
      </c>
      <c r="BZ25">
        <f>(VLOOKUP(BX25,Stats[[Team]:[xGD/90]],7,FALSE)/VLOOKUP(BX25,Stats[[Team]:[xGD/90]],2,FALSE))/($BZ$2/2)</f>
        <v>1.0247933884297522</v>
      </c>
      <c r="CD25" t="s">
        <v>399</v>
      </c>
      <c r="CE25">
        <f>(VLOOKUP(BX25,Stats[[Team]:[xGD/90]],11,FALSE)/VLOOKUP(BX25,Stats[[Team]:[xGD/90]],2,FALSE))/($CF$2/2)</f>
        <v>0.96113912785523592</v>
      </c>
      <c r="CF25">
        <f>(VLOOKUP(BX25,Stats[[Team]:[xGD/90]],12,FALSE)/VLOOKUP(BX25,Stats[[Team]:[xGD/90]],2,FALSE))/($CF$2/2)</f>
        <v>1.1960842479976268</v>
      </c>
      <c r="CK25" t="s">
        <v>399</v>
      </c>
      <c r="CL25">
        <f t="shared" si="0"/>
        <v>1.0752195253531023</v>
      </c>
      <c r="CM25">
        <f t="shared" si="1"/>
        <v>0.99417397224668613</v>
      </c>
    </row>
    <row r="26" spans="1:91" x14ac:dyDescent="0.25">
      <c r="A26">
        <v>3</v>
      </c>
      <c r="B26" t="s">
        <v>386</v>
      </c>
      <c r="C26">
        <v>1</v>
      </c>
      <c r="D26">
        <v>1</v>
      </c>
      <c r="E26" t="s">
        <v>401</v>
      </c>
      <c r="K26">
        <f>Scores_and_Fixtures[[#This Row],[Wk]]</f>
        <v>3</v>
      </c>
      <c r="L26" t="str">
        <f>Scores_and_Fixtures[[#This Row],[Home]]</f>
        <v>Leeds United</v>
      </c>
      <c r="M26">
        <f ca="1">IF(ISBLANK(Scores_and_Fixtures[[#This Row],[Home Score]])=FALSE,Scores_and_Fixtures[[#This Row],[Home Score]],_xlfn.BINOM.INV(10000,(VLOOKUP(L26,$CK$4:$CM$27,2,FALSE)*VLOOKUP(O26,$CK$4:$CM$27,3,FALSE)*($CM$2/2))/10000,RAND()))</f>
        <v>1</v>
      </c>
      <c r="N26">
        <f ca="1">IF(ISBLANK(Scores_and_Fixtures[[#This Row],[Away Score]])=FALSE,Scores_and_Fixtures[[#This Row],[Away Score]],_xlfn.BINOM.INV(10000,(VLOOKUP(O26,$CK$4:$CM$27,2,FALSE)*VLOOKUP(L26,$CK$4:$CM$27,3,FALSE)*($CM$2/2))/10000,RAND()))</f>
        <v>1</v>
      </c>
      <c r="O26" t="str">
        <f>Scores_and_Fixtures[[#This Row],[Away]]</f>
        <v>West Brom</v>
      </c>
      <c r="AL26" t="s">
        <v>379</v>
      </c>
      <c r="AT26" t="str">
        <f>Stats[[#Headers],[Pts]]</f>
        <v>Pts</v>
      </c>
      <c r="AU26" t="str">
        <f>Stats[[#Headers],[Goals For]]</f>
        <v>Goals For</v>
      </c>
      <c r="AV26" t="s">
        <v>285</v>
      </c>
      <c r="AW26" t="s">
        <v>12</v>
      </c>
      <c r="AX26" t="s">
        <v>13</v>
      </c>
      <c r="AY26" t="s">
        <v>124</v>
      </c>
      <c r="AZ26" t="s">
        <v>125</v>
      </c>
      <c r="BA26" t="s">
        <v>132</v>
      </c>
      <c r="BB26" t="s">
        <v>150</v>
      </c>
      <c r="BC26" t="s">
        <v>280</v>
      </c>
      <c r="BD26" t="s">
        <v>281</v>
      </c>
      <c r="BE26" t="s">
        <v>140</v>
      </c>
      <c r="BF26" t="s">
        <v>142</v>
      </c>
      <c r="BG26" t="s">
        <v>146</v>
      </c>
      <c r="BP26" t="s">
        <v>400</v>
      </c>
      <c r="BQ26">
        <f>'Table Prediction Calculations'!BY26</f>
        <v>1.1570247933884297</v>
      </c>
      <c r="BR26">
        <f>'Table Prediction Calculations'!BZ26</f>
        <v>0.8925619834710744</v>
      </c>
      <c r="BX26" t="s">
        <v>400</v>
      </c>
      <c r="BY26">
        <f>(VLOOKUP(BX26,Stats[[Team]:[xGD/90]],6,FALSE)/VLOOKUP(BX26,Stats[[Team]:[xGD/90]],2,FALSE))/($BZ$2/2)</f>
        <v>1.1570247933884297</v>
      </c>
      <c r="BZ26">
        <f>(VLOOKUP(BX26,Stats[[Team]:[xGD/90]],7,FALSE)/VLOOKUP(BX26,Stats[[Team]:[xGD/90]],2,FALSE))/($BZ$2/2)</f>
        <v>0.8925619834710744</v>
      </c>
      <c r="CD26" t="s">
        <v>400</v>
      </c>
      <c r="CE26">
        <f>(VLOOKUP(BX26,Stats[[Team]:[xGD/90]],11,FALSE)/VLOOKUP(BX26,Stats[[Team]:[xGD/90]],2,FALSE))/($CF$2/2)</f>
        <v>0.96469890240284795</v>
      </c>
      <c r="CF26">
        <f>(VLOOKUP(BX26,Stats[[Team]:[xGD/90]],12,FALSE)/VLOOKUP(BX26,Stats[[Team]:[xGD/90]],2,FALSE))/($CF$2/2)</f>
        <v>0.89350341145060808</v>
      </c>
      <c r="CH26" s="8"/>
      <c r="CI26" s="8"/>
      <c r="CK26" t="s">
        <v>400</v>
      </c>
      <c r="CL26">
        <f t="shared" si="0"/>
        <v>1.3082876182946588</v>
      </c>
      <c r="CM26">
        <f t="shared" si="1"/>
        <v>0.94259219548700268</v>
      </c>
    </row>
    <row r="27" spans="1:91" x14ac:dyDescent="0.25">
      <c r="A27">
        <v>3</v>
      </c>
      <c r="B27" t="s">
        <v>391</v>
      </c>
      <c r="C27">
        <v>1</v>
      </c>
      <c r="D27">
        <v>2</v>
      </c>
      <c r="E27" t="s">
        <v>396</v>
      </c>
      <c r="K27">
        <f>Scores_and_Fixtures[[#This Row],[Wk]]</f>
        <v>3</v>
      </c>
      <c r="L27" t="str">
        <f>Scores_and_Fixtures[[#This Row],[Home]]</f>
        <v>Plymouth Argyle</v>
      </c>
      <c r="M27">
        <f ca="1">IF(ISBLANK(Scores_and_Fixtures[[#This Row],[Home Score]])=FALSE,Scores_and_Fixtures[[#This Row],[Home Score]],_xlfn.BINOM.INV(10000,(VLOOKUP(L27,$CK$4:$CM$27,2,FALSE)*VLOOKUP(O27,$CK$4:$CM$27,3,FALSE)*($CM$2/2))/10000,RAND()))</f>
        <v>1</v>
      </c>
      <c r="N27">
        <f ca="1">IF(ISBLANK(Scores_and_Fixtures[[#This Row],[Away Score]])=FALSE,Scores_and_Fixtures[[#This Row],[Away Score]],_xlfn.BINOM.INV(10000,(VLOOKUP(O27,$CK$4:$CM$27,2,FALSE)*VLOOKUP(L27,$CK$4:$CM$27,3,FALSE)*($CM$2/2))/10000,RAND()))</f>
        <v>2</v>
      </c>
      <c r="O27" t="str">
        <f>Scores_and_Fixtures[[#This Row],[Away]]</f>
        <v>Southampton</v>
      </c>
      <c r="AL27" t="s">
        <v>380</v>
      </c>
      <c r="AT27">
        <f>Table_Raw!J3</f>
        <v>55</v>
      </c>
      <c r="AU27">
        <f>Table_Raw!G3/Table_Raw!C3</f>
        <v>2</v>
      </c>
      <c r="AV27">
        <f>Table_Raw!H3/Table_Raw!C3</f>
        <v>0.72727272727272729</v>
      </c>
      <c r="AW27">
        <f>Table_Raw!L3/Table_Raw!C3</f>
        <v>1.8136363636363635</v>
      </c>
      <c r="AX27">
        <f>Table_Raw!M3/Table_Raw!C3</f>
        <v>0.93181818181818177</v>
      </c>
      <c r="AY27">
        <f>'Attacking Stats'!D2</f>
        <v>1.1363636363636365</v>
      </c>
      <c r="AZ27" s="22">
        <f>'Attacking Stats'!J2</f>
        <v>0.08</v>
      </c>
      <c r="BA27">
        <f>'Passing Stats'!C2/90</f>
        <v>75.144444444444446</v>
      </c>
      <c r="BB27">
        <f>'Goalkeeping Stats'!H2</f>
        <v>69.5</v>
      </c>
      <c r="BC27">
        <f>'Goalkeeping Stats'!F2</f>
        <v>4.7727272727272725</v>
      </c>
      <c r="BD27">
        <f>'Defending Stats'!D2</f>
        <v>18.59090909090909</v>
      </c>
      <c r="BE27" s="12">
        <f>'Defending Stats'!F2</f>
        <v>0.60880195599022002</v>
      </c>
      <c r="BF27">
        <f>'Defending Stats'!H2</f>
        <v>13.409090909090908</v>
      </c>
      <c r="BG27">
        <f>'Defending Stats'!L2</f>
        <v>21.636363636363637</v>
      </c>
      <c r="BP27" t="s">
        <v>401</v>
      </c>
      <c r="BQ27">
        <f>'Table Prediction Calculations'!BY27</f>
        <v>1.1239669421487604</v>
      </c>
      <c r="BR27">
        <f>'Table Prediction Calculations'!BZ27</f>
        <v>0.72727272727272729</v>
      </c>
      <c r="BX27" t="s">
        <v>401</v>
      </c>
      <c r="BY27">
        <f>(VLOOKUP(BX27,Stats[[Team]:[xGD/90]],6,FALSE)/VLOOKUP(BX27,Stats[[Team]:[xGD/90]],2,FALSE))/($BZ$2/2)</f>
        <v>1.1239669421487604</v>
      </c>
      <c r="BZ27">
        <f>(VLOOKUP(BX27,Stats[[Team]:[xGD/90]],7,FALSE)/VLOOKUP(BX27,Stats[[Team]:[xGD/90]],2,FALSE))/($BZ$2/2)</f>
        <v>0.72727272727272729</v>
      </c>
      <c r="CD27" t="s">
        <v>401</v>
      </c>
      <c r="CE27">
        <f>(VLOOKUP(BX27,Stats[[Team]:[xGD/90]],11,FALSE)/VLOOKUP(BX27,Stats[[Team]:[xGD/90]],2,FALSE))/($CF$2/2)</f>
        <v>0.9255413823791161</v>
      </c>
      <c r="CF27">
        <f>(VLOOKUP(BX27,Stats[[Team]:[xGD/90]],12,FALSE)/VLOOKUP(BX27,Stats[[Team]:[xGD/90]],2,FALSE))/($CF$2/2)</f>
        <v>0.74399288045090473</v>
      </c>
      <c r="CK27" t="s">
        <v>401</v>
      </c>
      <c r="CL27">
        <f t="shared" si="0"/>
        <v>1.274164085353904</v>
      </c>
      <c r="CM27">
        <f t="shared" si="1"/>
        <v>0.76071425568660778</v>
      </c>
    </row>
    <row r="28" spans="1:91" x14ac:dyDescent="0.25">
      <c r="A28">
        <v>3</v>
      </c>
      <c r="B28" t="s">
        <v>387</v>
      </c>
      <c r="C28">
        <v>2</v>
      </c>
      <c r="D28">
        <v>1</v>
      </c>
      <c r="E28" t="s">
        <v>381</v>
      </c>
      <c r="K28">
        <f>Scores_and_Fixtures[[#This Row],[Wk]]</f>
        <v>3</v>
      </c>
      <c r="L28" t="str">
        <f>Scores_and_Fixtures[[#This Row],[Home]]</f>
        <v>Leicester City</v>
      </c>
      <c r="M28">
        <f ca="1">IF(ISBLANK(Scores_and_Fixtures[[#This Row],[Home Score]])=FALSE,Scores_and_Fixtures[[#This Row],[Home Score]],_xlfn.BINOM.INV(10000,(VLOOKUP(L28,$CK$4:$CM$27,2,FALSE)*VLOOKUP(O28,$CK$4:$CM$27,3,FALSE)*($CM$2/2))/10000,RAND()))</f>
        <v>2</v>
      </c>
      <c r="N28">
        <f ca="1">IF(ISBLANK(Scores_and_Fixtures[[#This Row],[Away Score]])=FALSE,Scores_and_Fixtures[[#This Row],[Away Score]],_xlfn.BINOM.INV(10000,(VLOOKUP(O28,$CK$4:$CM$27,2,FALSE)*VLOOKUP(L28,$CK$4:$CM$27,3,FALSE)*($CM$2/2))/10000,RAND()))</f>
        <v>1</v>
      </c>
      <c r="O28" t="str">
        <f>Scores_and_Fixtures[[#This Row],[Away]]</f>
        <v>Cardiff City</v>
      </c>
      <c r="AL28" t="s">
        <v>381</v>
      </c>
      <c r="AT28">
        <f>Table_Raw!J4</f>
        <v>52</v>
      </c>
      <c r="AU28">
        <f>Table_Raw!G4/Table_Raw!C4</f>
        <v>2.1363636363636362</v>
      </c>
      <c r="AV28">
        <f>Table_Raw!H4/Table_Raw!C4</f>
        <v>1.2727272727272727</v>
      </c>
      <c r="AW28">
        <f>Table_Raw!L4/Table_Raw!C4</f>
        <v>1.7272727272727273</v>
      </c>
      <c r="AX28">
        <f>Table_Raw!M4/Table_Raw!C4</f>
        <v>1.0999999999999999</v>
      </c>
      <c r="AY28">
        <f>'Attacking Stats'!D3</f>
        <v>1.5</v>
      </c>
      <c r="AZ28" s="22">
        <f>'Attacking Stats'!J3</f>
        <v>0.11</v>
      </c>
      <c r="BA28">
        <f>'Passing Stats'!C3/90</f>
        <v>112.13333333333334</v>
      </c>
      <c r="BB28">
        <f>'Goalkeeping Stats'!H3</f>
        <v>68.7</v>
      </c>
      <c r="BC28">
        <f>'Goalkeeping Stats'!F3</f>
        <v>5.2272727272727275</v>
      </c>
      <c r="BD28">
        <f>'Defending Stats'!D3</f>
        <v>18.272727272727273</v>
      </c>
      <c r="BE28" s="12">
        <f>'Defending Stats'!F3</f>
        <v>0.60447761194029803</v>
      </c>
      <c r="BF28">
        <f>'Defending Stats'!H3</f>
        <v>14.272727272727273</v>
      </c>
      <c r="BG28">
        <f>'Defending Stats'!L3</f>
        <v>19.90909090909091</v>
      </c>
    </row>
    <row r="29" spans="1:91" x14ac:dyDescent="0.25">
      <c r="A29">
        <v>3</v>
      </c>
      <c r="B29" t="s">
        <v>397</v>
      </c>
      <c r="C29">
        <v>1</v>
      </c>
      <c r="D29">
        <v>0</v>
      </c>
      <c r="E29" t="s">
        <v>400</v>
      </c>
      <c r="K29">
        <f>Scores_and_Fixtures[[#This Row],[Wk]]</f>
        <v>3</v>
      </c>
      <c r="L29" t="str">
        <f>Scores_and_Fixtures[[#This Row],[Home]]</f>
        <v>Stoke City</v>
      </c>
      <c r="M29">
        <f ca="1">IF(ISBLANK(Scores_and_Fixtures[[#This Row],[Home Score]])=FALSE,Scores_and_Fixtures[[#This Row],[Home Score]],_xlfn.BINOM.INV(10000,(VLOOKUP(L29,$CK$4:$CM$27,2,FALSE)*VLOOKUP(O29,$CK$4:$CM$27,3,FALSE)*($CM$2/2))/10000,RAND()))</f>
        <v>1</v>
      </c>
      <c r="N29">
        <f ca="1">IF(ISBLANK(Scores_and_Fixtures[[#This Row],[Away Score]])=FALSE,Scores_and_Fixtures[[#This Row],[Away Score]],_xlfn.BINOM.INV(10000,(VLOOKUP(O29,$CK$4:$CM$27,2,FALSE)*VLOOKUP(L29,$CK$4:$CM$27,3,FALSE)*($CM$2/2))/10000,RAND()))</f>
        <v>0</v>
      </c>
      <c r="O29" t="str">
        <f>Scores_and_Fixtures[[#This Row],[Away]]</f>
        <v>Watford</v>
      </c>
      <c r="AL29" t="s">
        <v>382</v>
      </c>
      <c r="AT29">
        <f>Table_Raw!J5</f>
        <v>42</v>
      </c>
      <c r="AU29">
        <f>Table_Raw!G5/Table_Raw!C5</f>
        <v>1.6818181818181819</v>
      </c>
      <c r="AV29">
        <f>Table_Raw!H5/Table_Raw!C5</f>
        <v>1</v>
      </c>
      <c r="AW29">
        <f>Table_Raw!L5/Table_Raw!C5</f>
        <v>1.6727272727272726</v>
      </c>
      <c r="AX29">
        <f>Table_Raw!M5/Table_Raw!C5</f>
        <v>0.91363636363636369</v>
      </c>
      <c r="AY29">
        <f>'Attacking Stats'!D4</f>
        <v>1.0454545454545454</v>
      </c>
      <c r="AZ29" s="22">
        <f>'Attacking Stats'!J4</f>
        <v>0.09</v>
      </c>
      <c r="BA29">
        <f>'Passing Stats'!C4/90</f>
        <v>89.911111111111111</v>
      </c>
      <c r="BB29">
        <f>'Goalkeeping Stats'!H4</f>
        <v>73.599999999999994</v>
      </c>
      <c r="BC29">
        <f>'Goalkeeping Stats'!F4</f>
        <v>3.9545454545454546</v>
      </c>
      <c r="BD29">
        <f>'Defending Stats'!D4</f>
        <v>17.272727272727273</v>
      </c>
      <c r="BE29" s="12">
        <f>'Defending Stats'!F4</f>
        <v>0.61842105263157898</v>
      </c>
      <c r="BF29">
        <f>'Defending Stats'!H4</f>
        <v>10.409090909090908</v>
      </c>
      <c r="BG29">
        <f>'Defending Stats'!L4</f>
        <v>18.318181818181817</v>
      </c>
    </row>
    <row r="30" spans="1:91" x14ac:dyDescent="0.25">
      <c r="A30">
        <v>3</v>
      </c>
      <c r="B30" t="s">
        <v>380</v>
      </c>
      <c r="C30">
        <v>0</v>
      </c>
      <c r="D30">
        <v>2</v>
      </c>
      <c r="E30" t="s">
        <v>378</v>
      </c>
      <c r="K30">
        <f>Scores_and_Fixtures[[#This Row],[Wk]]</f>
        <v>3</v>
      </c>
      <c r="L30" t="str">
        <f>Scores_and_Fixtures[[#This Row],[Home]]</f>
        <v>Bristol City</v>
      </c>
      <c r="M30">
        <f ca="1">IF(ISBLANK(Scores_and_Fixtures[[#This Row],[Home Score]])=FALSE,Scores_and_Fixtures[[#This Row],[Home Score]],_xlfn.BINOM.INV(10000,(VLOOKUP(L30,$CK$4:$CM$27,2,FALSE)*VLOOKUP(O30,$CK$4:$CM$27,3,FALSE)*($CM$2/2))/10000,RAND()))</f>
        <v>0</v>
      </c>
      <c r="N30">
        <f ca="1">IF(ISBLANK(Scores_and_Fixtures[[#This Row],[Away Score]])=FALSE,Scores_and_Fixtures[[#This Row],[Away Score]],_xlfn.BINOM.INV(10000,(VLOOKUP(O30,$CK$4:$CM$27,2,FALSE)*VLOOKUP(L30,$CK$4:$CM$27,3,FALSE)*($CM$2/2))/10000,RAND()))</f>
        <v>2</v>
      </c>
      <c r="O30" t="str">
        <f>Scores_and_Fixtures[[#This Row],[Away]]</f>
        <v>Birmingham City</v>
      </c>
      <c r="AL30" t="s">
        <v>383</v>
      </c>
      <c r="AT30">
        <f>Table_Raw!J6</f>
        <v>42</v>
      </c>
      <c r="AU30">
        <f>Table_Raw!G6/Table_Raw!C6</f>
        <v>1.6818181818181819</v>
      </c>
      <c r="AV30">
        <f>Table_Raw!H6/Table_Raw!C6</f>
        <v>1.3181818181818181</v>
      </c>
      <c r="AW30">
        <f>Table_Raw!L6/Table_Raw!C6</f>
        <v>1.5681818181818181</v>
      </c>
      <c r="AX30">
        <f>Table_Raw!M6/Table_Raw!C6</f>
        <v>1.1409090909090909</v>
      </c>
      <c r="AY30">
        <f>'Attacking Stats'!D5</f>
        <v>1.2272727272727273</v>
      </c>
      <c r="AZ30" s="22">
        <f>'Attacking Stats'!J5</f>
        <v>0.11</v>
      </c>
      <c r="BA30">
        <f>'Passing Stats'!C5/90</f>
        <v>87.011111111111106</v>
      </c>
      <c r="BB30">
        <f>'Goalkeeping Stats'!H5</f>
        <v>66.7</v>
      </c>
      <c r="BC30">
        <f>'Goalkeeping Stats'!F5</f>
        <v>3.6818181818181817</v>
      </c>
      <c r="BD30">
        <f>'Defending Stats'!D5</f>
        <v>15.954545454545455</v>
      </c>
      <c r="BE30" s="12">
        <f>'Defending Stats'!F5</f>
        <v>0.64957264957265004</v>
      </c>
      <c r="BF30">
        <f>'Defending Stats'!H5</f>
        <v>11.227272727272727</v>
      </c>
      <c r="BG30">
        <f>'Defending Stats'!L5</f>
        <v>20.363636363636363</v>
      </c>
    </row>
    <row r="31" spans="1:91" x14ac:dyDescent="0.25">
      <c r="A31">
        <v>3</v>
      </c>
      <c r="B31" t="s">
        <v>388</v>
      </c>
      <c r="C31">
        <v>1</v>
      </c>
      <c r="D31">
        <v>1</v>
      </c>
      <c r="E31" t="s">
        <v>383</v>
      </c>
      <c r="K31">
        <f>Scores_and_Fixtures[[#This Row],[Wk]]</f>
        <v>3</v>
      </c>
      <c r="L31" t="str">
        <f>Scores_and_Fixtures[[#This Row],[Home]]</f>
        <v>Middlesbrough</v>
      </c>
      <c r="M31">
        <f ca="1">IF(ISBLANK(Scores_and_Fixtures[[#This Row],[Home Score]])=FALSE,Scores_and_Fixtures[[#This Row],[Home Score]],_xlfn.BINOM.INV(10000,(VLOOKUP(L31,$CK$4:$CM$27,2,FALSE)*VLOOKUP(O31,$CK$4:$CM$27,3,FALSE)*($CM$2/2))/10000,RAND()))</f>
        <v>1</v>
      </c>
      <c r="N31">
        <f ca="1">IF(ISBLANK(Scores_and_Fixtures[[#This Row],[Away Score]])=FALSE,Scores_and_Fixtures[[#This Row],[Away Score]],_xlfn.BINOM.INV(10000,(VLOOKUP(O31,$CK$4:$CM$27,2,FALSE)*VLOOKUP(L31,$CK$4:$CM$27,3,FALSE)*($CM$2/2))/10000,RAND()))</f>
        <v>1</v>
      </c>
      <c r="O31" t="str">
        <f>Scores_and_Fixtures[[#This Row],[Away]]</f>
        <v>Huddersfield</v>
      </c>
      <c r="AL31" t="s">
        <v>384</v>
      </c>
      <c r="AT31">
        <f>Table_Raw!J7</f>
        <v>36</v>
      </c>
      <c r="AU31">
        <f>Table_Raw!G7/Table_Raw!C7</f>
        <v>1.5454545454545454</v>
      </c>
      <c r="AV31">
        <f>Table_Raw!H7/Table_Raw!C7</f>
        <v>1</v>
      </c>
      <c r="AW31">
        <f>Table_Raw!L7/Table_Raw!C7</f>
        <v>1.1818181818181819</v>
      </c>
      <c r="AX31">
        <f>Table_Raw!M7/Table_Raw!C7</f>
        <v>0.95</v>
      </c>
      <c r="AY31">
        <f>'Attacking Stats'!D6</f>
        <v>1.0909090909090908</v>
      </c>
      <c r="AZ31" s="22">
        <f>'Attacking Stats'!J6</f>
        <v>0.08</v>
      </c>
      <c r="BA31">
        <f>'Passing Stats'!C6/90</f>
        <v>98.288888888888891</v>
      </c>
      <c r="BB31">
        <f>'Goalkeeping Stats'!H6</f>
        <v>72.099999999999994</v>
      </c>
      <c r="BC31">
        <f>'Goalkeeping Stats'!F6</f>
        <v>3.9090909090909092</v>
      </c>
      <c r="BD31">
        <f>'Defending Stats'!D6</f>
        <v>18.181818181818183</v>
      </c>
      <c r="BE31" s="12">
        <f>'Defending Stats'!F6</f>
        <v>0.60250000000000004</v>
      </c>
      <c r="BF31">
        <f>'Defending Stats'!H6</f>
        <v>10.272727272727273</v>
      </c>
      <c r="BG31">
        <f>'Defending Stats'!L6</f>
        <v>17.181818181818183</v>
      </c>
    </row>
    <row r="32" spans="1:91" x14ac:dyDescent="0.25">
      <c r="A32">
        <v>3</v>
      </c>
      <c r="B32" t="s">
        <v>399</v>
      </c>
      <c r="C32">
        <v>1</v>
      </c>
      <c r="D32">
        <v>1</v>
      </c>
      <c r="E32" t="s">
        <v>382</v>
      </c>
      <c r="K32">
        <f>Scores_and_Fixtures[[#This Row],[Wk]]</f>
        <v>3</v>
      </c>
      <c r="L32" t="str">
        <f>Scores_and_Fixtures[[#This Row],[Home]]</f>
        <v>Swansea City</v>
      </c>
      <c r="M32">
        <f ca="1">IF(ISBLANK(Scores_and_Fixtures[[#This Row],[Home Score]])=FALSE,Scores_and_Fixtures[[#This Row],[Home Score]],_xlfn.BINOM.INV(10000,(VLOOKUP(L32,$CK$4:$CM$27,2,FALSE)*VLOOKUP(O32,$CK$4:$CM$27,3,FALSE)*($CM$2/2))/10000,RAND()))</f>
        <v>1</v>
      </c>
      <c r="N32">
        <f ca="1">IF(ISBLANK(Scores_and_Fixtures[[#This Row],[Away Score]])=FALSE,Scores_and_Fixtures[[#This Row],[Away Score]],_xlfn.BINOM.INV(10000,(VLOOKUP(O32,$CK$4:$CM$27,2,FALSE)*VLOOKUP(L32,$CK$4:$CM$27,3,FALSE)*($CM$2/2))/10000,RAND()))</f>
        <v>1</v>
      </c>
      <c r="O32" t="str">
        <f>Scores_and_Fixtures[[#This Row],[Away]]</f>
        <v>Coventry City</v>
      </c>
      <c r="AL32" t="s">
        <v>385</v>
      </c>
      <c r="AT32">
        <f>Table_Raw!J8</f>
        <v>36</v>
      </c>
      <c r="AU32">
        <f>Table_Raw!G8/Table_Raw!C8</f>
        <v>1.5454545454545454</v>
      </c>
      <c r="AV32">
        <f>Table_Raw!H8/Table_Raw!C8</f>
        <v>1.2272727272727273</v>
      </c>
      <c r="AW32">
        <f>Table_Raw!L8/Table_Raw!C8</f>
        <v>1.3499999999999999</v>
      </c>
      <c r="AX32">
        <f>Table_Raw!M8/Table_Raw!C8</f>
        <v>1.0954545454545455</v>
      </c>
      <c r="AY32">
        <f>'Attacking Stats'!D7</f>
        <v>0.86363636363636365</v>
      </c>
      <c r="AZ32" s="22">
        <f>'Attacking Stats'!J7</f>
        <v>0.08</v>
      </c>
      <c r="BA32">
        <f>'Passing Stats'!C7/90</f>
        <v>58.888888888888886</v>
      </c>
      <c r="BB32">
        <f>'Goalkeeping Stats'!H7</f>
        <v>66</v>
      </c>
      <c r="BC32">
        <f>'Goalkeeping Stats'!F7</f>
        <v>4.6818181818181817</v>
      </c>
      <c r="BD32">
        <f>'Defending Stats'!D7</f>
        <v>15.954545454545455</v>
      </c>
      <c r="BE32" s="12">
        <f>'Defending Stats'!F7</f>
        <v>0.58689458689458696</v>
      </c>
      <c r="BF32">
        <f>'Defending Stats'!H7</f>
        <v>11.909090909090908</v>
      </c>
      <c r="BG32">
        <f>'Defending Stats'!L7</f>
        <v>23.818181818181817</v>
      </c>
      <c r="BV32" t="s">
        <v>251</v>
      </c>
      <c r="BW32" t="s">
        <v>252</v>
      </c>
    </row>
    <row r="33" spans="1:75" x14ac:dyDescent="0.25">
      <c r="A33">
        <v>3</v>
      </c>
      <c r="B33" t="s">
        <v>393</v>
      </c>
      <c r="C33">
        <v>0</v>
      </c>
      <c r="D33">
        <v>1</v>
      </c>
      <c r="E33" t="s">
        <v>385</v>
      </c>
      <c r="K33">
        <f>Scores_and_Fixtures[[#This Row],[Wk]]</f>
        <v>3</v>
      </c>
      <c r="L33" t="str">
        <f>Scores_and_Fixtures[[#This Row],[Home]]</f>
        <v>QPR</v>
      </c>
      <c r="M33">
        <f ca="1">IF(ISBLANK(Scores_and_Fixtures[[#This Row],[Home Score]])=FALSE,Scores_and_Fixtures[[#This Row],[Home Score]],_xlfn.BINOM.INV(10000,(VLOOKUP(L33,$CK$4:$CM$27,2,FALSE)*VLOOKUP(O33,$CK$4:$CM$27,3,FALSE)*($CM$2/2))/10000,RAND()))</f>
        <v>0</v>
      </c>
      <c r="N33">
        <f ca="1">IF(ISBLANK(Scores_and_Fixtures[[#This Row],[Away Score]])=FALSE,Scores_and_Fixtures[[#This Row],[Away Score]],_xlfn.BINOM.INV(10000,(VLOOKUP(O33,$CK$4:$CM$27,2,FALSE)*VLOOKUP(L33,$CK$4:$CM$27,3,FALSE)*($CM$2/2))/10000,RAND()))</f>
        <v>1</v>
      </c>
      <c r="O33" t="str">
        <f>Scores_and_Fixtures[[#This Row],[Away]]</f>
        <v>Ipswich Town</v>
      </c>
      <c r="AL33" t="s">
        <v>386</v>
      </c>
      <c r="AT33">
        <f>Table_Raw!J9</f>
        <v>33</v>
      </c>
      <c r="AU33">
        <f>Table_Raw!G9/Table_Raw!C9</f>
        <v>1.4545454545454546</v>
      </c>
      <c r="AV33">
        <f>Table_Raw!H9/Table_Raw!C9</f>
        <v>1.0909090909090908</v>
      </c>
      <c r="AW33">
        <f>Table_Raw!L9/Table_Raw!C9</f>
        <v>1.65</v>
      </c>
      <c r="AX33">
        <f>Table_Raw!M9/Table_Raw!C9</f>
        <v>1.0363636363636364</v>
      </c>
      <c r="AY33">
        <f>'Attacking Stats'!D8</f>
        <v>1.5454545454545454</v>
      </c>
      <c r="AZ33" s="22">
        <f>'Attacking Stats'!J8</f>
        <v>0.11</v>
      </c>
      <c r="BA33">
        <f>'Passing Stats'!C8/90</f>
        <v>126.85555555555555</v>
      </c>
      <c r="BB33">
        <f>'Goalkeeping Stats'!H8</f>
        <v>66.3</v>
      </c>
      <c r="BC33">
        <f>'Goalkeeping Stats'!F8</f>
        <v>3.6363636363636362</v>
      </c>
      <c r="BD33">
        <f>'Defending Stats'!D8</f>
        <v>11.318181818181818</v>
      </c>
      <c r="BE33" s="12">
        <f>'Defending Stats'!F8</f>
        <v>0.59839357429718898</v>
      </c>
      <c r="BF33">
        <f>'Defending Stats'!H8</f>
        <v>11.454545454545455</v>
      </c>
      <c r="BG33">
        <f>'Defending Stats'!L8</f>
        <v>18.681818181818183</v>
      </c>
      <c r="BU33" t="s">
        <v>378</v>
      </c>
      <c r="BV33">
        <f t="shared" ref="BV33:BV56" si="2">1+(BQ4-1)*0.75</f>
        <v>0.89462809917355379</v>
      </c>
      <c r="BW33">
        <f t="shared" ref="BW33:BW56" si="3">1+(BR4-1)*0.75</f>
        <v>1.0433884297520661</v>
      </c>
    </row>
    <row r="34" spans="1:75" x14ac:dyDescent="0.25">
      <c r="A34">
        <v>3</v>
      </c>
      <c r="B34" t="s">
        <v>398</v>
      </c>
      <c r="C34">
        <v>2</v>
      </c>
      <c r="D34">
        <v>1</v>
      </c>
      <c r="E34" t="s">
        <v>394</v>
      </c>
      <c r="K34">
        <f>Scores_and_Fixtures[[#This Row],[Wk]]</f>
        <v>3</v>
      </c>
      <c r="L34" t="str">
        <f>Scores_and_Fixtures[[#This Row],[Home]]</f>
        <v>Sunderland</v>
      </c>
      <c r="M34">
        <f ca="1">IF(ISBLANK(Scores_and_Fixtures[[#This Row],[Home Score]])=FALSE,Scores_and_Fixtures[[#This Row],[Home Score]],_xlfn.BINOM.INV(10000,(VLOOKUP(L34,$CK$4:$CM$27,2,FALSE)*VLOOKUP(O34,$CK$4:$CM$27,3,FALSE)*($CM$2/2))/10000,RAND()))</f>
        <v>2</v>
      </c>
      <c r="N34">
        <f ca="1">IF(ISBLANK(Scores_and_Fixtures[[#This Row],[Away Score]])=FALSE,Scores_and_Fixtures[[#This Row],[Away Score]],_xlfn.BINOM.INV(10000,(VLOOKUP(O34,$CK$4:$CM$27,2,FALSE)*VLOOKUP(L34,$CK$4:$CM$27,3,FALSE)*($CM$2/2))/10000,RAND()))</f>
        <v>1</v>
      </c>
      <c r="O34" t="str">
        <f>Scores_and_Fixtures[[#This Row],[Away]]</f>
        <v>Rotherham Utd</v>
      </c>
      <c r="AL34" t="s">
        <v>387</v>
      </c>
      <c r="AT34">
        <f>Table_Raw!J10</f>
        <v>32</v>
      </c>
      <c r="AU34">
        <f>Table_Raw!G10/Table_Raw!C10</f>
        <v>1.2727272727272727</v>
      </c>
      <c r="AV34">
        <f>Table_Raw!H10/Table_Raw!C10</f>
        <v>1.7272727272727273</v>
      </c>
      <c r="AW34">
        <f>Table_Raw!L10/Table_Raw!C10</f>
        <v>0.88181818181818172</v>
      </c>
      <c r="AX34">
        <f>Table_Raw!M10/Table_Raw!C10</f>
        <v>1.3090909090909091</v>
      </c>
      <c r="AY34">
        <f>'Attacking Stats'!D9</f>
        <v>2.0454545454545454</v>
      </c>
      <c r="AZ34" s="22">
        <f>'Attacking Stats'!J9</f>
        <v>0.12</v>
      </c>
      <c r="BA34">
        <f>'Passing Stats'!C9/90</f>
        <v>102.4</v>
      </c>
      <c r="BB34">
        <f>'Goalkeeping Stats'!H9</f>
        <v>65.900000000000006</v>
      </c>
      <c r="BC34">
        <f>'Goalkeeping Stats'!F9</f>
        <v>3.7272727272727271</v>
      </c>
      <c r="BD34">
        <f>'Defending Stats'!D9</f>
        <v>17.09090909090909</v>
      </c>
      <c r="BE34" s="12">
        <f>'Defending Stats'!F9</f>
        <v>0.65425531914893598</v>
      </c>
      <c r="BF34">
        <f>'Defending Stats'!H9</f>
        <v>11.863636363636363</v>
      </c>
      <c r="BG34">
        <f>'Defending Stats'!L9</f>
        <v>16.954545454545453</v>
      </c>
      <c r="BU34" t="s">
        <v>379</v>
      </c>
      <c r="BV34">
        <f t="shared" si="2"/>
        <v>1.0929752066115703</v>
      </c>
      <c r="BW34">
        <f t="shared" si="3"/>
        <v>1.1921487603305785</v>
      </c>
    </row>
    <row r="35" spans="1:75" x14ac:dyDescent="0.25">
      <c r="A35">
        <v>3</v>
      </c>
      <c r="B35" t="s">
        <v>379</v>
      </c>
      <c r="C35">
        <v>1</v>
      </c>
      <c r="D35">
        <v>2</v>
      </c>
      <c r="E35" t="s">
        <v>384</v>
      </c>
      <c r="K35">
        <f>Scores_and_Fixtures[[#This Row],[Wk]]</f>
        <v>3</v>
      </c>
      <c r="L35" t="str">
        <f>Scores_and_Fixtures[[#This Row],[Home]]</f>
        <v>Blackburn</v>
      </c>
      <c r="M35">
        <f ca="1">IF(ISBLANK(Scores_and_Fixtures[[#This Row],[Home Score]])=FALSE,Scores_and_Fixtures[[#This Row],[Home Score]],_xlfn.BINOM.INV(10000,(VLOOKUP(L35,$CK$4:$CM$27,2,FALSE)*VLOOKUP(O35,$CK$4:$CM$27,3,FALSE)*($CM$2/2))/10000,RAND()))</f>
        <v>1</v>
      </c>
      <c r="N35">
        <f ca="1">IF(ISBLANK(Scores_and_Fixtures[[#This Row],[Away Score]])=FALSE,Scores_and_Fixtures[[#This Row],[Away Score]],_xlfn.BINOM.INV(10000,(VLOOKUP(O35,$CK$4:$CM$27,2,FALSE)*VLOOKUP(L35,$CK$4:$CM$27,3,FALSE)*($CM$2/2))/10000,RAND()))</f>
        <v>2</v>
      </c>
      <c r="O35" t="str">
        <f>Scores_and_Fixtures[[#This Row],[Away]]</f>
        <v>Hull City</v>
      </c>
      <c r="AL35" t="s">
        <v>388</v>
      </c>
      <c r="AT35">
        <f>Table_Raw!J11</f>
        <v>31</v>
      </c>
      <c r="AU35">
        <f>Table_Raw!G11/Table_Raw!C11</f>
        <v>1.5909090909090908</v>
      </c>
      <c r="AV35">
        <f>Table_Raw!H11/Table_Raw!C11</f>
        <v>1.2272727272727273</v>
      </c>
      <c r="AW35">
        <f>Table_Raw!L11/Table_Raw!C11</f>
        <v>1.2318181818181819</v>
      </c>
      <c r="AX35">
        <f>Table_Raw!M11/Table_Raw!C11</f>
        <v>1.1409090909090909</v>
      </c>
      <c r="AY35">
        <f>'Attacking Stats'!D10</f>
        <v>1.6363636363636365</v>
      </c>
      <c r="AZ35" s="22">
        <f>'Attacking Stats'!J10</f>
        <v>0.1</v>
      </c>
      <c r="BA35">
        <f>'Passing Stats'!C10/90</f>
        <v>116.03333333333333</v>
      </c>
      <c r="BB35">
        <f>'Goalkeeping Stats'!H10</f>
        <v>64.400000000000006</v>
      </c>
      <c r="BC35">
        <f>'Goalkeeping Stats'!F10</f>
        <v>2.6818181818181817</v>
      </c>
      <c r="BD35">
        <f>'Defending Stats'!D10</f>
        <v>17.136363636363637</v>
      </c>
      <c r="BE35" s="12">
        <f>'Defending Stats'!F10</f>
        <v>0.68169761273209595</v>
      </c>
      <c r="BF35">
        <f>'Defending Stats'!H10</f>
        <v>11.727272727272727</v>
      </c>
      <c r="BG35">
        <f>'Defending Stats'!L10</f>
        <v>16.681818181818183</v>
      </c>
      <c r="BU35" t="s">
        <v>380</v>
      </c>
      <c r="BV35">
        <f t="shared" si="2"/>
        <v>0.82024793388429751</v>
      </c>
      <c r="BW35">
        <f t="shared" si="3"/>
        <v>0.84504132231404949</v>
      </c>
    </row>
    <row r="36" spans="1:75" x14ac:dyDescent="0.25">
      <c r="A36">
        <v>3</v>
      </c>
      <c r="B36" t="s">
        <v>395</v>
      </c>
      <c r="C36">
        <v>0</v>
      </c>
      <c r="D36">
        <v>1</v>
      </c>
      <c r="E36" t="s">
        <v>392</v>
      </c>
      <c r="K36">
        <f>Scores_and_Fixtures[[#This Row],[Wk]]</f>
        <v>3</v>
      </c>
      <c r="L36" t="str">
        <f>Scores_and_Fixtures[[#This Row],[Home]]</f>
        <v>Sheffield Weds</v>
      </c>
      <c r="M36">
        <f ca="1">IF(ISBLANK(Scores_and_Fixtures[[#This Row],[Home Score]])=FALSE,Scores_and_Fixtures[[#This Row],[Home Score]],_xlfn.BINOM.INV(10000,(VLOOKUP(L36,$CK$4:$CM$27,2,FALSE)*VLOOKUP(O36,$CK$4:$CM$27,3,FALSE)*($CM$2/2))/10000,RAND()))</f>
        <v>0</v>
      </c>
      <c r="N36">
        <f ca="1">IF(ISBLANK(Scores_and_Fixtures[[#This Row],[Away Score]])=FALSE,Scores_and_Fixtures[[#This Row],[Away Score]],_xlfn.BINOM.INV(10000,(VLOOKUP(O36,$CK$4:$CM$27,2,FALSE)*VLOOKUP(L36,$CK$4:$CM$27,3,FALSE)*($CM$2/2))/10000,RAND()))</f>
        <v>1</v>
      </c>
      <c r="O36" t="str">
        <f>Scores_and_Fixtures[[#This Row],[Away]]</f>
        <v>Preston</v>
      </c>
      <c r="AL36" t="s">
        <v>389</v>
      </c>
      <c r="AT36">
        <f>Table_Raw!J12</f>
        <v>31</v>
      </c>
      <c r="AU36">
        <f>Table_Raw!G12/Table_Raw!C12</f>
        <v>1.7727272727272727</v>
      </c>
      <c r="AV36">
        <f>Table_Raw!H12/Table_Raw!C12</f>
        <v>1.7727272727272727</v>
      </c>
      <c r="AW36">
        <f>Table_Raw!L12/Table_Raw!C12</f>
        <v>1.4090909090909092</v>
      </c>
      <c r="AX36">
        <f>Table_Raw!M12/Table_Raw!C12</f>
        <v>1.5272727272727273</v>
      </c>
      <c r="AY36">
        <f>'Attacking Stats'!D11</f>
        <v>2</v>
      </c>
      <c r="AZ36" s="22">
        <f>'Attacking Stats'!J11</f>
        <v>0.13</v>
      </c>
      <c r="BA36">
        <f>'Passing Stats'!C11/90</f>
        <v>148.22222222222223</v>
      </c>
      <c r="BB36">
        <f>'Goalkeeping Stats'!H11</f>
        <v>80.5</v>
      </c>
      <c r="BC36">
        <f>'Goalkeeping Stats'!F11</f>
        <v>3.7272727272727271</v>
      </c>
      <c r="BD36">
        <f>'Defending Stats'!D11</f>
        <v>17.681818181818183</v>
      </c>
      <c r="BE36" s="12">
        <f>'Defending Stats'!F11</f>
        <v>0.64781491002570701</v>
      </c>
      <c r="BF36">
        <f>'Defending Stats'!H11</f>
        <v>10.545454545454545</v>
      </c>
      <c r="BG36">
        <f>'Defending Stats'!L11</f>
        <v>17.318181818181817</v>
      </c>
      <c r="BU36" t="s">
        <v>381</v>
      </c>
      <c r="BV36">
        <f t="shared" si="2"/>
        <v>0.94421487603305787</v>
      </c>
      <c r="BW36">
        <f t="shared" si="3"/>
        <v>0.91942148760330578</v>
      </c>
    </row>
    <row r="37" spans="1:75" x14ac:dyDescent="0.25">
      <c r="A37">
        <v>3</v>
      </c>
      <c r="B37" t="s">
        <v>390</v>
      </c>
      <c r="C37">
        <v>3</v>
      </c>
      <c r="D37">
        <v>1</v>
      </c>
      <c r="E37" t="s">
        <v>389</v>
      </c>
      <c r="K37">
        <f>Scores_and_Fixtures[[#This Row],[Wk]]</f>
        <v>3</v>
      </c>
      <c r="L37" t="str">
        <f>Scores_and_Fixtures[[#This Row],[Home]]</f>
        <v>Norwich City</v>
      </c>
      <c r="M37">
        <f ca="1">IF(ISBLANK(Scores_and_Fixtures[[#This Row],[Home Score]])=FALSE,Scores_and_Fixtures[[#This Row],[Home Score]],_xlfn.BINOM.INV(10000,(VLOOKUP(L37,$CK$4:$CM$27,2,FALSE)*VLOOKUP(O37,$CK$4:$CM$27,3,FALSE)*($CM$2/2))/10000,RAND()))</f>
        <v>3</v>
      </c>
      <c r="N37">
        <f ca="1">IF(ISBLANK(Scores_and_Fixtures[[#This Row],[Away Score]])=FALSE,Scores_and_Fixtures[[#This Row],[Away Score]],_xlfn.BINOM.INV(10000,(VLOOKUP(O37,$CK$4:$CM$27,2,FALSE)*VLOOKUP(L37,$CK$4:$CM$27,3,FALSE)*($CM$2/2))/10000,RAND()))</f>
        <v>1</v>
      </c>
      <c r="O37" t="str">
        <f>Scores_and_Fixtures[[#This Row],[Away]]</f>
        <v>Millwall</v>
      </c>
      <c r="AL37" t="s">
        <v>390</v>
      </c>
      <c r="AT37">
        <f>Table_Raw!J13</f>
        <v>31</v>
      </c>
      <c r="AU37">
        <f>Table_Raw!G13/Table_Raw!C13</f>
        <v>1.5454545454545454</v>
      </c>
      <c r="AV37">
        <f>Table_Raw!H13/Table_Raw!C13</f>
        <v>1.7272727272727273</v>
      </c>
      <c r="AW37">
        <f>Table_Raw!L13/Table_Raw!C13</f>
        <v>1.5181818181818181</v>
      </c>
      <c r="AX37">
        <f>Table_Raw!M13/Table_Raw!C13</f>
        <v>1.4590909090909092</v>
      </c>
      <c r="AY37">
        <f>'Attacking Stats'!D12</f>
        <v>1.5</v>
      </c>
      <c r="AZ37" s="22">
        <f>'Attacking Stats'!J12</f>
        <v>0.1</v>
      </c>
      <c r="BA37">
        <f>'Passing Stats'!C12/90</f>
        <v>116.76666666666667</v>
      </c>
      <c r="BB37">
        <f>'Goalkeeping Stats'!H12</f>
        <v>63.2</v>
      </c>
      <c r="BC37">
        <f>'Goalkeeping Stats'!F12</f>
        <v>3.9545454545454546</v>
      </c>
      <c r="BD37">
        <f>'Defending Stats'!D12</f>
        <v>14.454545454545455</v>
      </c>
      <c r="BE37" s="12">
        <f>'Defending Stats'!F12</f>
        <v>0.61006289308176098</v>
      </c>
      <c r="BF37">
        <f>'Defending Stats'!H12</f>
        <v>10.590909090909092</v>
      </c>
      <c r="BG37">
        <f>'Defending Stats'!L12</f>
        <v>16.318181818181817</v>
      </c>
      <c r="BU37" t="s">
        <v>382</v>
      </c>
      <c r="BV37">
        <f t="shared" si="2"/>
        <v>0.94421487603305787</v>
      </c>
      <c r="BW37">
        <f t="shared" si="3"/>
        <v>0.8698347107438017</v>
      </c>
    </row>
    <row r="38" spans="1:75" x14ac:dyDescent="0.25">
      <c r="A38">
        <v>4</v>
      </c>
      <c r="B38" t="s">
        <v>384</v>
      </c>
      <c r="C38">
        <v>1</v>
      </c>
      <c r="D38">
        <v>1</v>
      </c>
      <c r="E38" t="s">
        <v>380</v>
      </c>
      <c r="K38">
        <f>Scores_and_Fixtures[[#This Row],[Wk]]</f>
        <v>4</v>
      </c>
      <c r="L38" t="str">
        <f>Scores_and_Fixtures[[#This Row],[Home]]</f>
        <v>Hull City</v>
      </c>
      <c r="M38">
        <f ca="1">IF(ISBLANK(Scores_and_Fixtures[[#This Row],[Home Score]])=FALSE,Scores_and_Fixtures[[#This Row],[Home Score]],_xlfn.BINOM.INV(10000,(VLOOKUP(L38,$CK$4:$CM$27,2,FALSE)*VLOOKUP(O38,$CK$4:$CM$27,3,FALSE)*($CM$2/2))/10000,RAND()))</f>
        <v>1</v>
      </c>
      <c r="N38">
        <f ca="1">IF(ISBLANK(Scores_and_Fixtures[[#This Row],[Away Score]])=FALSE,Scores_and_Fixtures[[#This Row],[Away Score]],_xlfn.BINOM.INV(10000,(VLOOKUP(O38,$CK$4:$CM$27,2,FALSE)*VLOOKUP(L38,$CK$4:$CM$27,3,FALSE)*($CM$2/2))/10000,RAND()))</f>
        <v>1</v>
      </c>
      <c r="O38" t="str">
        <f>Scores_and_Fixtures[[#This Row],[Away]]</f>
        <v>Bristol City</v>
      </c>
      <c r="AL38" t="s">
        <v>391</v>
      </c>
      <c r="AT38">
        <f>Table_Raw!J14</f>
        <v>30</v>
      </c>
      <c r="AU38">
        <f>Table_Raw!G14/Table_Raw!C14</f>
        <v>1.2727272727272727</v>
      </c>
      <c r="AV38">
        <f>Table_Raw!H14/Table_Raw!C14</f>
        <v>1.2272727272727273</v>
      </c>
      <c r="AW38">
        <f>Table_Raw!L14/Table_Raw!C14</f>
        <v>1.0818181818181818</v>
      </c>
      <c r="AX38">
        <f>Table_Raw!M14/Table_Raw!C14</f>
        <v>1.4227272727272728</v>
      </c>
      <c r="AY38">
        <f>'Attacking Stats'!D13</f>
        <v>1.0909090909090908</v>
      </c>
      <c r="AZ38" s="22">
        <f>'Attacking Stats'!J13</f>
        <v>0.09</v>
      </c>
      <c r="BA38">
        <f>'Passing Stats'!C13/90</f>
        <v>73.099999999999994</v>
      </c>
      <c r="BB38">
        <f>'Goalkeeping Stats'!H13</f>
        <v>68.2</v>
      </c>
      <c r="BC38">
        <f>'Goalkeeping Stats'!F13</f>
        <v>4</v>
      </c>
      <c r="BD38">
        <f>'Defending Stats'!D13</f>
        <v>17.818181818181817</v>
      </c>
      <c r="BE38" s="12">
        <f>'Defending Stats'!F13</f>
        <v>0.60459183673469397</v>
      </c>
      <c r="BF38">
        <f>'Defending Stats'!H13</f>
        <v>12.045454545454545</v>
      </c>
      <c r="BG38">
        <f>'Defending Stats'!L13</f>
        <v>20.59090909090909</v>
      </c>
      <c r="BU38" t="s">
        <v>383</v>
      </c>
      <c r="BV38">
        <f t="shared" si="2"/>
        <v>0.77066115702479343</v>
      </c>
      <c r="BW38">
        <f t="shared" si="3"/>
        <v>1.1425619834710745</v>
      </c>
    </row>
    <row r="39" spans="1:75" x14ac:dyDescent="0.25">
      <c r="A39">
        <v>4</v>
      </c>
      <c r="B39" t="s">
        <v>392</v>
      </c>
      <c r="C39">
        <v>2</v>
      </c>
      <c r="D39">
        <v>1</v>
      </c>
      <c r="E39" t="s">
        <v>399</v>
      </c>
      <c r="K39">
        <f>Scores_and_Fixtures[[#This Row],[Wk]]</f>
        <v>4</v>
      </c>
      <c r="L39" t="str">
        <f>Scores_and_Fixtures[[#This Row],[Home]]</f>
        <v>Preston</v>
      </c>
      <c r="M39">
        <f ca="1">IF(ISBLANK(Scores_and_Fixtures[[#This Row],[Home Score]])=FALSE,Scores_and_Fixtures[[#This Row],[Home Score]],_xlfn.BINOM.INV(10000,(VLOOKUP(L39,$CK$4:$CM$27,2,FALSE)*VLOOKUP(O39,$CK$4:$CM$27,3,FALSE)*($CM$2/2))/10000,RAND()))</f>
        <v>2</v>
      </c>
      <c r="N39">
        <f ca="1">IF(ISBLANK(Scores_and_Fixtures[[#This Row],[Away Score]])=FALSE,Scores_and_Fixtures[[#This Row],[Away Score]],_xlfn.BINOM.INV(10000,(VLOOKUP(O39,$CK$4:$CM$27,2,FALSE)*VLOOKUP(L39,$CK$4:$CM$27,3,FALSE)*($CM$2/2))/10000,RAND()))</f>
        <v>1</v>
      </c>
      <c r="O39" t="str">
        <f>Scores_and_Fixtures[[#This Row],[Away]]</f>
        <v>Swansea City</v>
      </c>
      <c r="AL39" t="s">
        <v>392</v>
      </c>
      <c r="AT39">
        <f>Table_Raw!J15</f>
        <v>30</v>
      </c>
      <c r="AU39">
        <f>Table_Raw!G15/Table_Raw!C15</f>
        <v>1.5454545454545454</v>
      </c>
      <c r="AV39">
        <f>Table_Raw!H15/Table_Raw!C15</f>
        <v>1.5454545454545454</v>
      </c>
      <c r="AW39">
        <f>Table_Raw!L15/Table_Raw!C15</f>
        <v>1.6045454545454545</v>
      </c>
      <c r="AX39">
        <f>Table_Raw!M15/Table_Raw!C15</f>
        <v>1.1545454545454545</v>
      </c>
      <c r="AY39">
        <f>'Attacking Stats'!D14</f>
        <v>1.6818181818181819</v>
      </c>
      <c r="AZ39" s="22">
        <f>'Attacking Stats'!J14</f>
        <v>0.11</v>
      </c>
      <c r="BA39">
        <f>'Passing Stats'!C14/90</f>
        <v>95.87777777777778</v>
      </c>
      <c r="BB39">
        <f>'Goalkeeping Stats'!H14</f>
        <v>67.599999999999994</v>
      </c>
      <c r="BC39">
        <f>'Goalkeeping Stats'!F14</f>
        <v>4.9090909090909092</v>
      </c>
      <c r="BD39">
        <f>'Defending Stats'!D14</f>
        <v>16.5</v>
      </c>
      <c r="BE39" s="12">
        <f>'Defending Stats'!F14</f>
        <v>0.59228650137741001</v>
      </c>
      <c r="BF39">
        <f>'Defending Stats'!H14</f>
        <v>12.909090909090908</v>
      </c>
      <c r="BG39">
        <f>'Defending Stats'!L14</f>
        <v>21.863636363636363</v>
      </c>
      <c r="BU39" t="s">
        <v>384</v>
      </c>
      <c r="BV39">
        <f t="shared" si="2"/>
        <v>1.0929752066115703</v>
      </c>
      <c r="BW39">
        <f t="shared" si="3"/>
        <v>0.91942148760330578</v>
      </c>
    </row>
    <row r="40" spans="1:75" x14ac:dyDescent="0.25">
      <c r="A40">
        <v>4</v>
      </c>
      <c r="B40" t="s">
        <v>385</v>
      </c>
      <c r="C40">
        <v>3</v>
      </c>
      <c r="D40">
        <v>4</v>
      </c>
      <c r="E40" t="s">
        <v>386</v>
      </c>
      <c r="K40">
        <f>Scores_and_Fixtures[[#This Row],[Wk]]</f>
        <v>4</v>
      </c>
      <c r="L40" t="str">
        <f>Scores_and_Fixtures[[#This Row],[Home]]</f>
        <v>Ipswich Town</v>
      </c>
      <c r="M40">
        <f ca="1">IF(ISBLANK(Scores_and_Fixtures[[#This Row],[Home Score]])=FALSE,Scores_and_Fixtures[[#This Row],[Home Score]],_xlfn.BINOM.INV(10000,(VLOOKUP(L40,$CK$4:$CM$27,2,FALSE)*VLOOKUP(O40,$CK$4:$CM$27,3,FALSE)*($CM$2/2))/10000,RAND()))</f>
        <v>3</v>
      </c>
      <c r="N40">
        <f ca="1">IF(ISBLANK(Scores_and_Fixtures[[#This Row],[Away Score]])=FALSE,Scores_and_Fixtures[[#This Row],[Away Score]],_xlfn.BINOM.INV(10000,(VLOOKUP(O40,$CK$4:$CM$27,2,FALSE)*VLOOKUP(L40,$CK$4:$CM$27,3,FALSE)*($CM$2/2))/10000,RAND()))</f>
        <v>4</v>
      </c>
      <c r="O40" t="str">
        <f>Scores_and_Fixtures[[#This Row],[Away]]</f>
        <v>Leeds United</v>
      </c>
      <c r="AL40" t="s">
        <v>393</v>
      </c>
      <c r="AT40">
        <f>Table_Raw!J16</f>
        <v>29</v>
      </c>
      <c r="AU40">
        <f>Table_Raw!G16/Table_Raw!C16</f>
        <v>1.0454545454545454</v>
      </c>
      <c r="AV40">
        <f>Table_Raw!H16/Table_Raw!C16</f>
        <v>1.0909090909090908</v>
      </c>
      <c r="AW40">
        <f>Table_Raw!L16/Table_Raw!C16</f>
        <v>1.1227272727272728</v>
      </c>
      <c r="AX40">
        <f>Table_Raw!M16/Table_Raw!C16</f>
        <v>1.1045454545454545</v>
      </c>
      <c r="AY40">
        <f>'Attacking Stats'!D15</f>
        <v>1.5454545454545454</v>
      </c>
      <c r="AZ40" s="22">
        <f>'Attacking Stats'!J15</f>
        <v>0.11</v>
      </c>
      <c r="BA40">
        <f>'Passing Stats'!C15/90</f>
        <v>85.155555555555551</v>
      </c>
      <c r="BB40">
        <f>'Goalkeeping Stats'!H15</f>
        <v>70.5</v>
      </c>
      <c r="BC40">
        <f>'Goalkeeping Stats'!F15</f>
        <v>5.0909090909090908</v>
      </c>
      <c r="BD40">
        <f>'Defending Stats'!D15</f>
        <v>12.636363636363637</v>
      </c>
      <c r="BE40" s="12">
        <f>'Defending Stats'!F15</f>
        <v>0.72661870503597104</v>
      </c>
      <c r="BF40">
        <f>'Defending Stats'!H15</f>
        <v>13.409090909090908</v>
      </c>
      <c r="BG40">
        <f>'Defending Stats'!L15</f>
        <v>23</v>
      </c>
      <c r="BU40" t="s">
        <v>385</v>
      </c>
      <c r="BV40">
        <f t="shared" si="2"/>
        <v>1.415289256198347</v>
      </c>
      <c r="BW40">
        <f t="shared" si="3"/>
        <v>0.94421487603305787</v>
      </c>
    </row>
    <row r="41" spans="1:75" x14ac:dyDescent="0.25">
      <c r="A41">
        <v>4</v>
      </c>
      <c r="B41" t="s">
        <v>394</v>
      </c>
      <c r="C41">
        <v>1</v>
      </c>
      <c r="D41">
        <v>2</v>
      </c>
      <c r="E41" t="s">
        <v>387</v>
      </c>
      <c r="K41">
        <f>Scores_and_Fixtures[[#This Row],[Wk]]</f>
        <v>4</v>
      </c>
      <c r="L41" t="str">
        <f>Scores_and_Fixtures[[#This Row],[Home]]</f>
        <v>Rotherham Utd</v>
      </c>
      <c r="M41">
        <f ca="1">IF(ISBLANK(Scores_and_Fixtures[[#This Row],[Home Score]])=FALSE,Scores_and_Fixtures[[#This Row],[Home Score]],_xlfn.BINOM.INV(10000,(VLOOKUP(L41,$CK$4:$CM$27,2,FALSE)*VLOOKUP(O41,$CK$4:$CM$27,3,FALSE)*($CM$2/2))/10000,RAND()))</f>
        <v>1</v>
      </c>
      <c r="N41">
        <f ca="1">IF(ISBLANK(Scores_and_Fixtures[[#This Row],[Away Score]])=FALSE,Scores_and_Fixtures[[#This Row],[Away Score]],_xlfn.BINOM.INV(10000,(VLOOKUP(O41,$CK$4:$CM$27,2,FALSE)*VLOOKUP(L41,$CK$4:$CM$27,3,FALSE)*($CM$2/2))/10000,RAND()))</f>
        <v>2</v>
      </c>
      <c r="O41" t="str">
        <f>Scores_and_Fixtures[[#This Row],[Away]]</f>
        <v>Leicester City</v>
      </c>
      <c r="AL41" t="s">
        <v>394</v>
      </c>
      <c r="AT41">
        <f>Table_Raw!J17</f>
        <v>27</v>
      </c>
      <c r="AU41">
        <f>Table_Raw!G17/Table_Raw!C17</f>
        <v>1.2727272727272727</v>
      </c>
      <c r="AV41">
        <f>Table_Raw!H17/Table_Raw!C17</f>
        <v>1.1363636363636365</v>
      </c>
      <c r="AW41">
        <f>Table_Raw!L17/Table_Raw!C17</f>
        <v>1.4227272727272728</v>
      </c>
      <c r="AX41">
        <f>Table_Raw!M17/Table_Raw!C17</f>
        <v>1.0909090909090908</v>
      </c>
      <c r="AY41">
        <f>'Attacking Stats'!D16</f>
        <v>1.2272727272727273</v>
      </c>
      <c r="AZ41" s="22">
        <f>'Attacking Stats'!J16</f>
        <v>0.13</v>
      </c>
      <c r="BA41">
        <f>'Passing Stats'!C16/90</f>
        <v>70.111111111111114</v>
      </c>
      <c r="BB41">
        <f>'Goalkeeping Stats'!H16</f>
        <v>62.2</v>
      </c>
      <c r="BC41">
        <f>'Goalkeeping Stats'!F16</f>
        <v>4.4545454545454541</v>
      </c>
      <c r="BD41">
        <f>'Defending Stats'!D16</f>
        <v>17.363636363636363</v>
      </c>
      <c r="BE41" s="12">
        <f>'Defending Stats'!F16</f>
        <v>0.59162303664921501</v>
      </c>
      <c r="BF41">
        <f>'Defending Stats'!H16</f>
        <v>13.636363636363637</v>
      </c>
      <c r="BG41">
        <f>'Defending Stats'!L16</f>
        <v>22.227272727272727</v>
      </c>
      <c r="BU41" t="s">
        <v>386</v>
      </c>
      <c r="BV41">
        <f t="shared" si="2"/>
        <v>1.1673553719008265</v>
      </c>
      <c r="BW41">
        <f t="shared" si="3"/>
        <v>0.79545454545454541</v>
      </c>
    </row>
    <row r="42" spans="1:75" x14ac:dyDescent="0.25">
      <c r="A42">
        <v>4</v>
      </c>
      <c r="B42" t="s">
        <v>383</v>
      </c>
      <c r="C42">
        <v>0</v>
      </c>
      <c r="D42">
        <v>4</v>
      </c>
      <c r="E42" t="s">
        <v>390</v>
      </c>
      <c r="K42">
        <f>Scores_and_Fixtures[[#This Row],[Wk]]</f>
        <v>4</v>
      </c>
      <c r="L42" t="str">
        <f>Scores_and_Fixtures[[#This Row],[Home]]</f>
        <v>Huddersfield</v>
      </c>
      <c r="M42">
        <f ca="1">IF(ISBLANK(Scores_and_Fixtures[[#This Row],[Home Score]])=FALSE,Scores_and_Fixtures[[#This Row],[Home Score]],_xlfn.BINOM.INV(10000,(VLOOKUP(L42,$CK$4:$CM$27,2,FALSE)*VLOOKUP(O42,$CK$4:$CM$27,3,FALSE)*($CM$2/2))/10000,RAND()))</f>
        <v>0</v>
      </c>
      <c r="N42">
        <f ca="1">IF(ISBLANK(Scores_and_Fixtures[[#This Row],[Away Score]])=FALSE,Scores_and_Fixtures[[#This Row],[Away Score]],_xlfn.BINOM.INV(10000,(VLOOKUP(O42,$CK$4:$CM$27,2,FALSE)*VLOOKUP(L42,$CK$4:$CM$27,3,FALSE)*($CM$2/2))/10000,RAND()))</f>
        <v>4</v>
      </c>
      <c r="O42" t="str">
        <f>Scores_and_Fixtures[[#This Row],[Away]]</f>
        <v>Norwich City</v>
      </c>
      <c r="AL42" t="s">
        <v>395</v>
      </c>
      <c r="AT42">
        <f>Table_Raw!J18</f>
        <v>26</v>
      </c>
      <c r="AU42">
        <f>Table_Raw!G18/Table_Raw!C18</f>
        <v>1.5454545454545454</v>
      </c>
      <c r="AV42">
        <f>Table_Raw!H18/Table_Raw!C18</f>
        <v>1.5909090909090908</v>
      </c>
      <c r="AW42">
        <f>Table_Raw!L18/Table_Raw!C18</f>
        <v>1.3272727272727272</v>
      </c>
      <c r="AX42">
        <f>Table_Raw!M18/Table_Raw!C18</f>
        <v>1.7545454545454546</v>
      </c>
      <c r="AY42">
        <f>'Attacking Stats'!D17</f>
        <v>0.81818181818181823</v>
      </c>
      <c r="AZ42" s="22">
        <f>'Attacking Stats'!J17</f>
        <v>7.0000000000000007E-2</v>
      </c>
      <c r="BA42">
        <f>'Passing Stats'!C17/90</f>
        <v>76.955555555555549</v>
      </c>
      <c r="BB42">
        <f>'Goalkeeping Stats'!H17</f>
        <v>68</v>
      </c>
      <c r="BC42">
        <f>'Goalkeeping Stats'!F17</f>
        <v>4.4090909090909092</v>
      </c>
      <c r="BD42">
        <f>'Defending Stats'!D17</f>
        <v>15.909090909090908</v>
      </c>
      <c r="BE42" s="12">
        <f>'Defending Stats'!F17</f>
        <v>0.65428571428571403</v>
      </c>
      <c r="BF42">
        <f>'Defending Stats'!H17</f>
        <v>10.818181818181818</v>
      </c>
      <c r="BG42">
        <f>'Defending Stats'!L17</f>
        <v>19.227272727272727</v>
      </c>
      <c r="BU42" t="s">
        <v>387</v>
      </c>
      <c r="BV42">
        <f t="shared" si="2"/>
        <v>1.3409090909090908</v>
      </c>
      <c r="BW42">
        <f t="shared" si="3"/>
        <v>0.64669421487603307</v>
      </c>
    </row>
    <row r="43" spans="1:75" x14ac:dyDescent="0.25">
      <c r="A43">
        <v>4</v>
      </c>
      <c r="B43" t="s">
        <v>381</v>
      </c>
      <c r="C43">
        <v>2</v>
      </c>
      <c r="D43">
        <v>1</v>
      </c>
      <c r="E43" t="s">
        <v>395</v>
      </c>
      <c r="K43">
        <f>Scores_and_Fixtures[[#This Row],[Wk]]</f>
        <v>4</v>
      </c>
      <c r="L43" t="str">
        <f>Scores_and_Fixtures[[#This Row],[Home]]</f>
        <v>Cardiff City</v>
      </c>
      <c r="M43">
        <f ca="1">IF(ISBLANK(Scores_and_Fixtures[[#This Row],[Home Score]])=FALSE,Scores_and_Fixtures[[#This Row],[Home Score]],_xlfn.BINOM.INV(10000,(VLOOKUP(L43,$CK$4:$CM$27,2,FALSE)*VLOOKUP(O43,$CK$4:$CM$27,3,FALSE)*($CM$2/2))/10000,RAND()))</f>
        <v>2</v>
      </c>
      <c r="N43">
        <f ca="1">IF(ISBLANK(Scores_and_Fixtures[[#This Row],[Away Score]])=FALSE,Scores_and_Fixtures[[#This Row],[Away Score]],_xlfn.BINOM.INV(10000,(VLOOKUP(O43,$CK$4:$CM$27,2,FALSE)*VLOOKUP(L43,$CK$4:$CM$27,3,FALSE)*($CM$2/2))/10000,RAND()))</f>
        <v>1</v>
      </c>
      <c r="O43" t="str">
        <f>Scores_and_Fixtures[[#This Row],[Away]]</f>
        <v>Sheffield Weds</v>
      </c>
      <c r="AL43" t="s">
        <v>396</v>
      </c>
      <c r="AT43">
        <f>Table_Raw!J19</f>
        <v>26</v>
      </c>
      <c r="AU43">
        <f>Table_Raw!G19/Table_Raw!C19</f>
        <v>1.1818181818181819</v>
      </c>
      <c r="AV43">
        <f>Table_Raw!H19/Table_Raw!C19</f>
        <v>1.4545454545454546</v>
      </c>
      <c r="AW43">
        <f>Table_Raw!L19/Table_Raw!C19</f>
        <v>1.1272727272727272</v>
      </c>
      <c r="AX43">
        <f>Table_Raw!M19/Table_Raw!C19</f>
        <v>1.3863636363636365</v>
      </c>
      <c r="AY43">
        <f>'Attacking Stats'!D18</f>
        <v>0.90909090909090906</v>
      </c>
      <c r="AZ43" s="22">
        <f>'Attacking Stats'!J18</f>
        <v>0.12</v>
      </c>
      <c r="BA43">
        <f>'Passing Stats'!C18/90</f>
        <v>50.222222222222221</v>
      </c>
      <c r="BB43">
        <f>'Goalkeeping Stats'!H18</f>
        <v>67.2</v>
      </c>
      <c r="BC43">
        <f>'Goalkeeping Stats'!F18</f>
        <v>5.9545454545454541</v>
      </c>
      <c r="BD43">
        <f>'Defending Stats'!D18</f>
        <v>15.318181818181818</v>
      </c>
      <c r="BE43" s="12">
        <f>'Defending Stats'!F18</f>
        <v>0.61721068249258204</v>
      </c>
      <c r="BF43">
        <f>'Defending Stats'!H18</f>
        <v>11.409090909090908</v>
      </c>
      <c r="BG43">
        <f>'Defending Stats'!L18</f>
        <v>22.818181818181817</v>
      </c>
      <c r="BU43" t="s">
        <v>388</v>
      </c>
      <c r="BV43">
        <f t="shared" si="2"/>
        <v>1.0929752066115703</v>
      </c>
      <c r="BW43">
        <f t="shared" si="3"/>
        <v>1.0929752066115703</v>
      </c>
    </row>
    <row r="44" spans="1:75" x14ac:dyDescent="0.25">
      <c r="A44">
        <v>4</v>
      </c>
      <c r="B44" t="s">
        <v>382</v>
      </c>
      <c r="C44">
        <v>0</v>
      </c>
      <c r="D44">
        <v>0</v>
      </c>
      <c r="E44" t="s">
        <v>398</v>
      </c>
      <c r="K44">
        <f>Scores_and_Fixtures[[#This Row],[Wk]]</f>
        <v>4</v>
      </c>
      <c r="L44" t="str">
        <f>Scores_and_Fixtures[[#This Row],[Home]]</f>
        <v>Coventry City</v>
      </c>
      <c r="M44">
        <f ca="1">IF(ISBLANK(Scores_and_Fixtures[[#This Row],[Home Score]])=FALSE,Scores_and_Fixtures[[#This Row],[Home Score]],_xlfn.BINOM.INV(10000,(VLOOKUP(L44,$CK$4:$CM$27,2,FALSE)*VLOOKUP(O44,$CK$4:$CM$27,3,FALSE)*($CM$2/2))/10000,RAND()))</f>
        <v>0</v>
      </c>
      <c r="N44">
        <f ca="1">IF(ISBLANK(Scores_and_Fixtures[[#This Row],[Away Score]])=FALSE,Scores_and_Fixtures[[#This Row],[Away Score]],_xlfn.BINOM.INV(10000,(VLOOKUP(O44,$CK$4:$CM$27,2,FALSE)*VLOOKUP(L44,$CK$4:$CM$27,3,FALSE)*($CM$2/2))/10000,RAND()))</f>
        <v>0</v>
      </c>
      <c r="O44" t="str">
        <f>Scores_and_Fixtures[[#This Row],[Away]]</f>
        <v>Sunderland</v>
      </c>
      <c r="AL44" t="s">
        <v>397</v>
      </c>
      <c r="AT44">
        <f>Table_Raw!J20</f>
        <v>25</v>
      </c>
      <c r="AU44">
        <f>Table_Raw!G20/Table_Raw!C20</f>
        <v>1.3636363636363635</v>
      </c>
      <c r="AV44">
        <f>Table_Raw!H20/Table_Raw!C20</f>
        <v>1.4090909090909092</v>
      </c>
      <c r="AW44">
        <f>Table_Raw!L20/Table_Raw!C20</f>
        <v>1.2272727272727273</v>
      </c>
      <c r="AX44">
        <f>Table_Raw!M20/Table_Raw!C20</f>
        <v>1.5272727272727273</v>
      </c>
      <c r="AY44">
        <f>'Attacking Stats'!D19</f>
        <v>0.72727272727272729</v>
      </c>
      <c r="AZ44" s="22">
        <f>'Attacking Stats'!J19</f>
        <v>7.0000000000000007E-2</v>
      </c>
      <c r="BA44">
        <f>'Passing Stats'!C19/90</f>
        <v>71.8</v>
      </c>
      <c r="BB44">
        <f>'Goalkeeping Stats'!H19</f>
        <v>64.400000000000006</v>
      </c>
      <c r="BC44">
        <f>'Goalkeeping Stats'!F19</f>
        <v>3.9545454545454546</v>
      </c>
      <c r="BD44">
        <f>'Defending Stats'!D19</f>
        <v>16.90909090909091</v>
      </c>
      <c r="BE44" s="12">
        <f>'Defending Stats'!F19</f>
        <v>0.64247311827956999</v>
      </c>
      <c r="BF44">
        <f>'Defending Stats'!H19</f>
        <v>12.272727272727273</v>
      </c>
      <c r="BG44">
        <f>'Defending Stats'!L19</f>
        <v>19.136363636363637</v>
      </c>
      <c r="BU44" t="s">
        <v>389</v>
      </c>
      <c r="BV44">
        <f t="shared" si="2"/>
        <v>0.84504132231404949</v>
      </c>
      <c r="BW44">
        <f t="shared" si="3"/>
        <v>1.0185950413223142</v>
      </c>
    </row>
    <row r="45" spans="1:75" x14ac:dyDescent="0.25">
      <c r="A45">
        <v>4</v>
      </c>
      <c r="B45" t="s">
        <v>378</v>
      </c>
      <c r="C45">
        <v>2</v>
      </c>
      <c r="D45">
        <v>1</v>
      </c>
      <c r="E45" t="s">
        <v>391</v>
      </c>
      <c r="K45">
        <f>Scores_and_Fixtures[[#This Row],[Wk]]</f>
        <v>4</v>
      </c>
      <c r="L45" t="str">
        <f>Scores_and_Fixtures[[#This Row],[Home]]</f>
        <v>Birmingham City</v>
      </c>
      <c r="M45">
        <f ca="1">IF(ISBLANK(Scores_and_Fixtures[[#This Row],[Home Score]])=FALSE,Scores_and_Fixtures[[#This Row],[Home Score]],_xlfn.BINOM.INV(10000,(VLOOKUP(L45,$CK$4:$CM$27,2,FALSE)*VLOOKUP(O45,$CK$4:$CM$27,3,FALSE)*($CM$2/2))/10000,RAND()))</f>
        <v>2</v>
      </c>
      <c r="N45">
        <f ca="1">IF(ISBLANK(Scores_and_Fixtures[[#This Row],[Away Score]])=FALSE,Scores_and_Fixtures[[#This Row],[Away Score]],_xlfn.BINOM.INV(10000,(VLOOKUP(O45,$CK$4:$CM$27,2,FALSE)*VLOOKUP(L45,$CK$4:$CM$27,3,FALSE)*($CM$2/2))/10000,RAND()))</f>
        <v>1</v>
      </c>
      <c r="O45" t="str">
        <f>Scores_and_Fixtures[[#This Row],[Away]]</f>
        <v>Plymouth Argyle</v>
      </c>
      <c r="AL45" t="s">
        <v>398</v>
      </c>
      <c r="AT45">
        <f>Table_Raw!J21</f>
        <v>23</v>
      </c>
      <c r="AU45">
        <f>Table_Raw!G21/Table_Raw!C21</f>
        <v>0.95454545454545459</v>
      </c>
      <c r="AV45">
        <f>Table_Raw!H21/Table_Raw!C21</f>
        <v>1.3636363636363635</v>
      </c>
      <c r="AW45">
        <f>Table_Raw!L21/Table_Raw!C21</f>
        <v>1.1636363636363638</v>
      </c>
      <c r="AX45">
        <f>Table_Raw!M21/Table_Raw!C21</f>
        <v>1.3318181818181818</v>
      </c>
      <c r="AY45">
        <f>'Attacking Stats'!D20</f>
        <v>1.6363636363636365</v>
      </c>
      <c r="AZ45" s="22">
        <f>'Attacking Stats'!J20</f>
        <v>0.1</v>
      </c>
      <c r="BA45">
        <f>'Passing Stats'!C20/90</f>
        <v>152.13333333333333</v>
      </c>
      <c r="BB45">
        <f>'Goalkeeping Stats'!H20</f>
        <v>64.599999999999994</v>
      </c>
      <c r="BC45">
        <f>'Goalkeeping Stats'!F20</f>
        <v>3.5909090909090908</v>
      </c>
      <c r="BD45">
        <f>'Defending Stats'!D20</f>
        <v>14.681818181818182</v>
      </c>
      <c r="BE45" s="12">
        <f>'Defending Stats'!F20</f>
        <v>0.62538699690402499</v>
      </c>
      <c r="BF45">
        <f>'Defending Stats'!H20</f>
        <v>9.5</v>
      </c>
      <c r="BG45">
        <f>'Defending Stats'!L20</f>
        <v>16.136363636363637</v>
      </c>
      <c r="BU45" t="s">
        <v>390</v>
      </c>
      <c r="BV45">
        <f t="shared" si="2"/>
        <v>1.2169421487603305</v>
      </c>
      <c r="BW45">
        <f t="shared" si="3"/>
        <v>1.2169421487603305</v>
      </c>
    </row>
    <row r="46" spans="1:75" x14ac:dyDescent="0.25">
      <c r="A46">
        <v>4</v>
      </c>
      <c r="B46" t="s">
        <v>389</v>
      </c>
      <c r="C46">
        <v>1</v>
      </c>
      <c r="D46">
        <v>0</v>
      </c>
      <c r="E46" t="s">
        <v>397</v>
      </c>
      <c r="K46">
        <f>Scores_and_Fixtures[[#This Row],[Wk]]</f>
        <v>4</v>
      </c>
      <c r="L46" t="str">
        <f>Scores_and_Fixtures[[#This Row],[Home]]</f>
        <v>Millwall</v>
      </c>
      <c r="M46">
        <f ca="1">IF(ISBLANK(Scores_and_Fixtures[[#This Row],[Home Score]])=FALSE,Scores_and_Fixtures[[#This Row],[Home Score]],_xlfn.BINOM.INV(10000,(VLOOKUP(L46,$CK$4:$CM$27,2,FALSE)*VLOOKUP(O46,$CK$4:$CM$27,3,FALSE)*($CM$2/2))/10000,RAND()))</f>
        <v>1</v>
      </c>
      <c r="N46">
        <f ca="1">IF(ISBLANK(Scores_and_Fixtures[[#This Row],[Away Score]])=FALSE,Scores_and_Fixtures[[#This Row],[Away Score]],_xlfn.BINOM.INV(10000,(VLOOKUP(O46,$CK$4:$CM$27,2,FALSE)*VLOOKUP(L46,$CK$4:$CM$27,3,FALSE)*($CM$2/2))/10000,RAND()))</f>
        <v>0</v>
      </c>
      <c r="O46" t="str">
        <f>Scores_and_Fixtures[[#This Row],[Away]]</f>
        <v>Stoke City</v>
      </c>
      <c r="AL46" t="s">
        <v>399</v>
      </c>
      <c r="AT46">
        <f>Table_Raw!J26</f>
        <v>13</v>
      </c>
      <c r="AU46">
        <f>Table_Raw!G26/Table_Raw!C26</f>
        <v>0.90909090909090906</v>
      </c>
      <c r="AV46">
        <f>Table_Raw!H26/Table_Raw!C26</f>
        <v>2</v>
      </c>
      <c r="AW46">
        <f>Table_Raw!L26/Table_Raw!C26</f>
        <v>0.67727272727272725</v>
      </c>
      <c r="AX46">
        <f>Table_Raw!M26/Table_Raw!C26</f>
        <v>1.8318181818181818</v>
      </c>
      <c r="AY46">
        <f>'Attacking Stats'!D25</f>
        <v>1.5</v>
      </c>
      <c r="AZ46" s="22">
        <f>'Attacking Stats'!J25</f>
        <v>0.13</v>
      </c>
      <c r="BA46">
        <f>'Passing Stats'!C25/90</f>
        <v>97.63333333333334</v>
      </c>
      <c r="BB46">
        <f>'Goalkeeping Stats'!H25</f>
        <v>65.5</v>
      </c>
      <c r="BC46">
        <f>'Goalkeeping Stats'!F25</f>
        <v>2.6363636363636362</v>
      </c>
      <c r="BD46">
        <f>'Defending Stats'!D25</f>
        <v>14</v>
      </c>
      <c r="BE46" s="12">
        <f>'Defending Stats'!F25</f>
        <v>0.60064935064935099</v>
      </c>
      <c r="BF46">
        <f>'Defending Stats'!H25</f>
        <v>9.8181818181818183</v>
      </c>
      <c r="BG46">
        <f>'Defending Stats'!L25</f>
        <v>18.272727272727273</v>
      </c>
      <c r="BU46" t="s">
        <v>391</v>
      </c>
      <c r="BV46">
        <f t="shared" si="2"/>
        <v>1.0929752066115703</v>
      </c>
      <c r="BW46">
        <f t="shared" si="3"/>
        <v>1.1177685950413223</v>
      </c>
    </row>
    <row r="47" spans="1:75" x14ac:dyDescent="0.25">
      <c r="A47">
        <v>4</v>
      </c>
      <c r="B47" t="s">
        <v>401</v>
      </c>
      <c r="C47">
        <v>4</v>
      </c>
      <c r="D47">
        <v>2</v>
      </c>
      <c r="E47" t="s">
        <v>388</v>
      </c>
      <c r="K47">
        <f>Scores_and_Fixtures[[#This Row],[Wk]]</f>
        <v>4</v>
      </c>
      <c r="L47" t="str">
        <f>Scores_and_Fixtures[[#This Row],[Home]]</f>
        <v>West Brom</v>
      </c>
      <c r="M47">
        <f ca="1">IF(ISBLANK(Scores_and_Fixtures[[#This Row],[Home Score]])=FALSE,Scores_and_Fixtures[[#This Row],[Home Score]],_xlfn.BINOM.INV(10000,(VLOOKUP(L47,$CK$4:$CM$27,2,FALSE)*VLOOKUP(O47,$CK$4:$CM$27,3,FALSE)*($CM$2/2))/10000,RAND()))</f>
        <v>4</v>
      </c>
      <c r="N47">
        <f ca="1">IF(ISBLANK(Scores_and_Fixtures[[#This Row],[Away Score]])=FALSE,Scores_and_Fixtures[[#This Row],[Away Score]],_xlfn.BINOM.INV(10000,(VLOOKUP(O47,$CK$4:$CM$27,2,FALSE)*VLOOKUP(L47,$CK$4:$CM$27,3,FALSE)*($CM$2/2))/10000,RAND()))</f>
        <v>2</v>
      </c>
      <c r="O47" t="str">
        <f>Scores_and_Fixtures[[#This Row],[Away]]</f>
        <v>Middlesbrough</v>
      </c>
      <c r="U47" t="s">
        <v>116</v>
      </c>
      <c r="V47" t="s">
        <v>117</v>
      </c>
      <c r="W47" t="s">
        <v>110</v>
      </c>
      <c r="X47" t="s">
        <v>4</v>
      </c>
      <c r="Y47" t="s">
        <v>5</v>
      </c>
      <c r="Z47" t="s">
        <v>6</v>
      </c>
      <c r="AA47" t="s">
        <v>7</v>
      </c>
      <c r="AB47" t="s">
        <v>8</v>
      </c>
      <c r="AC47" t="s">
        <v>9</v>
      </c>
      <c r="AD47" t="s">
        <v>10</v>
      </c>
      <c r="AL47" t="s">
        <v>400</v>
      </c>
      <c r="AZ47" s="22"/>
      <c r="BE47" s="12"/>
      <c r="BU47" t="s">
        <v>392</v>
      </c>
      <c r="BV47">
        <f t="shared" si="2"/>
        <v>0.94421487603305787</v>
      </c>
      <c r="BW47">
        <f t="shared" si="3"/>
        <v>1.1921487603305785</v>
      </c>
    </row>
    <row r="48" spans="1:75" x14ac:dyDescent="0.25">
      <c r="A48">
        <v>4</v>
      </c>
      <c r="B48" t="s">
        <v>396</v>
      </c>
      <c r="C48">
        <v>2</v>
      </c>
      <c r="D48">
        <v>1</v>
      </c>
      <c r="E48" t="s">
        <v>393</v>
      </c>
      <c r="K48">
        <f>Scores_and_Fixtures[[#This Row],[Wk]]</f>
        <v>4</v>
      </c>
      <c r="L48" t="str">
        <f>Scores_and_Fixtures[[#This Row],[Home]]</f>
        <v>Southampton</v>
      </c>
      <c r="M48">
        <f ca="1">IF(ISBLANK(Scores_and_Fixtures[[#This Row],[Home Score]])=FALSE,Scores_and_Fixtures[[#This Row],[Home Score]],_xlfn.BINOM.INV(10000,(VLOOKUP(L48,$CK$4:$CM$27,2,FALSE)*VLOOKUP(O48,$CK$4:$CM$27,3,FALSE)*($CM$2/2))/10000,RAND()))</f>
        <v>2</v>
      </c>
      <c r="N48">
        <f ca="1">IF(ISBLANK(Scores_and_Fixtures[[#This Row],[Away Score]])=FALSE,Scores_and_Fixtures[[#This Row],[Away Score]],_xlfn.BINOM.INV(10000,(VLOOKUP(O48,$CK$4:$CM$27,2,FALSE)*VLOOKUP(L48,$CK$4:$CM$27,3,FALSE)*($CM$2/2))/10000,RAND()))</f>
        <v>1</v>
      </c>
      <c r="O48" t="str">
        <f>Scores_and_Fixtures[[#This Row],[Away]]</f>
        <v>QPR</v>
      </c>
      <c r="U48">
        <f ca="1">RANK(AI48,$AI$48:$AI$71)</f>
        <v>17</v>
      </c>
      <c r="V48" t="s">
        <v>378</v>
      </c>
      <c r="W48">
        <f t="shared" ref="W48:W71" si="4">SUMPRODUCT(($L$2:$L$381=V48)+($O$2:$O$381=V48))</f>
        <v>32</v>
      </c>
      <c r="X48">
        <f t="shared" ref="X48:X67" ca="1" si="5">SUMPRODUCT(((home_team=V48)*(home_score&gt;away_score))+((away_team=V48)*(away_score&gt;home_score)))</f>
        <v>9</v>
      </c>
      <c r="Y48">
        <f t="shared" ref="Y48:Y67" ca="1" si="6">SUMPRODUCT(((home_team=V48)*(home_score=away_score))+((away_team=V48)*(away_score=home_score)))</f>
        <v>11</v>
      </c>
      <c r="Z48">
        <f t="shared" ref="Z48:Z67" ca="1" si="7">SUMPRODUCT(((home_team=V48)*(home_score&lt;away_score))+((away_team=V48)*(away_score&lt;home_score)))</f>
        <v>12</v>
      </c>
      <c r="AA48">
        <f t="shared" ref="AA48:AA67" ca="1" si="8">SUMPRODUCT(((home_team=V48)*(home_score))+((away_team=V48)*(away_score)))</f>
        <v>36</v>
      </c>
      <c r="AB48">
        <f t="shared" ref="AB48:AB67" ca="1" si="9">SUMPRODUCT(((home_team=V48)*(away_score))+((away_team=V48)*(home_score)))</f>
        <v>40</v>
      </c>
      <c r="AC48">
        <f ca="1">SUMPRODUCT(((home_team=V48)*(home_score-away_score))+(away_team=V48)*(away_score-home_score))</f>
        <v>-4</v>
      </c>
      <c r="AD48">
        <f ca="1">(3*X48)+Y48</f>
        <v>38</v>
      </c>
      <c r="AF48">
        <f ca="1">_xlfn.RANK.EQ(AD48, $AD$48:$AD$71, 0)</f>
        <v>17</v>
      </c>
      <c r="AG48">
        <f ca="1">_xlfn.RANK.EQ(AC48, $AC$48:$AC$71, 0)</f>
        <v>16</v>
      </c>
      <c r="AH48">
        <f ca="1">_xlfn.RANK.EQ(AA48, $AA$48:$AA$71, 0)</f>
        <v>19</v>
      </c>
      <c r="AI48">
        <f t="shared" ref="AI48:AI49" ca="1" si="10">((21-AF48)*10000)+((21-AG48)*100)+(AH48*1)</f>
        <v>40519</v>
      </c>
      <c r="AL48" t="s">
        <v>401</v>
      </c>
      <c r="AZ48" s="22"/>
      <c r="BE48" s="12"/>
      <c r="BU48" t="s">
        <v>393</v>
      </c>
      <c r="BV48">
        <f t="shared" si="2"/>
        <v>0.74586776859504134</v>
      </c>
      <c r="BW48">
        <f t="shared" si="3"/>
        <v>1.0433884297520661</v>
      </c>
    </row>
    <row r="49" spans="1:75" x14ac:dyDescent="0.25">
      <c r="A49">
        <v>4</v>
      </c>
      <c r="B49" t="s">
        <v>400</v>
      </c>
      <c r="C49">
        <v>0</v>
      </c>
      <c r="D49">
        <v>1</v>
      </c>
      <c r="E49" t="s">
        <v>379</v>
      </c>
      <c r="K49">
        <f>Scores_and_Fixtures[[#This Row],[Wk]]</f>
        <v>4</v>
      </c>
      <c r="L49" t="str">
        <f>Scores_and_Fixtures[[#This Row],[Home]]</f>
        <v>Watford</v>
      </c>
      <c r="M49">
        <f ca="1">IF(ISBLANK(Scores_and_Fixtures[[#This Row],[Home Score]])=FALSE,Scores_and_Fixtures[[#This Row],[Home Score]],_xlfn.BINOM.INV(10000,(VLOOKUP(L49,$CK$4:$CM$27,2,FALSE)*VLOOKUP(O49,$CK$4:$CM$27,3,FALSE)*($CM$2/2))/10000,RAND()))</f>
        <v>0</v>
      </c>
      <c r="N49">
        <f ca="1">IF(ISBLANK(Scores_and_Fixtures[[#This Row],[Away Score]])=FALSE,Scores_and_Fixtures[[#This Row],[Away Score]],_xlfn.BINOM.INV(10000,(VLOOKUP(O49,$CK$4:$CM$27,2,FALSE)*VLOOKUP(L49,$CK$4:$CM$27,3,FALSE)*($CM$2/2))/10000,RAND()))</f>
        <v>1</v>
      </c>
      <c r="O49" t="str">
        <f>Scores_and_Fixtures[[#This Row],[Away]]</f>
        <v>Blackburn</v>
      </c>
      <c r="U49">
        <f t="shared" ref="U49:U71" ca="1" si="11">RANK(AI49,$AI$48:$AI$71)</f>
        <v>15</v>
      </c>
      <c r="V49" t="s">
        <v>379</v>
      </c>
      <c r="W49">
        <f t="shared" si="4"/>
        <v>32</v>
      </c>
      <c r="X49">
        <f t="shared" ca="1" si="5"/>
        <v>12</v>
      </c>
      <c r="Y49">
        <f t="shared" ca="1" si="6"/>
        <v>4</v>
      </c>
      <c r="Z49">
        <f t="shared" ca="1" si="7"/>
        <v>16</v>
      </c>
      <c r="AA49">
        <f t="shared" ca="1" si="8"/>
        <v>45</v>
      </c>
      <c r="AB49">
        <f t="shared" ca="1" si="9"/>
        <v>55</v>
      </c>
      <c r="AC49">
        <f t="shared" ref="AC49:AC67" ca="1" si="12">AA49-AB49</f>
        <v>-10</v>
      </c>
      <c r="AD49">
        <f t="shared" ref="AD49:AD71" ca="1" si="13">(3*X49)+Y49</f>
        <v>40</v>
      </c>
      <c r="AF49">
        <f ca="1">_xlfn.RANK.EQ(AD49, $AD$48:$AD$71, 0)</f>
        <v>14</v>
      </c>
      <c r="AG49">
        <f ca="1">_xlfn.RANK.EQ(AC49, $AC$48:$AC$71, 0)</f>
        <v>18</v>
      </c>
      <c r="AH49">
        <f ca="1">_xlfn.RANK.EQ(AA49, $AA$48:$AA$71, 0)</f>
        <v>11</v>
      </c>
      <c r="AI49">
        <f t="shared" ca="1" si="10"/>
        <v>70311</v>
      </c>
      <c r="AZ49" s="22"/>
      <c r="BE49" s="12"/>
      <c r="BU49" t="s">
        <v>394</v>
      </c>
      <c r="BV49">
        <f t="shared" si="2"/>
        <v>0.74586776859504134</v>
      </c>
      <c r="BW49">
        <f t="shared" si="3"/>
        <v>1.3409090909090908</v>
      </c>
    </row>
    <row r="50" spans="1:75" x14ac:dyDescent="0.25">
      <c r="A50">
        <v>5</v>
      </c>
      <c r="B50" t="s">
        <v>378</v>
      </c>
      <c r="C50">
        <v>1</v>
      </c>
      <c r="D50">
        <v>1</v>
      </c>
      <c r="E50" t="s">
        <v>389</v>
      </c>
      <c r="K50">
        <f>Scores_and_Fixtures[[#This Row],[Wk]]</f>
        <v>5</v>
      </c>
      <c r="L50" t="str">
        <f>Scores_and_Fixtures[[#This Row],[Home]]</f>
        <v>Birmingham City</v>
      </c>
      <c r="M50">
        <f ca="1">IF(ISBLANK(Scores_and_Fixtures[[#This Row],[Home Score]])=FALSE,Scores_and_Fixtures[[#This Row],[Home Score]],_xlfn.BINOM.INV(10000,(VLOOKUP(L50,$CK$4:$CM$27,2,FALSE)*VLOOKUP(O50,$CK$4:$CM$27,3,FALSE)*($CM$2/2))/10000,RAND()))</f>
        <v>1</v>
      </c>
      <c r="N50">
        <f ca="1">IF(ISBLANK(Scores_and_Fixtures[[#This Row],[Away Score]])=FALSE,Scores_and_Fixtures[[#This Row],[Away Score]],_xlfn.BINOM.INV(10000,(VLOOKUP(O50,$CK$4:$CM$27,2,FALSE)*VLOOKUP(L50,$CK$4:$CM$27,3,FALSE)*($CM$2/2))/10000,RAND()))</f>
        <v>1</v>
      </c>
      <c r="O50" t="str">
        <f>Scores_and_Fixtures[[#This Row],[Away]]</f>
        <v>Millwall</v>
      </c>
      <c r="U50">
        <f t="shared" ca="1" si="11"/>
        <v>13</v>
      </c>
      <c r="V50" t="s">
        <v>380</v>
      </c>
      <c r="W50">
        <f t="shared" si="4"/>
        <v>32</v>
      </c>
      <c r="X50">
        <f t="shared" ca="1" si="5"/>
        <v>12</v>
      </c>
      <c r="Y50">
        <f t="shared" ca="1" si="6"/>
        <v>7</v>
      </c>
      <c r="Z50">
        <f t="shared" ca="1" si="7"/>
        <v>13</v>
      </c>
      <c r="AA50">
        <f t="shared" ca="1" si="8"/>
        <v>32</v>
      </c>
      <c r="AB50">
        <f t="shared" ca="1" si="9"/>
        <v>34</v>
      </c>
      <c r="AC50">
        <f t="shared" ca="1" si="12"/>
        <v>-2</v>
      </c>
      <c r="AD50">
        <f t="shared" ca="1" si="13"/>
        <v>43</v>
      </c>
      <c r="AF50">
        <f t="shared" ref="AF50:AF71" ca="1" si="14">_xlfn.RANK.EQ(AD50, $AD$48:$AD$71, 0)</f>
        <v>12</v>
      </c>
      <c r="AG50">
        <f t="shared" ref="AG50:AG71" ca="1" si="15">_xlfn.RANK.EQ(AC50, $AC$48:$AC$71, 0)</f>
        <v>14</v>
      </c>
      <c r="AH50">
        <f t="shared" ref="AH50:AH71" ca="1" si="16">_xlfn.RANK.EQ(AA50, $AA$48:$AA$71, 0)</f>
        <v>20</v>
      </c>
      <c r="AI50">
        <f t="shared" ref="AI50:AI71" ca="1" si="17">((21-AF50)*10000)+((21-AG50)*100)+(AH50*1)</f>
        <v>90720</v>
      </c>
      <c r="AZ50" s="22"/>
      <c r="BE50" s="12"/>
      <c r="BU50" t="s">
        <v>395</v>
      </c>
      <c r="BV50">
        <f t="shared" si="2"/>
        <v>0.64669421487603307</v>
      </c>
      <c r="BW50">
        <f t="shared" si="3"/>
        <v>1.1177685950413223</v>
      </c>
    </row>
    <row r="51" spans="1:75" x14ac:dyDescent="0.25">
      <c r="A51">
        <v>5</v>
      </c>
      <c r="B51" t="s">
        <v>399</v>
      </c>
      <c r="C51">
        <v>1</v>
      </c>
      <c r="D51">
        <v>2</v>
      </c>
      <c r="E51" t="s">
        <v>380</v>
      </c>
      <c r="K51">
        <f>Scores_and_Fixtures[[#This Row],[Wk]]</f>
        <v>5</v>
      </c>
      <c r="L51" t="str">
        <f>Scores_and_Fixtures[[#This Row],[Home]]</f>
        <v>Swansea City</v>
      </c>
      <c r="M51">
        <f ca="1">IF(ISBLANK(Scores_and_Fixtures[[#This Row],[Home Score]])=FALSE,Scores_and_Fixtures[[#This Row],[Home Score]],_xlfn.BINOM.INV(10000,(VLOOKUP(L51,$CK$4:$CM$27,2,FALSE)*VLOOKUP(O51,$CK$4:$CM$27,3,FALSE)*($CM$2/2))/10000,RAND()))</f>
        <v>1</v>
      </c>
      <c r="N51">
        <f ca="1">IF(ISBLANK(Scores_and_Fixtures[[#This Row],[Away Score]])=FALSE,Scores_and_Fixtures[[#This Row],[Away Score]],_xlfn.BINOM.INV(10000,(VLOOKUP(O51,$CK$4:$CM$27,2,FALSE)*VLOOKUP(L51,$CK$4:$CM$27,3,FALSE)*($CM$2/2))/10000,RAND()))</f>
        <v>2</v>
      </c>
      <c r="O51" t="str">
        <f>Scores_and_Fixtures[[#This Row],[Away]]</f>
        <v>Bristol City</v>
      </c>
      <c r="U51">
        <f t="shared" ca="1" si="11"/>
        <v>9</v>
      </c>
      <c r="V51" t="s">
        <v>381</v>
      </c>
      <c r="W51">
        <f t="shared" si="4"/>
        <v>31</v>
      </c>
      <c r="X51">
        <f t="shared" ca="1" si="5"/>
        <v>14</v>
      </c>
      <c r="Y51">
        <f t="shared" ca="1" si="6"/>
        <v>4</v>
      </c>
      <c r="Z51">
        <f t="shared" ca="1" si="7"/>
        <v>13</v>
      </c>
      <c r="AA51">
        <f t="shared" ca="1" si="8"/>
        <v>40</v>
      </c>
      <c r="AB51">
        <f t="shared" ca="1" si="9"/>
        <v>33</v>
      </c>
      <c r="AC51">
        <f t="shared" ca="1" si="12"/>
        <v>7</v>
      </c>
      <c r="AD51">
        <f t="shared" ca="1" si="13"/>
        <v>46</v>
      </c>
      <c r="AF51">
        <f t="shared" ca="1" si="14"/>
        <v>9</v>
      </c>
      <c r="AG51">
        <f t="shared" ca="1" si="15"/>
        <v>7</v>
      </c>
      <c r="AH51">
        <f t="shared" ca="1" si="16"/>
        <v>15</v>
      </c>
      <c r="AI51">
        <f t="shared" ca="1" si="17"/>
        <v>121415</v>
      </c>
      <c r="AZ51" s="22"/>
      <c r="BE51" s="12"/>
      <c r="BU51" t="s">
        <v>396</v>
      </c>
      <c r="BV51">
        <f t="shared" si="2"/>
        <v>1.1673553719008265</v>
      </c>
      <c r="BW51">
        <f t="shared" si="3"/>
        <v>0.96900826446280985</v>
      </c>
    </row>
    <row r="52" spans="1:75" x14ac:dyDescent="0.25">
      <c r="A52">
        <v>5</v>
      </c>
      <c r="B52" t="s">
        <v>398</v>
      </c>
      <c r="C52">
        <v>5</v>
      </c>
      <c r="D52">
        <v>0</v>
      </c>
      <c r="E52" t="s">
        <v>396</v>
      </c>
      <c r="K52">
        <f>Scores_and_Fixtures[[#This Row],[Wk]]</f>
        <v>5</v>
      </c>
      <c r="L52" t="str">
        <f>Scores_and_Fixtures[[#This Row],[Home]]</f>
        <v>Sunderland</v>
      </c>
      <c r="M52">
        <f ca="1">IF(ISBLANK(Scores_and_Fixtures[[#This Row],[Home Score]])=FALSE,Scores_and_Fixtures[[#This Row],[Home Score]],_xlfn.BINOM.INV(10000,(VLOOKUP(L52,$CK$4:$CM$27,2,FALSE)*VLOOKUP(O52,$CK$4:$CM$27,3,FALSE)*($CM$2/2))/10000,RAND()))</f>
        <v>5</v>
      </c>
      <c r="N52">
        <f ca="1">IF(ISBLANK(Scores_and_Fixtures[[#This Row],[Away Score]])=FALSE,Scores_and_Fixtures[[#This Row],[Away Score]],_xlfn.BINOM.INV(10000,(VLOOKUP(O52,$CK$4:$CM$27,2,FALSE)*VLOOKUP(L52,$CK$4:$CM$27,3,FALSE)*($CM$2/2))/10000,RAND()))</f>
        <v>0</v>
      </c>
      <c r="O52" t="str">
        <f>Scores_and_Fixtures[[#This Row],[Away]]</f>
        <v>Southampton</v>
      </c>
      <c r="U52">
        <f t="shared" ca="1" si="11"/>
        <v>19</v>
      </c>
      <c r="V52" t="s">
        <v>382</v>
      </c>
      <c r="W52">
        <f t="shared" si="4"/>
        <v>31</v>
      </c>
      <c r="X52">
        <f t="shared" ca="1" si="5"/>
        <v>8</v>
      </c>
      <c r="Y52">
        <f t="shared" ca="1" si="6"/>
        <v>11</v>
      </c>
      <c r="Z52">
        <f t="shared" ca="1" si="7"/>
        <v>12</v>
      </c>
      <c r="AA52">
        <f t="shared" ca="1" si="8"/>
        <v>38</v>
      </c>
      <c r="AB52">
        <f t="shared" ca="1" si="9"/>
        <v>39</v>
      </c>
      <c r="AC52">
        <f t="shared" ca="1" si="12"/>
        <v>-1</v>
      </c>
      <c r="AD52">
        <f t="shared" ca="1" si="13"/>
        <v>35</v>
      </c>
      <c r="AF52">
        <f t="shared" ca="1" si="14"/>
        <v>19</v>
      </c>
      <c r="AG52">
        <f t="shared" ca="1" si="15"/>
        <v>12</v>
      </c>
      <c r="AH52">
        <f t="shared" ca="1" si="16"/>
        <v>17</v>
      </c>
      <c r="AI52">
        <f t="shared" ca="1" si="17"/>
        <v>20917</v>
      </c>
      <c r="AZ52" s="22"/>
      <c r="BE52" s="12"/>
      <c r="BU52" t="s">
        <v>397</v>
      </c>
      <c r="BV52">
        <f t="shared" si="2"/>
        <v>0.77066115702479343</v>
      </c>
      <c r="BW52">
        <f t="shared" si="3"/>
        <v>0.99380165289256195</v>
      </c>
    </row>
    <row r="53" spans="1:75" x14ac:dyDescent="0.25">
      <c r="A53">
        <v>5</v>
      </c>
      <c r="B53" t="s">
        <v>382</v>
      </c>
      <c r="C53">
        <v>3</v>
      </c>
      <c r="D53">
        <v>3</v>
      </c>
      <c r="E53" t="s">
        <v>400</v>
      </c>
      <c r="K53">
        <f>Scores_and_Fixtures[[#This Row],[Wk]]</f>
        <v>5</v>
      </c>
      <c r="L53" t="str">
        <f>Scores_and_Fixtures[[#This Row],[Home]]</f>
        <v>Coventry City</v>
      </c>
      <c r="M53">
        <f ca="1">IF(ISBLANK(Scores_and_Fixtures[[#This Row],[Home Score]])=FALSE,Scores_and_Fixtures[[#This Row],[Home Score]],_xlfn.BINOM.INV(10000,(VLOOKUP(L53,$CK$4:$CM$27,2,FALSE)*VLOOKUP(O53,$CK$4:$CM$27,3,FALSE)*($CM$2/2))/10000,RAND()))</f>
        <v>3</v>
      </c>
      <c r="N53">
        <f ca="1">IF(ISBLANK(Scores_and_Fixtures[[#This Row],[Away Score]])=FALSE,Scores_and_Fixtures[[#This Row],[Away Score]],_xlfn.BINOM.INV(10000,(VLOOKUP(O53,$CK$4:$CM$27,2,FALSE)*VLOOKUP(L53,$CK$4:$CM$27,3,FALSE)*($CM$2/2))/10000,RAND()))</f>
        <v>3</v>
      </c>
      <c r="O53" t="str">
        <f>Scores_and_Fixtures[[#This Row],[Away]]</f>
        <v>Watford</v>
      </c>
      <c r="U53">
        <f t="shared" ca="1" si="11"/>
        <v>22</v>
      </c>
      <c r="V53" t="s">
        <v>383</v>
      </c>
      <c r="W53">
        <f t="shared" si="4"/>
        <v>31</v>
      </c>
      <c r="X53">
        <f t="shared" ca="1" si="5"/>
        <v>5</v>
      </c>
      <c r="Y53">
        <f t="shared" ca="1" si="6"/>
        <v>12</v>
      </c>
      <c r="Z53">
        <f t="shared" ca="1" si="7"/>
        <v>14</v>
      </c>
      <c r="AA53">
        <f t="shared" ca="1" si="8"/>
        <v>26</v>
      </c>
      <c r="AB53">
        <f t="shared" ca="1" si="9"/>
        <v>53</v>
      </c>
      <c r="AC53">
        <f t="shared" ca="1" si="12"/>
        <v>-27</v>
      </c>
      <c r="AD53">
        <f t="shared" ca="1" si="13"/>
        <v>27</v>
      </c>
      <c r="AF53">
        <f t="shared" ca="1" si="14"/>
        <v>22</v>
      </c>
      <c r="AG53">
        <f t="shared" ca="1" si="15"/>
        <v>22</v>
      </c>
      <c r="AH53">
        <f t="shared" ca="1" si="16"/>
        <v>21</v>
      </c>
      <c r="AI53">
        <f t="shared" ca="1" si="17"/>
        <v>-10079</v>
      </c>
      <c r="AS53" s="23" t="s">
        <v>279</v>
      </c>
      <c r="AT53" s="23"/>
      <c r="AU53" s="23">
        <f t="shared" ref="AU53:BG53" si="18">CORREL(AU27:AU46,$AT$27:$AT$46)</f>
        <v>0.85361755704680542</v>
      </c>
      <c r="AV53" s="23">
        <f t="shared" si="18"/>
        <v>-0.62335579671066765</v>
      </c>
      <c r="AW53" s="23">
        <f t="shared" si="18"/>
        <v>0.75181238394708727</v>
      </c>
      <c r="AX53" s="23">
        <f t="shared" si="18"/>
        <v>-0.69924034925889933</v>
      </c>
      <c r="AY53" s="23">
        <f t="shared" si="18"/>
        <v>-7.6031956320076394E-2</v>
      </c>
      <c r="AZ53" s="23">
        <f t="shared" si="18"/>
        <v>-0.26516457404581489</v>
      </c>
      <c r="BA53" s="23">
        <f t="shared" si="18"/>
        <v>-5.4132267181673313E-2</v>
      </c>
      <c r="BB53" s="23">
        <f t="shared" si="18"/>
        <v>0.29845833218230072</v>
      </c>
      <c r="BC53" s="23">
        <f t="shared" si="18"/>
        <v>0.33121886203449363</v>
      </c>
      <c r="BD53" s="23">
        <f t="shared" si="18"/>
        <v>0.4659530124289516</v>
      </c>
      <c r="BE53" s="23">
        <f t="shared" si="18"/>
        <v>-0.11938685197143084</v>
      </c>
      <c r="BF53" s="23">
        <f t="shared" si="18"/>
        <v>0.453952828764006</v>
      </c>
      <c r="BG53" s="23">
        <f t="shared" si="18"/>
        <v>0.1716298191835427</v>
      </c>
      <c r="BU53" t="s">
        <v>398</v>
      </c>
      <c r="BV53">
        <f t="shared" si="2"/>
        <v>1.0433884297520661</v>
      </c>
      <c r="BW53">
        <f t="shared" si="3"/>
        <v>0.84504132231404949</v>
      </c>
    </row>
    <row r="54" spans="1:75" x14ac:dyDescent="0.25">
      <c r="A54">
        <v>5</v>
      </c>
      <c r="B54" t="s">
        <v>394</v>
      </c>
      <c r="C54">
        <v>2</v>
      </c>
      <c r="D54">
        <v>1</v>
      </c>
      <c r="E54" t="s">
        <v>390</v>
      </c>
      <c r="K54">
        <f>Scores_and_Fixtures[[#This Row],[Wk]]</f>
        <v>5</v>
      </c>
      <c r="L54" t="str">
        <f>Scores_and_Fixtures[[#This Row],[Home]]</f>
        <v>Rotherham Utd</v>
      </c>
      <c r="M54">
        <f ca="1">IF(ISBLANK(Scores_and_Fixtures[[#This Row],[Home Score]])=FALSE,Scores_and_Fixtures[[#This Row],[Home Score]],_xlfn.BINOM.INV(10000,(VLOOKUP(L54,$CK$4:$CM$27,2,FALSE)*VLOOKUP(O54,$CK$4:$CM$27,3,FALSE)*($CM$2/2))/10000,RAND()))</f>
        <v>2</v>
      </c>
      <c r="N54">
        <f ca="1">IF(ISBLANK(Scores_and_Fixtures[[#This Row],[Away Score]])=FALSE,Scores_and_Fixtures[[#This Row],[Away Score]],_xlfn.BINOM.INV(10000,(VLOOKUP(O54,$CK$4:$CM$27,2,FALSE)*VLOOKUP(L54,$CK$4:$CM$27,3,FALSE)*($CM$2/2))/10000,RAND()))</f>
        <v>1</v>
      </c>
      <c r="O54" t="str">
        <f>Scores_and_Fixtures[[#This Row],[Away]]</f>
        <v>Norwich City</v>
      </c>
      <c r="U54">
        <f t="shared" ca="1" si="11"/>
        <v>6</v>
      </c>
      <c r="V54" t="s">
        <v>384</v>
      </c>
      <c r="W54">
        <f t="shared" si="4"/>
        <v>32</v>
      </c>
      <c r="X54">
        <f t="shared" ca="1" si="5"/>
        <v>13</v>
      </c>
      <c r="Y54">
        <f t="shared" ca="1" si="6"/>
        <v>12</v>
      </c>
      <c r="Z54">
        <f t="shared" ca="1" si="7"/>
        <v>7</v>
      </c>
      <c r="AA54">
        <f t="shared" ca="1" si="8"/>
        <v>54</v>
      </c>
      <c r="AB54">
        <f t="shared" ca="1" si="9"/>
        <v>38</v>
      </c>
      <c r="AC54">
        <f t="shared" ca="1" si="12"/>
        <v>16</v>
      </c>
      <c r="AD54">
        <f t="shared" ca="1" si="13"/>
        <v>51</v>
      </c>
      <c r="AF54">
        <f t="shared" ca="1" si="14"/>
        <v>6</v>
      </c>
      <c r="AG54">
        <f t="shared" ca="1" si="15"/>
        <v>5</v>
      </c>
      <c r="AH54">
        <f t="shared" ca="1" si="16"/>
        <v>5</v>
      </c>
      <c r="AI54">
        <f t="shared" ca="1" si="17"/>
        <v>151605</v>
      </c>
      <c r="AS54" t="s">
        <v>284</v>
      </c>
      <c r="AU54">
        <f>AU53/(SUM($AU$53,$AW$53))</f>
        <v>0.53170651378181366</v>
      </c>
      <c r="AW54">
        <f t="shared" ref="AW54" si="19">AW53/(SUM($AU$53,$AW$53))</f>
        <v>0.46829348621818639</v>
      </c>
      <c r="BU54" t="s">
        <v>399</v>
      </c>
      <c r="BV54">
        <f t="shared" si="2"/>
        <v>0.99380165289256195</v>
      </c>
      <c r="BW54">
        <f t="shared" si="3"/>
        <v>1.0185950413223142</v>
      </c>
    </row>
    <row r="55" spans="1:75" x14ac:dyDescent="0.25">
      <c r="A55">
        <v>5</v>
      </c>
      <c r="B55" t="s">
        <v>385</v>
      </c>
      <c r="C55">
        <v>3</v>
      </c>
      <c r="D55">
        <v>2</v>
      </c>
      <c r="E55" t="s">
        <v>381</v>
      </c>
      <c r="K55">
        <f>Scores_and_Fixtures[[#This Row],[Wk]]</f>
        <v>5</v>
      </c>
      <c r="L55" t="str">
        <f>Scores_and_Fixtures[[#This Row],[Home]]</f>
        <v>Ipswich Town</v>
      </c>
      <c r="M55">
        <f ca="1">IF(ISBLANK(Scores_and_Fixtures[[#This Row],[Home Score]])=FALSE,Scores_and_Fixtures[[#This Row],[Home Score]],_xlfn.BINOM.INV(10000,(VLOOKUP(L55,$CK$4:$CM$27,2,FALSE)*VLOOKUP(O55,$CK$4:$CM$27,3,FALSE)*($CM$2/2))/10000,RAND()))</f>
        <v>3</v>
      </c>
      <c r="N55">
        <f ca="1">IF(ISBLANK(Scores_and_Fixtures[[#This Row],[Away Score]])=FALSE,Scores_and_Fixtures[[#This Row],[Away Score]],_xlfn.BINOM.INV(10000,(VLOOKUP(O55,$CK$4:$CM$27,2,FALSE)*VLOOKUP(L55,$CK$4:$CM$27,3,FALSE)*($CM$2/2))/10000,RAND()))</f>
        <v>2</v>
      </c>
      <c r="O55" t="str">
        <f>Scores_and_Fixtures[[#This Row],[Away]]</f>
        <v>Cardiff City</v>
      </c>
      <c r="U55">
        <f t="shared" ca="1" si="11"/>
        <v>2</v>
      </c>
      <c r="V55" t="s">
        <v>385</v>
      </c>
      <c r="W55">
        <f t="shared" si="4"/>
        <v>32</v>
      </c>
      <c r="X55">
        <f t="shared" ca="1" si="5"/>
        <v>21</v>
      </c>
      <c r="Y55">
        <f t="shared" ca="1" si="6"/>
        <v>8</v>
      </c>
      <c r="Z55">
        <f t="shared" ca="1" si="7"/>
        <v>3</v>
      </c>
      <c r="AA55">
        <f t="shared" ca="1" si="8"/>
        <v>71</v>
      </c>
      <c r="AB55">
        <f t="shared" ca="1" si="9"/>
        <v>41</v>
      </c>
      <c r="AC55">
        <f t="shared" ca="1" si="12"/>
        <v>30</v>
      </c>
      <c r="AD55">
        <f t="shared" ca="1" si="13"/>
        <v>71</v>
      </c>
      <c r="AF55">
        <f t="shared" ca="1" si="14"/>
        <v>2</v>
      </c>
      <c r="AG55">
        <f t="shared" ca="1" si="15"/>
        <v>3</v>
      </c>
      <c r="AH55">
        <f t="shared" ca="1" si="16"/>
        <v>1</v>
      </c>
      <c r="AI55">
        <f t="shared" ca="1" si="17"/>
        <v>191801</v>
      </c>
      <c r="AS55" t="s">
        <v>283</v>
      </c>
      <c r="AV55">
        <f>AV53/SUM($AV$53,$AX$53,$BB$53:$BG$53)</f>
        <v>-2.2324109756174257</v>
      </c>
      <c r="AX55">
        <f t="shared" ref="AX55:BG55" si="20">AX53/SUM($AV$53,$AX$53,$BB$53:$BG$53)</f>
        <v>-2.5041747241578434</v>
      </c>
      <c r="BB55">
        <f t="shared" si="20"/>
        <v>1.0688625341162845</v>
      </c>
      <c r="BC55">
        <f t="shared" si="20"/>
        <v>1.1861871291469193</v>
      </c>
      <c r="BD55">
        <f t="shared" si="20"/>
        <v>1.6687077020175773</v>
      </c>
      <c r="BE55">
        <f t="shared" si="20"/>
        <v>-0.42755761651983382</v>
      </c>
      <c r="BF55">
        <f t="shared" si="20"/>
        <v>1.6257316971991225</v>
      </c>
      <c r="BG55">
        <f t="shared" si="20"/>
        <v>0.6146542538152</v>
      </c>
      <c r="BU55" t="s">
        <v>400</v>
      </c>
      <c r="BV55">
        <f t="shared" si="2"/>
        <v>1.1177685950413223</v>
      </c>
      <c r="BW55">
        <f t="shared" si="3"/>
        <v>0.91942148760330578</v>
      </c>
    </row>
    <row r="56" spans="1:75" x14ac:dyDescent="0.25">
      <c r="A56">
        <v>5</v>
      </c>
      <c r="B56" t="s">
        <v>387</v>
      </c>
      <c r="C56">
        <v>0</v>
      </c>
      <c r="D56">
        <v>1</v>
      </c>
      <c r="E56" t="s">
        <v>384</v>
      </c>
      <c r="K56">
        <f>Scores_and_Fixtures[[#This Row],[Wk]]</f>
        <v>5</v>
      </c>
      <c r="L56" t="str">
        <f>Scores_and_Fixtures[[#This Row],[Home]]</f>
        <v>Leicester City</v>
      </c>
      <c r="M56">
        <f ca="1">IF(ISBLANK(Scores_and_Fixtures[[#This Row],[Home Score]])=FALSE,Scores_and_Fixtures[[#This Row],[Home Score]],_xlfn.BINOM.INV(10000,(VLOOKUP(L56,$CK$4:$CM$27,2,FALSE)*VLOOKUP(O56,$CK$4:$CM$27,3,FALSE)*($CM$2/2))/10000,RAND()))</f>
        <v>0</v>
      </c>
      <c r="N56">
        <f ca="1">IF(ISBLANK(Scores_and_Fixtures[[#This Row],[Away Score]])=FALSE,Scores_and_Fixtures[[#This Row],[Away Score]],_xlfn.BINOM.INV(10000,(VLOOKUP(O56,$CK$4:$CM$27,2,FALSE)*VLOOKUP(L56,$CK$4:$CM$27,3,FALSE)*($CM$2/2))/10000,RAND()))</f>
        <v>1</v>
      </c>
      <c r="O56" t="str">
        <f>Scores_and_Fixtures[[#This Row],[Away]]</f>
        <v>Hull City</v>
      </c>
      <c r="U56">
        <f t="shared" ca="1" si="11"/>
        <v>3</v>
      </c>
      <c r="V56" t="s">
        <v>386</v>
      </c>
      <c r="W56">
        <f t="shared" si="4"/>
        <v>32</v>
      </c>
      <c r="X56">
        <f t="shared" ca="1" si="5"/>
        <v>17</v>
      </c>
      <c r="Y56">
        <f t="shared" ca="1" si="6"/>
        <v>9</v>
      </c>
      <c r="Z56">
        <f t="shared" ca="1" si="7"/>
        <v>6</v>
      </c>
      <c r="AA56">
        <f t="shared" ca="1" si="8"/>
        <v>53</v>
      </c>
      <c r="AB56">
        <f t="shared" ca="1" si="9"/>
        <v>36</v>
      </c>
      <c r="AC56">
        <f t="shared" ca="1" si="12"/>
        <v>17</v>
      </c>
      <c r="AD56">
        <f t="shared" ca="1" si="13"/>
        <v>60</v>
      </c>
      <c r="AF56">
        <f t="shared" ca="1" si="14"/>
        <v>3</v>
      </c>
      <c r="AG56">
        <f t="shared" ca="1" si="15"/>
        <v>4</v>
      </c>
      <c r="AH56">
        <f t="shared" ca="1" si="16"/>
        <v>7</v>
      </c>
      <c r="AI56">
        <f t="shared" ca="1" si="17"/>
        <v>181707</v>
      </c>
      <c r="BU56" t="s">
        <v>401</v>
      </c>
      <c r="BV56">
        <f t="shared" si="2"/>
        <v>1.0929752066115703</v>
      </c>
      <c r="BW56">
        <f t="shared" si="3"/>
        <v>0.79545454545454541</v>
      </c>
    </row>
    <row r="57" spans="1:75" x14ac:dyDescent="0.25">
      <c r="A57">
        <v>5</v>
      </c>
      <c r="B57" t="s">
        <v>391</v>
      </c>
      <c r="C57">
        <v>3</v>
      </c>
      <c r="D57">
        <v>0</v>
      </c>
      <c r="E57" t="s">
        <v>379</v>
      </c>
      <c r="K57">
        <f>Scores_and_Fixtures[[#This Row],[Wk]]</f>
        <v>5</v>
      </c>
      <c r="L57" t="str">
        <f>Scores_and_Fixtures[[#This Row],[Home]]</f>
        <v>Plymouth Argyle</v>
      </c>
      <c r="M57">
        <f ca="1">IF(ISBLANK(Scores_and_Fixtures[[#This Row],[Home Score]])=FALSE,Scores_and_Fixtures[[#This Row],[Home Score]],_xlfn.BINOM.INV(10000,(VLOOKUP(L57,$CK$4:$CM$27,2,FALSE)*VLOOKUP(O57,$CK$4:$CM$27,3,FALSE)*($CM$2/2))/10000,RAND()))</f>
        <v>3</v>
      </c>
      <c r="N57">
        <f ca="1">IF(ISBLANK(Scores_and_Fixtures[[#This Row],[Away Score]])=FALSE,Scores_and_Fixtures[[#This Row],[Away Score]],_xlfn.BINOM.INV(10000,(VLOOKUP(O57,$CK$4:$CM$27,2,FALSE)*VLOOKUP(L57,$CK$4:$CM$27,3,FALSE)*($CM$2/2))/10000,RAND()))</f>
        <v>0</v>
      </c>
      <c r="O57" t="str">
        <f>Scores_and_Fixtures[[#This Row],[Away]]</f>
        <v>Blackburn</v>
      </c>
      <c r="U57">
        <f t="shared" ca="1" si="11"/>
        <v>1</v>
      </c>
      <c r="V57" t="s">
        <v>387</v>
      </c>
      <c r="W57">
        <f t="shared" si="4"/>
        <v>32</v>
      </c>
      <c r="X57">
        <f t="shared" ca="1" si="5"/>
        <v>26</v>
      </c>
      <c r="Y57">
        <f t="shared" ca="1" si="6"/>
        <v>3</v>
      </c>
      <c r="Z57">
        <f t="shared" ca="1" si="7"/>
        <v>3</v>
      </c>
      <c r="AA57">
        <f t="shared" ca="1" si="8"/>
        <v>62</v>
      </c>
      <c r="AB57">
        <f t="shared" ca="1" si="9"/>
        <v>20</v>
      </c>
      <c r="AC57">
        <f t="shared" ca="1" si="12"/>
        <v>42</v>
      </c>
      <c r="AD57">
        <f t="shared" ca="1" si="13"/>
        <v>81</v>
      </c>
      <c r="AF57">
        <f t="shared" ca="1" si="14"/>
        <v>1</v>
      </c>
      <c r="AG57">
        <f t="shared" ca="1" si="15"/>
        <v>1</v>
      </c>
      <c r="AH57">
        <f t="shared" ca="1" si="16"/>
        <v>2</v>
      </c>
      <c r="AI57">
        <f t="shared" ca="1" si="17"/>
        <v>202002</v>
      </c>
      <c r="AT57" t="s">
        <v>118</v>
      </c>
      <c r="AU57" t="s">
        <v>12</v>
      </c>
      <c r="AV57" t="s">
        <v>124</v>
      </c>
      <c r="AW57" t="s">
        <v>125</v>
      </c>
      <c r="AX57" t="s">
        <v>132</v>
      </c>
      <c r="AY57" t="s">
        <v>114</v>
      </c>
      <c r="AZ57" t="s">
        <v>127</v>
      </c>
    </row>
    <row r="58" spans="1:75" x14ac:dyDescent="0.25">
      <c r="A58">
        <v>5</v>
      </c>
      <c r="B58" t="s">
        <v>401</v>
      </c>
      <c r="C58">
        <v>1</v>
      </c>
      <c r="D58">
        <v>2</v>
      </c>
      <c r="E58" t="s">
        <v>383</v>
      </c>
      <c r="K58">
        <f>Scores_and_Fixtures[[#This Row],[Wk]]</f>
        <v>5</v>
      </c>
      <c r="L58" t="str">
        <f>Scores_and_Fixtures[[#This Row],[Home]]</f>
        <v>West Brom</v>
      </c>
      <c r="M58">
        <f ca="1">IF(ISBLANK(Scores_and_Fixtures[[#This Row],[Home Score]])=FALSE,Scores_and_Fixtures[[#This Row],[Home Score]],_xlfn.BINOM.INV(10000,(VLOOKUP(L58,$CK$4:$CM$27,2,FALSE)*VLOOKUP(O58,$CK$4:$CM$27,3,FALSE)*($CM$2/2))/10000,RAND()))</f>
        <v>1</v>
      </c>
      <c r="N58">
        <f ca="1">IF(ISBLANK(Scores_and_Fixtures[[#This Row],[Away Score]])=FALSE,Scores_and_Fixtures[[#This Row],[Away Score]],_xlfn.BINOM.INV(10000,(VLOOKUP(O58,$CK$4:$CM$27,2,FALSE)*VLOOKUP(L58,$CK$4:$CM$27,3,FALSE)*($CM$2/2))/10000,RAND()))</f>
        <v>2</v>
      </c>
      <c r="O58" t="str">
        <f>Scores_and_Fixtures[[#This Row],[Away]]</f>
        <v>Huddersfield</v>
      </c>
      <c r="U58">
        <f t="shared" ca="1" si="11"/>
        <v>8</v>
      </c>
      <c r="V58" t="s">
        <v>388</v>
      </c>
      <c r="W58">
        <f t="shared" si="4"/>
        <v>32</v>
      </c>
      <c r="X58">
        <f t="shared" ca="1" si="5"/>
        <v>14</v>
      </c>
      <c r="Y58">
        <f t="shared" ca="1" si="6"/>
        <v>5</v>
      </c>
      <c r="Z58">
        <f t="shared" ca="1" si="7"/>
        <v>13</v>
      </c>
      <c r="AA58">
        <f t="shared" ca="1" si="8"/>
        <v>54</v>
      </c>
      <c r="AB58">
        <f t="shared" ca="1" si="9"/>
        <v>54</v>
      </c>
      <c r="AC58">
        <f t="shared" ca="1" si="12"/>
        <v>0</v>
      </c>
      <c r="AD58">
        <f t="shared" ca="1" si="13"/>
        <v>47</v>
      </c>
      <c r="AF58">
        <f t="shared" ca="1" si="14"/>
        <v>8</v>
      </c>
      <c r="AG58">
        <f t="shared" ca="1" si="15"/>
        <v>11</v>
      </c>
      <c r="AH58">
        <f t="shared" ca="1" si="16"/>
        <v>5</v>
      </c>
      <c r="AI58">
        <f t="shared" ca="1" si="17"/>
        <v>131005</v>
      </c>
      <c r="AT58">
        <f t="shared" ref="AT58:AT77" si="21">AU27</f>
        <v>2</v>
      </c>
      <c r="AU58">
        <f t="shared" ref="AU58:AU77" si="22">AW27</f>
        <v>1.8136363636363635</v>
      </c>
      <c r="AV58">
        <v>2</v>
      </c>
      <c r="AW58">
        <v>0.11</v>
      </c>
      <c r="AX58">
        <v>91.233333333333334</v>
      </c>
      <c r="AY58">
        <f>'Attacking Stats'!I2</f>
        <v>3.91</v>
      </c>
      <c r="AZ58">
        <f>'Attacking Stats'!M2</f>
        <v>9.0842490842490839E-2</v>
      </c>
    </row>
    <row r="59" spans="1:75" x14ac:dyDescent="0.25">
      <c r="A59">
        <v>5</v>
      </c>
      <c r="B59" t="s">
        <v>397</v>
      </c>
      <c r="C59">
        <v>0</v>
      </c>
      <c r="D59">
        <v>2</v>
      </c>
      <c r="E59" t="s">
        <v>392</v>
      </c>
      <c r="K59">
        <f>Scores_and_Fixtures[[#This Row],[Wk]]</f>
        <v>5</v>
      </c>
      <c r="L59" t="str">
        <f>Scores_and_Fixtures[[#This Row],[Home]]</f>
        <v>Stoke City</v>
      </c>
      <c r="M59">
        <f ca="1">IF(ISBLANK(Scores_and_Fixtures[[#This Row],[Home Score]])=FALSE,Scores_and_Fixtures[[#This Row],[Home Score]],_xlfn.BINOM.INV(10000,(VLOOKUP(L59,$CK$4:$CM$27,2,FALSE)*VLOOKUP(O59,$CK$4:$CM$27,3,FALSE)*($CM$2/2))/10000,RAND()))</f>
        <v>0</v>
      </c>
      <c r="N59">
        <f ca="1">IF(ISBLANK(Scores_and_Fixtures[[#This Row],[Away Score]])=FALSE,Scores_and_Fixtures[[#This Row],[Away Score]],_xlfn.BINOM.INV(10000,(VLOOKUP(O59,$CK$4:$CM$27,2,FALSE)*VLOOKUP(L59,$CK$4:$CM$27,3,FALSE)*($CM$2/2))/10000,RAND()))</f>
        <v>2</v>
      </c>
      <c r="O59" t="str">
        <f>Scores_and_Fixtures[[#This Row],[Away]]</f>
        <v>Preston</v>
      </c>
      <c r="U59">
        <f t="shared" ca="1" si="11"/>
        <v>18</v>
      </c>
      <c r="V59" t="s">
        <v>389</v>
      </c>
      <c r="W59">
        <f t="shared" si="4"/>
        <v>32</v>
      </c>
      <c r="X59">
        <f t="shared" ca="1" si="5"/>
        <v>9</v>
      </c>
      <c r="Y59">
        <f t="shared" ca="1" si="6"/>
        <v>10</v>
      </c>
      <c r="Z59">
        <f t="shared" ca="1" si="7"/>
        <v>13</v>
      </c>
      <c r="AA59">
        <f t="shared" ca="1" si="8"/>
        <v>39</v>
      </c>
      <c r="AB59">
        <f t="shared" ca="1" si="9"/>
        <v>41</v>
      </c>
      <c r="AC59">
        <f t="shared" ca="1" si="12"/>
        <v>-2</v>
      </c>
      <c r="AD59">
        <f t="shared" ca="1" si="13"/>
        <v>37</v>
      </c>
      <c r="AF59">
        <f t="shared" ca="1" si="14"/>
        <v>18</v>
      </c>
      <c r="AG59">
        <f t="shared" ca="1" si="15"/>
        <v>14</v>
      </c>
      <c r="AH59">
        <f t="shared" ca="1" si="16"/>
        <v>16</v>
      </c>
      <c r="AI59">
        <f t="shared" ca="1" si="17"/>
        <v>30716</v>
      </c>
      <c r="AT59">
        <f t="shared" si="21"/>
        <v>2.1363636363636362</v>
      </c>
      <c r="AU59">
        <f t="shared" si="22"/>
        <v>1.7272727272727273</v>
      </c>
      <c r="AV59">
        <v>2</v>
      </c>
      <c r="AW59">
        <v>0.12</v>
      </c>
      <c r="AX59">
        <v>74.400000000000006</v>
      </c>
      <c r="AY59">
        <f>'Attacking Stats'!I3</f>
        <v>4.41</v>
      </c>
      <c r="AZ59">
        <f>'Attacking Stats'!M3</f>
        <v>0.11059602649006622</v>
      </c>
    </row>
    <row r="60" spans="1:75" x14ac:dyDescent="0.25">
      <c r="A60">
        <v>5</v>
      </c>
      <c r="B60" t="s">
        <v>388</v>
      </c>
      <c r="C60">
        <v>0</v>
      </c>
      <c r="D60">
        <v>2</v>
      </c>
      <c r="E60" t="s">
        <v>393</v>
      </c>
      <c r="K60">
        <f>Scores_and_Fixtures[[#This Row],[Wk]]</f>
        <v>5</v>
      </c>
      <c r="L60" t="str">
        <f>Scores_and_Fixtures[[#This Row],[Home]]</f>
        <v>Middlesbrough</v>
      </c>
      <c r="M60">
        <f ca="1">IF(ISBLANK(Scores_and_Fixtures[[#This Row],[Home Score]])=FALSE,Scores_and_Fixtures[[#This Row],[Home Score]],_xlfn.BINOM.INV(10000,(VLOOKUP(L60,$CK$4:$CM$27,2,FALSE)*VLOOKUP(O60,$CK$4:$CM$27,3,FALSE)*($CM$2/2))/10000,RAND()))</f>
        <v>0</v>
      </c>
      <c r="N60">
        <f ca="1">IF(ISBLANK(Scores_and_Fixtures[[#This Row],[Away Score]])=FALSE,Scores_and_Fixtures[[#This Row],[Away Score]],_xlfn.BINOM.INV(10000,(VLOOKUP(O60,$CK$4:$CM$27,2,FALSE)*VLOOKUP(L60,$CK$4:$CM$27,3,FALSE)*($CM$2/2))/10000,RAND()))</f>
        <v>2</v>
      </c>
      <c r="O60" t="str">
        <f>Scores_and_Fixtures[[#This Row],[Away]]</f>
        <v>QPR</v>
      </c>
      <c r="U60">
        <f t="shared" ca="1" si="11"/>
        <v>11</v>
      </c>
      <c r="V60" t="s">
        <v>390</v>
      </c>
      <c r="W60">
        <f t="shared" si="4"/>
        <v>32</v>
      </c>
      <c r="X60">
        <f t="shared" ca="1" si="5"/>
        <v>13</v>
      </c>
      <c r="Y60">
        <f t="shared" ca="1" si="6"/>
        <v>5</v>
      </c>
      <c r="Z60">
        <f t="shared" ca="1" si="7"/>
        <v>14</v>
      </c>
      <c r="AA60">
        <f t="shared" ca="1" si="8"/>
        <v>56</v>
      </c>
      <c r="AB60">
        <f t="shared" ca="1" si="9"/>
        <v>61</v>
      </c>
      <c r="AC60">
        <f t="shared" ca="1" si="12"/>
        <v>-5</v>
      </c>
      <c r="AD60">
        <f t="shared" ca="1" si="13"/>
        <v>44</v>
      </c>
      <c r="AF60">
        <f t="shared" ca="1" si="14"/>
        <v>10</v>
      </c>
      <c r="AG60">
        <f t="shared" ca="1" si="15"/>
        <v>17</v>
      </c>
      <c r="AH60">
        <f t="shared" ca="1" si="16"/>
        <v>4</v>
      </c>
      <c r="AI60">
        <f t="shared" ca="1" si="17"/>
        <v>110404</v>
      </c>
      <c r="AT60">
        <f t="shared" si="21"/>
        <v>1.6818181818181819</v>
      </c>
      <c r="AU60">
        <f t="shared" si="22"/>
        <v>1.6727272727272726</v>
      </c>
      <c r="AV60">
        <v>1.2352941176470589</v>
      </c>
      <c r="AW60">
        <v>0.11</v>
      </c>
      <c r="AX60">
        <v>55</v>
      </c>
      <c r="AY60">
        <f>'Attacking Stats'!I4</f>
        <v>3.27</v>
      </c>
      <c r="AZ60">
        <f>'Attacking Stats'!M4</f>
        <v>0.10164609053497942</v>
      </c>
    </row>
    <row r="61" spans="1:75" x14ac:dyDescent="0.25">
      <c r="A61">
        <v>5</v>
      </c>
      <c r="B61" t="s">
        <v>386</v>
      </c>
      <c r="C61">
        <v>0</v>
      </c>
      <c r="D61">
        <v>0</v>
      </c>
      <c r="E61" t="s">
        <v>395</v>
      </c>
      <c r="K61">
        <f>Scores_and_Fixtures[[#This Row],[Wk]]</f>
        <v>5</v>
      </c>
      <c r="L61" t="str">
        <f>Scores_and_Fixtures[[#This Row],[Home]]</f>
        <v>Leeds United</v>
      </c>
      <c r="M61">
        <f ca="1">IF(ISBLANK(Scores_and_Fixtures[[#This Row],[Home Score]])=FALSE,Scores_and_Fixtures[[#This Row],[Home Score]],_xlfn.BINOM.INV(10000,(VLOOKUP(L61,$CK$4:$CM$27,2,FALSE)*VLOOKUP(O61,$CK$4:$CM$27,3,FALSE)*($CM$2/2))/10000,RAND()))</f>
        <v>0</v>
      </c>
      <c r="N61">
        <f ca="1">IF(ISBLANK(Scores_and_Fixtures[[#This Row],[Away Score]])=FALSE,Scores_and_Fixtures[[#This Row],[Away Score]],_xlfn.BINOM.INV(10000,(VLOOKUP(O61,$CK$4:$CM$27,2,FALSE)*VLOOKUP(L61,$CK$4:$CM$27,3,FALSE)*($CM$2/2))/10000,RAND()))</f>
        <v>0</v>
      </c>
      <c r="O61" t="str">
        <f>Scores_and_Fixtures[[#This Row],[Away]]</f>
        <v>Sheffield Weds</v>
      </c>
      <c r="U61">
        <f t="shared" ca="1" si="11"/>
        <v>12</v>
      </c>
      <c r="V61" t="s">
        <v>391</v>
      </c>
      <c r="W61">
        <f t="shared" si="4"/>
        <v>31</v>
      </c>
      <c r="X61">
        <f t="shared" ca="1" si="5"/>
        <v>12</v>
      </c>
      <c r="Y61">
        <f t="shared" ca="1" si="6"/>
        <v>7</v>
      </c>
      <c r="Z61">
        <f t="shared" ca="1" si="7"/>
        <v>12</v>
      </c>
      <c r="AA61">
        <f t="shared" ca="1" si="8"/>
        <v>47</v>
      </c>
      <c r="AB61">
        <f t="shared" ca="1" si="9"/>
        <v>43</v>
      </c>
      <c r="AC61">
        <f t="shared" ca="1" si="12"/>
        <v>4</v>
      </c>
      <c r="AD61">
        <f t="shared" ca="1" si="13"/>
        <v>43</v>
      </c>
      <c r="AF61">
        <f t="shared" ca="1" si="14"/>
        <v>12</v>
      </c>
      <c r="AG61">
        <f t="shared" ca="1" si="15"/>
        <v>10</v>
      </c>
      <c r="AH61">
        <f t="shared" ca="1" si="16"/>
        <v>9</v>
      </c>
      <c r="AI61">
        <f t="shared" ca="1" si="17"/>
        <v>91109</v>
      </c>
      <c r="AT61">
        <f t="shared" si="21"/>
        <v>1.6818181818181819</v>
      </c>
      <c r="AU61">
        <f t="shared" si="22"/>
        <v>1.5681818181818181</v>
      </c>
      <c r="AV61">
        <v>1.375</v>
      </c>
      <c r="AW61">
        <v>0.08</v>
      </c>
      <c r="AX61">
        <v>65</v>
      </c>
      <c r="AY61">
        <f>'Attacking Stats'!I5</f>
        <v>3.68</v>
      </c>
      <c r="AZ61">
        <f>'Attacking Stats'!M5</f>
        <v>0.10214592274678112</v>
      </c>
    </row>
    <row r="62" spans="1:75" x14ac:dyDescent="0.25">
      <c r="A62">
        <v>6</v>
      </c>
      <c r="B62" t="s">
        <v>384</v>
      </c>
      <c r="C62">
        <v>1</v>
      </c>
      <c r="D62">
        <v>1</v>
      </c>
      <c r="E62" t="s">
        <v>382</v>
      </c>
      <c r="K62">
        <f>Scores_and_Fixtures[[#This Row],[Wk]]</f>
        <v>6</v>
      </c>
      <c r="L62" t="str">
        <f>Scores_and_Fixtures[[#This Row],[Home]]</f>
        <v>Hull City</v>
      </c>
      <c r="M62">
        <f ca="1">IF(ISBLANK(Scores_and_Fixtures[[#This Row],[Home Score]])=FALSE,Scores_and_Fixtures[[#This Row],[Home Score]],_xlfn.BINOM.INV(10000,(VLOOKUP(L62,$CK$4:$CM$27,2,FALSE)*VLOOKUP(O62,$CK$4:$CM$27,3,FALSE)*($CM$2/2))/10000,RAND()))</f>
        <v>1</v>
      </c>
      <c r="N62">
        <f ca="1">IF(ISBLANK(Scores_and_Fixtures[[#This Row],[Away Score]])=FALSE,Scores_and_Fixtures[[#This Row],[Away Score]],_xlfn.BINOM.INV(10000,(VLOOKUP(O62,$CK$4:$CM$27,2,FALSE)*VLOOKUP(L62,$CK$4:$CM$27,3,FALSE)*($CM$2/2))/10000,RAND()))</f>
        <v>1</v>
      </c>
      <c r="O62" t="str">
        <f>Scores_and_Fixtures[[#This Row],[Away]]</f>
        <v>Coventry City</v>
      </c>
      <c r="U62">
        <f t="shared" ca="1" si="11"/>
        <v>16</v>
      </c>
      <c r="V62" t="s">
        <v>392</v>
      </c>
      <c r="W62">
        <f t="shared" si="4"/>
        <v>32</v>
      </c>
      <c r="X62">
        <f t="shared" ca="1" si="5"/>
        <v>10</v>
      </c>
      <c r="Y62">
        <f t="shared" ca="1" si="6"/>
        <v>9</v>
      </c>
      <c r="Z62">
        <f t="shared" ca="1" si="7"/>
        <v>13</v>
      </c>
      <c r="AA62">
        <f t="shared" ca="1" si="8"/>
        <v>43</v>
      </c>
      <c r="AB62">
        <f t="shared" ca="1" si="9"/>
        <v>62</v>
      </c>
      <c r="AC62">
        <f t="shared" ca="1" si="12"/>
        <v>-19</v>
      </c>
      <c r="AD62">
        <f t="shared" ca="1" si="13"/>
        <v>39</v>
      </c>
      <c r="AF62">
        <f t="shared" ca="1" si="14"/>
        <v>16</v>
      </c>
      <c r="AG62">
        <f t="shared" ca="1" si="15"/>
        <v>19</v>
      </c>
      <c r="AH62">
        <f t="shared" ca="1" si="16"/>
        <v>13</v>
      </c>
      <c r="AI62">
        <f t="shared" ca="1" si="17"/>
        <v>50213</v>
      </c>
      <c r="AT62">
        <f t="shared" si="21"/>
        <v>1.5454545454545454</v>
      </c>
      <c r="AU62">
        <f t="shared" si="22"/>
        <v>1.1818181818181819</v>
      </c>
      <c r="AV62">
        <v>1.9375</v>
      </c>
      <c r="AW62">
        <v>0.12</v>
      </c>
      <c r="AX62">
        <v>102.65555555555555</v>
      </c>
      <c r="AY62">
        <f>'Attacking Stats'!I6</f>
        <v>4.18</v>
      </c>
      <c r="AZ62">
        <f>'Attacking Stats'!M6</f>
        <v>0.10296052631578947</v>
      </c>
    </row>
    <row r="63" spans="1:75" x14ac:dyDescent="0.25">
      <c r="A63">
        <v>6</v>
      </c>
      <c r="B63" t="s">
        <v>396</v>
      </c>
      <c r="C63">
        <v>1</v>
      </c>
      <c r="D63">
        <v>4</v>
      </c>
      <c r="E63" t="s">
        <v>387</v>
      </c>
      <c r="K63">
        <f>Scores_and_Fixtures[[#This Row],[Wk]]</f>
        <v>6</v>
      </c>
      <c r="L63" t="str">
        <f>Scores_and_Fixtures[[#This Row],[Home]]</f>
        <v>Southampton</v>
      </c>
      <c r="M63">
        <f ca="1">IF(ISBLANK(Scores_and_Fixtures[[#This Row],[Home Score]])=FALSE,Scores_and_Fixtures[[#This Row],[Home Score]],_xlfn.BINOM.INV(10000,(VLOOKUP(L63,$CK$4:$CM$27,2,FALSE)*VLOOKUP(O63,$CK$4:$CM$27,3,FALSE)*($CM$2/2))/10000,RAND()))</f>
        <v>1</v>
      </c>
      <c r="N63">
        <f ca="1">IF(ISBLANK(Scores_and_Fixtures[[#This Row],[Away Score]])=FALSE,Scores_and_Fixtures[[#This Row],[Away Score]],_xlfn.BINOM.INV(10000,(VLOOKUP(O63,$CK$4:$CM$27,2,FALSE)*VLOOKUP(L63,$CK$4:$CM$27,3,FALSE)*($CM$2/2))/10000,RAND()))</f>
        <v>4</v>
      </c>
      <c r="O63" t="str">
        <f>Scores_and_Fixtures[[#This Row],[Away]]</f>
        <v>Leicester City</v>
      </c>
      <c r="U63">
        <f t="shared" ca="1" si="11"/>
        <v>23</v>
      </c>
      <c r="V63" t="s">
        <v>393</v>
      </c>
      <c r="W63">
        <f t="shared" si="4"/>
        <v>31</v>
      </c>
      <c r="X63">
        <f t="shared" ca="1" si="5"/>
        <v>5</v>
      </c>
      <c r="Y63">
        <f t="shared" ca="1" si="6"/>
        <v>6</v>
      </c>
      <c r="Z63">
        <f t="shared" ca="1" si="7"/>
        <v>20</v>
      </c>
      <c r="AA63">
        <f t="shared" ca="1" si="8"/>
        <v>23</v>
      </c>
      <c r="AB63">
        <f t="shared" ca="1" si="9"/>
        <v>52</v>
      </c>
      <c r="AC63">
        <f t="shared" ca="1" si="12"/>
        <v>-29</v>
      </c>
      <c r="AD63">
        <f t="shared" ca="1" si="13"/>
        <v>21</v>
      </c>
      <c r="AF63">
        <f t="shared" ca="1" si="14"/>
        <v>23</v>
      </c>
      <c r="AG63">
        <f t="shared" ca="1" si="15"/>
        <v>23</v>
      </c>
      <c r="AH63">
        <f t="shared" ca="1" si="16"/>
        <v>23</v>
      </c>
      <c r="AI63">
        <f t="shared" ca="1" si="17"/>
        <v>-20177</v>
      </c>
      <c r="AT63">
        <f t="shared" si="21"/>
        <v>1.5454545454545454</v>
      </c>
      <c r="AU63">
        <f t="shared" si="22"/>
        <v>1.3499999999999999</v>
      </c>
      <c r="AV63">
        <v>0.94117647058823528</v>
      </c>
      <c r="AW63">
        <v>0.08</v>
      </c>
      <c r="AX63">
        <v>77.511111111111106</v>
      </c>
      <c r="AY63">
        <f>'Attacking Stats'!I7</f>
        <v>3.23</v>
      </c>
      <c r="AZ63">
        <f>'Attacking Stats'!M7</f>
        <v>9.650655021834062E-2</v>
      </c>
    </row>
    <row r="64" spans="1:75" x14ac:dyDescent="0.25">
      <c r="A64">
        <v>6</v>
      </c>
      <c r="B64" t="s">
        <v>383</v>
      </c>
      <c r="C64">
        <v>2</v>
      </c>
      <c r="D64">
        <v>0</v>
      </c>
      <c r="E64" t="s">
        <v>394</v>
      </c>
      <c r="K64">
        <f>Scores_and_Fixtures[[#This Row],[Wk]]</f>
        <v>6</v>
      </c>
      <c r="L64" t="str">
        <f>Scores_and_Fixtures[[#This Row],[Home]]</f>
        <v>Huddersfield</v>
      </c>
      <c r="M64">
        <f ca="1">IF(ISBLANK(Scores_and_Fixtures[[#This Row],[Home Score]])=FALSE,Scores_and_Fixtures[[#This Row],[Home Score]],_xlfn.BINOM.INV(10000,(VLOOKUP(L64,$CK$4:$CM$27,2,FALSE)*VLOOKUP(O64,$CK$4:$CM$27,3,FALSE)*($CM$2/2))/10000,RAND()))</f>
        <v>2</v>
      </c>
      <c r="N64">
        <f ca="1">IF(ISBLANK(Scores_and_Fixtures[[#This Row],[Away Score]])=FALSE,Scores_and_Fixtures[[#This Row],[Away Score]],_xlfn.BINOM.INV(10000,(VLOOKUP(O64,$CK$4:$CM$27,2,FALSE)*VLOOKUP(L64,$CK$4:$CM$27,3,FALSE)*($CM$2/2))/10000,RAND()))</f>
        <v>0</v>
      </c>
      <c r="O64" t="str">
        <f>Scores_and_Fixtures[[#This Row],[Away]]</f>
        <v>Rotherham Utd</v>
      </c>
      <c r="U64">
        <f t="shared" ca="1" si="11"/>
        <v>24</v>
      </c>
      <c r="V64" t="s">
        <v>394</v>
      </c>
      <c r="W64">
        <f t="shared" si="4"/>
        <v>32</v>
      </c>
      <c r="X64">
        <f t="shared" ca="1" si="5"/>
        <v>4</v>
      </c>
      <c r="Y64">
        <f t="shared" ca="1" si="6"/>
        <v>9</v>
      </c>
      <c r="Z64">
        <f t="shared" ca="1" si="7"/>
        <v>19</v>
      </c>
      <c r="AA64">
        <f t="shared" ca="1" si="8"/>
        <v>37</v>
      </c>
      <c r="AB64">
        <f t="shared" ca="1" si="9"/>
        <v>67</v>
      </c>
      <c r="AC64">
        <f t="shared" ca="1" si="12"/>
        <v>-30</v>
      </c>
      <c r="AD64">
        <f t="shared" ca="1" si="13"/>
        <v>21</v>
      </c>
      <c r="AF64">
        <f t="shared" ca="1" si="14"/>
        <v>23</v>
      </c>
      <c r="AG64">
        <f t="shared" ca="1" si="15"/>
        <v>24</v>
      </c>
      <c r="AH64">
        <f t="shared" ca="1" si="16"/>
        <v>18</v>
      </c>
      <c r="AI64">
        <f t="shared" ca="1" si="17"/>
        <v>-20282</v>
      </c>
      <c r="AT64">
        <f t="shared" si="21"/>
        <v>1.4545454545454546</v>
      </c>
      <c r="AU64">
        <f t="shared" si="22"/>
        <v>1.65</v>
      </c>
      <c r="AV64">
        <v>1.588235294117647</v>
      </c>
      <c r="AW64">
        <v>0.1</v>
      </c>
      <c r="AX64">
        <v>99.933333333333337</v>
      </c>
      <c r="AY64">
        <f>'Attacking Stats'!I8</f>
        <v>5.18</v>
      </c>
      <c r="AZ64">
        <f>'Attacking Stats'!M8</f>
        <v>9.458598726114649E-2</v>
      </c>
    </row>
    <row r="65" spans="1:84" x14ac:dyDescent="0.25">
      <c r="A65">
        <v>6</v>
      </c>
      <c r="B65" t="s">
        <v>379</v>
      </c>
      <c r="C65">
        <v>2</v>
      </c>
      <c r="D65">
        <v>1</v>
      </c>
      <c r="E65" t="s">
        <v>388</v>
      </c>
      <c r="K65">
        <f>Scores_and_Fixtures[[#This Row],[Wk]]</f>
        <v>6</v>
      </c>
      <c r="L65" t="str">
        <f>Scores_and_Fixtures[[#This Row],[Home]]</f>
        <v>Blackburn</v>
      </c>
      <c r="M65">
        <f ca="1">IF(ISBLANK(Scores_and_Fixtures[[#This Row],[Home Score]])=FALSE,Scores_and_Fixtures[[#This Row],[Home Score]],_xlfn.BINOM.INV(10000,(VLOOKUP(L65,$CK$4:$CM$27,2,FALSE)*VLOOKUP(O65,$CK$4:$CM$27,3,FALSE)*($CM$2/2))/10000,RAND()))</f>
        <v>2</v>
      </c>
      <c r="N65">
        <f ca="1">IF(ISBLANK(Scores_and_Fixtures[[#This Row],[Away Score]])=FALSE,Scores_and_Fixtures[[#This Row],[Away Score]],_xlfn.BINOM.INV(10000,(VLOOKUP(O65,$CK$4:$CM$27,2,FALSE)*VLOOKUP(L65,$CK$4:$CM$27,3,FALSE)*($CM$2/2))/10000,RAND()))</f>
        <v>1</v>
      </c>
      <c r="O65" t="str">
        <f>Scores_and_Fixtures[[#This Row],[Away]]</f>
        <v>Middlesbrough</v>
      </c>
      <c r="U65">
        <f t="shared" ca="1" si="11"/>
        <v>21</v>
      </c>
      <c r="V65" t="s">
        <v>395</v>
      </c>
      <c r="W65">
        <f t="shared" si="4"/>
        <v>32</v>
      </c>
      <c r="X65">
        <f t="shared" ca="1" si="5"/>
        <v>7</v>
      </c>
      <c r="Y65">
        <f t="shared" ca="1" si="6"/>
        <v>7</v>
      </c>
      <c r="Z65">
        <f t="shared" ca="1" si="7"/>
        <v>18</v>
      </c>
      <c r="AA65">
        <f t="shared" ca="1" si="8"/>
        <v>22</v>
      </c>
      <c r="AB65">
        <f t="shared" ca="1" si="9"/>
        <v>47</v>
      </c>
      <c r="AC65">
        <f t="shared" ca="1" si="12"/>
        <v>-25</v>
      </c>
      <c r="AD65">
        <f t="shared" ca="1" si="13"/>
        <v>28</v>
      </c>
      <c r="AF65">
        <f t="shared" ca="1" si="14"/>
        <v>20</v>
      </c>
      <c r="AG65">
        <f t="shared" ca="1" si="15"/>
        <v>21</v>
      </c>
      <c r="AH65">
        <f t="shared" ca="1" si="16"/>
        <v>24</v>
      </c>
      <c r="AI65">
        <f t="shared" ca="1" si="17"/>
        <v>10024</v>
      </c>
      <c r="AT65">
        <f t="shared" si="21"/>
        <v>1.2727272727272727</v>
      </c>
      <c r="AU65">
        <f t="shared" si="22"/>
        <v>0.88181818181818172</v>
      </c>
      <c r="AV65">
        <v>1</v>
      </c>
      <c r="AW65">
        <v>7.0000000000000007E-2</v>
      </c>
      <c r="AX65">
        <v>64.733333333333334</v>
      </c>
      <c r="AY65">
        <f>'Attacking Stats'!I9</f>
        <v>5.64</v>
      </c>
      <c r="AZ65">
        <f>'Attacking Stats'!M9</f>
        <v>0.10614525139664804</v>
      </c>
    </row>
    <row r="66" spans="1:84" x14ac:dyDescent="0.25">
      <c r="A66">
        <v>6</v>
      </c>
      <c r="B66" t="s">
        <v>392</v>
      </c>
      <c r="C66">
        <v>2</v>
      </c>
      <c r="D66">
        <v>1</v>
      </c>
      <c r="E66" t="s">
        <v>391</v>
      </c>
      <c r="K66">
        <f>Scores_and_Fixtures[[#This Row],[Wk]]</f>
        <v>6</v>
      </c>
      <c r="L66" t="str">
        <f>Scores_and_Fixtures[[#This Row],[Home]]</f>
        <v>Preston</v>
      </c>
      <c r="M66">
        <f ca="1">IF(ISBLANK(Scores_and_Fixtures[[#This Row],[Home Score]])=FALSE,Scores_and_Fixtures[[#This Row],[Home Score]],_xlfn.BINOM.INV(10000,(VLOOKUP(L66,$CK$4:$CM$27,2,FALSE)*VLOOKUP(O66,$CK$4:$CM$27,3,FALSE)*($CM$2/2))/10000,RAND()))</f>
        <v>2</v>
      </c>
      <c r="N66">
        <f ca="1">IF(ISBLANK(Scores_and_Fixtures[[#This Row],[Away Score]])=FALSE,Scores_and_Fixtures[[#This Row],[Away Score]],_xlfn.BINOM.INV(10000,(VLOOKUP(O66,$CK$4:$CM$27,2,FALSE)*VLOOKUP(L66,$CK$4:$CM$27,3,FALSE)*($CM$2/2))/10000,RAND()))</f>
        <v>1</v>
      </c>
      <c r="O66" t="str">
        <f>Scores_and_Fixtures[[#This Row],[Away]]</f>
        <v>Plymouth Argyle</v>
      </c>
      <c r="U66">
        <f t="shared" ca="1" si="11"/>
        <v>5</v>
      </c>
      <c r="V66" t="s">
        <v>396</v>
      </c>
      <c r="W66">
        <f t="shared" si="4"/>
        <v>32</v>
      </c>
      <c r="X66">
        <f t="shared" ca="1" si="5"/>
        <v>15</v>
      </c>
      <c r="Y66">
        <f t="shared" ca="1" si="6"/>
        <v>9</v>
      </c>
      <c r="Z66">
        <f t="shared" ca="1" si="7"/>
        <v>8</v>
      </c>
      <c r="AA66">
        <f t="shared" ca="1" si="8"/>
        <v>48</v>
      </c>
      <c r="AB66">
        <f t="shared" ca="1" si="9"/>
        <v>41</v>
      </c>
      <c r="AC66">
        <f t="shared" ca="1" si="12"/>
        <v>7</v>
      </c>
      <c r="AD66">
        <f t="shared" ca="1" si="13"/>
        <v>54</v>
      </c>
      <c r="AF66">
        <f t="shared" ca="1" si="14"/>
        <v>5</v>
      </c>
      <c r="AG66">
        <f t="shared" ca="1" si="15"/>
        <v>7</v>
      </c>
      <c r="AH66">
        <f t="shared" ca="1" si="16"/>
        <v>8</v>
      </c>
      <c r="AI66">
        <f t="shared" ca="1" si="17"/>
        <v>161408</v>
      </c>
      <c r="AT66">
        <f t="shared" si="21"/>
        <v>1.5909090909090908</v>
      </c>
      <c r="AU66">
        <f t="shared" si="22"/>
        <v>1.2318181818181819</v>
      </c>
      <c r="AV66">
        <v>1.2941176470588236</v>
      </c>
      <c r="AW66">
        <v>0.09</v>
      </c>
      <c r="AX66">
        <v>54.6</v>
      </c>
      <c r="AY66">
        <f>'Attacking Stats'!I10</f>
        <v>5.32</v>
      </c>
      <c r="AZ66">
        <f>'Attacking Stats'!M10</f>
        <v>0.10484330484330484</v>
      </c>
    </row>
    <row r="67" spans="1:84" x14ac:dyDescent="0.25">
      <c r="A67">
        <v>6</v>
      </c>
      <c r="B67" t="s">
        <v>380</v>
      </c>
      <c r="C67">
        <v>0</v>
      </c>
      <c r="D67">
        <v>0</v>
      </c>
      <c r="E67" t="s">
        <v>401</v>
      </c>
      <c r="K67">
        <f>Scores_and_Fixtures[[#This Row],[Wk]]</f>
        <v>6</v>
      </c>
      <c r="L67" t="str">
        <f>Scores_and_Fixtures[[#This Row],[Home]]</f>
        <v>Bristol City</v>
      </c>
      <c r="M67">
        <f ca="1">IF(ISBLANK(Scores_and_Fixtures[[#This Row],[Home Score]])=FALSE,Scores_and_Fixtures[[#This Row],[Home Score]],_xlfn.BINOM.INV(10000,(VLOOKUP(L67,$CK$4:$CM$27,2,FALSE)*VLOOKUP(O67,$CK$4:$CM$27,3,FALSE)*($CM$2/2))/10000,RAND()))</f>
        <v>0</v>
      </c>
      <c r="N67">
        <f ca="1">IF(ISBLANK(Scores_and_Fixtures[[#This Row],[Away Score]])=FALSE,Scores_and_Fixtures[[#This Row],[Away Score]],_xlfn.BINOM.INV(10000,(VLOOKUP(O67,$CK$4:$CM$27,2,FALSE)*VLOOKUP(L67,$CK$4:$CM$27,3,FALSE)*($CM$2/2))/10000,RAND()))</f>
        <v>0</v>
      </c>
      <c r="O67" t="str">
        <f>Scores_and_Fixtures[[#This Row],[Away]]</f>
        <v>West Brom</v>
      </c>
      <c r="U67">
        <f t="shared" ca="1" si="11"/>
        <v>20</v>
      </c>
      <c r="V67" t="s">
        <v>397</v>
      </c>
      <c r="W67">
        <f t="shared" si="4"/>
        <v>31</v>
      </c>
      <c r="X67">
        <f t="shared" ca="1" si="5"/>
        <v>7</v>
      </c>
      <c r="Y67">
        <f t="shared" ca="1" si="6"/>
        <v>7</v>
      </c>
      <c r="Z67">
        <f t="shared" ca="1" si="7"/>
        <v>17</v>
      </c>
      <c r="AA67">
        <f t="shared" ca="1" si="8"/>
        <v>26</v>
      </c>
      <c r="AB67">
        <f t="shared" ca="1" si="9"/>
        <v>45</v>
      </c>
      <c r="AC67">
        <f t="shared" ca="1" si="12"/>
        <v>-19</v>
      </c>
      <c r="AD67">
        <f t="shared" ca="1" si="13"/>
        <v>28</v>
      </c>
      <c r="AF67">
        <f t="shared" ca="1" si="14"/>
        <v>20</v>
      </c>
      <c r="AG67">
        <f t="shared" ca="1" si="15"/>
        <v>19</v>
      </c>
      <c r="AH67">
        <f t="shared" ca="1" si="16"/>
        <v>21</v>
      </c>
      <c r="AI67">
        <f t="shared" ca="1" si="17"/>
        <v>10221</v>
      </c>
      <c r="AT67">
        <f t="shared" si="21"/>
        <v>1.7727272727272727</v>
      </c>
      <c r="AU67">
        <f t="shared" si="22"/>
        <v>1.4090909090909092</v>
      </c>
      <c r="AV67">
        <v>1.4705882352941178</v>
      </c>
      <c r="AW67">
        <v>0.12</v>
      </c>
      <c r="AX67">
        <v>82.544444444444451</v>
      </c>
      <c r="AY67">
        <f>'Attacking Stats'!I11</f>
        <v>4.8600000000000003</v>
      </c>
      <c r="AZ67">
        <f>'Attacking Stats'!M11</f>
        <v>0.12829581993569131</v>
      </c>
    </row>
    <row r="68" spans="1:84" x14ac:dyDescent="0.25">
      <c r="A68">
        <v>6</v>
      </c>
      <c r="B68" t="s">
        <v>395</v>
      </c>
      <c r="C68">
        <v>0</v>
      </c>
      <c r="D68">
        <v>1</v>
      </c>
      <c r="E68" t="s">
        <v>385</v>
      </c>
      <c r="K68">
        <f>Scores_and_Fixtures[[#This Row],[Wk]]</f>
        <v>6</v>
      </c>
      <c r="L68" t="str">
        <f>Scores_and_Fixtures[[#This Row],[Home]]</f>
        <v>Sheffield Weds</v>
      </c>
      <c r="M68">
        <f ca="1">IF(ISBLANK(Scores_and_Fixtures[[#This Row],[Home Score]])=FALSE,Scores_and_Fixtures[[#This Row],[Home Score]],_xlfn.BINOM.INV(10000,(VLOOKUP(L68,$CK$4:$CM$27,2,FALSE)*VLOOKUP(O68,$CK$4:$CM$27,3,FALSE)*($CM$2/2))/10000,RAND()))</f>
        <v>0</v>
      </c>
      <c r="N68">
        <f ca="1">IF(ISBLANK(Scores_and_Fixtures[[#This Row],[Away Score]])=FALSE,Scores_and_Fixtures[[#This Row],[Away Score]],_xlfn.BINOM.INV(10000,(VLOOKUP(O68,$CK$4:$CM$27,2,FALSE)*VLOOKUP(L68,$CK$4:$CM$27,3,FALSE)*($CM$2/2))/10000,RAND()))</f>
        <v>1</v>
      </c>
      <c r="O68" t="str">
        <f>Scores_and_Fixtures[[#This Row],[Away]]</f>
        <v>Ipswich Town</v>
      </c>
      <c r="U68">
        <f t="shared" ca="1" si="11"/>
        <v>10</v>
      </c>
      <c r="V68" t="s">
        <v>398</v>
      </c>
      <c r="W68">
        <f t="shared" si="4"/>
        <v>31</v>
      </c>
      <c r="X68">
        <f t="shared" ref="X68:X71" ca="1" si="23">SUMPRODUCT(((home_team=V68)*(home_score&gt;away_score))+((away_team=V68)*(away_score&gt;home_score)))</f>
        <v>12</v>
      </c>
      <c r="Y68">
        <f t="shared" ref="Y68:Y71" ca="1" si="24">SUMPRODUCT(((home_team=V68)*(home_score=away_score))+((away_team=V68)*(away_score=home_score)))</f>
        <v>8</v>
      </c>
      <c r="Z68">
        <f t="shared" ref="Z68:Z71" ca="1" si="25">SUMPRODUCT(((home_team=V68)*(home_score&lt;away_score))+((away_team=V68)*(away_score&lt;home_score)))</f>
        <v>11</v>
      </c>
      <c r="AA68">
        <f t="shared" ref="AA68:AA71" ca="1" si="26">SUMPRODUCT(((home_team=V68)*(home_score))+((away_team=V68)*(away_score)))</f>
        <v>45</v>
      </c>
      <c r="AB68">
        <f t="shared" ref="AB68:AB71" ca="1" si="27">SUMPRODUCT(((home_team=V68)*(away_score))+((away_team=V68)*(home_score)))</f>
        <v>40</v>
      </c>
      <c r="AC68">
        <f t="shared" ref="AC68:AC71" ca="1" si="28">AA68-AB68</f>
        <v>5</v>
      </c>
      <c r="AD68">
        <f t="shared" ca="1" si="13"/>
        <v>44</v>
      </c>
      <c r="AF68">
        <f t="shared" ca="1" si="14"/>
        <v>10</v>
      </c>
      <c r="AG68">
        <f t="shared" ca="1" si="15"/>
        <v>9</v>
      </c>
      <c r="AH68">
        <f t="shared" ca="1" si="16"/>
        <v>11</v>
      </c>
      <c r="AI68">
        <f t="shared" ca="1" si="17"/>
        <v>111211</v>
      </c>
      <c r="AT68">
        <f t="shared" si="21"/>
        <v>1.5454545454545454</v>
      </c>
      <c r="AU68">
        <f t="shared" si="22"/>
        <v>1.5181818181818181</v>
      </c>
      <c r="AV68">
        <v>2.0625</v>
      </c>
      <c r="AW68">
        <v>0.11</v>
      </c>
      <c r="AX68">
        <v>92.955555555555549</v>
      </c>
      <c r="AY68">
        <f>'Attacking Stats'!I12</f>
        <v>5.32</v>
      </c>
      <c r="AZ68">
        <f>'Attacking Stats'!M12</f>
        <v>0.11727574750830563</v>
      </c>
    </row>
    <row r="69" spans="1:84" x14ac:dyDescent="0.25">
      <c r="A69">
        <v>6</v>
      </c>
      <c r="B69" t="s">
        <v>400</v>
      </c>
      <c r="C69">
        <v>2</v>
      </c>
      <c r="D69">
        <v>0</v>
      </c>
      <c r="E69" t="s">
        <v>378</v>
      </c>
      <c r="K69">
        <f>Scores_and_Fixtures[[#This Row],[Wk]]</f>
        <v>6</v>
      </c>
      <c r="L69" t="str">
        <f>Scores_and_Fixtures[[#This Row],[Home]]</f>
        <v>Watford</v>
      </c>
      <c r="M69">
        <f ca="1">IF(ISBLANK(Scores_and_Fixtures[[#This Row],[Home Score]])=FALSE,Scores_and_Fixtures[[#This Row],[Home Score]],_xlfn.BINOM.INV(10000,(VLOOKUP(L69,$CK$4:$CM$27,2,FALSE)*VLOOKUP(O69,$CK$4:$CM$27,3,FALSE)*($CM$2/2))/10000,RAND()))</f>
        <v>2</v>
      </c>
      <c r="N69">
        <f ca="1">IF(ISBLANK(Scores_and_Fixtures[[#This Row],[Away Score]])=FALSE,Scores_and_Fixtures[[#This Row],[Away Score]],_xlfn.BINOM.INV(10000,(VLOOKUP(O69,$CK$4:$CM$27,2,FALSE)*VLOOKUP(L69,$CK$4:$CM$27,3,FALSE)*($CM$2/2))/10000,RAND()))</f>
        <v>0</v>
      </c>
      <c r="O69" t="str">
        <f>Scores_and_Fixtures[[#This Row],[Away]]</f>
        <v>Birmingham City</v>
      </c>
      <c r="U69">
        <f t="shared" ca="1" si="11"/>
        <v>14</v>
      </c>
      <c r="V69" t="s">
        <v>399</v>
      </c>
      <c r="W69">
        <f t="shared" si="4"/>
        <v>32</v>
      </c>
      <c r="X69">
        <f t="shared" ca="1" si="23"/>
        <v>10</v>
      </c>
      <c r="Y69">
        <f t="shared" ca="1" si="24"/>
        <v>10</v>
      </c>
      <c r="Z69">
        <f t="shared" ca="1" si="25"/>
        <v>12</v>
      </c>
      <c r="AA69">
        <f t="shared" ca="1" si="26"/>
        <v>42</v>
      </c>
      <c r="AB69">
        <f t="shared" ca="1" si="27"/>
        <v>43</v>
      </c>
      <c r="AC69">
        <f t="shared" ca="1" si="28"/>
        <v>-1</v>
      </c>
      <c r="AD69">
        <f t="shared" ca="1" si="13"/>
        <v>40</v>
      </c>
      <c r="AF69">
        <f t="shared" ca="1" si="14"/>
        <v>14</v>
      </c>
      <c r="AG69">
        <f t="shared" ca="1" si="15"/>
        <v>12</v>
      </c>
      <c r="AH69">
        <f t="shared" ca="1" si="16"/>
        <v>14</v>
      </c>
      <c r="AI69">
        <f t="shared" ca="1" si="17"/>
        <v>70914</v>
      </c>
      <c r="AT69">
        <f t="shared" si="21"/>
        <v>1.2727272727272727</v>
      </c>
      <c r="AU69">
        <f t="shared" si="22"/>
        <v>1.0818181818181818</v>
      </c>
      <c r="AV69">
        <v>0.94117647058823528</v>
      </c>
      <c r="AW69">
        <v>0.09</v>
      </c>
      <c r="AX69">
        <v>41.9</v>
      </c>
      <c r="AY69">
        <f>'Attacking Stats'!I13</f>
        <v>3.68</v>
      </c>
      <c r="AZ69">
        <f>'Attacking Stats'!M13</f>
        <v>8.7258687258687267E-2</v>
      </c>
    </row>
    <row r="70" spans="1:84" x14ac:dyDescent="0.25">
      <c r="A70">
        <v>6</v>
      </c>
      <c r="B70" t="s">
        <v>390</v>
      </c>
      <c r="C70">
        <v>1</v>
      </c>
      <c r="D70">
        <v>0</v>
      </c>
      <c r="E70" t="s">
        <v>397</v>
      </c>
      <c r="K70">
        <f>Scores_and_Fixtures[[#This Row],[Wk]]</f>
        <v>6</v>
      </c>
      <c r="L70" t="str">
        <f>Scores_and_Fixtures[[#This Row],[Home]]</f>
        <v>Norwich City</v>
      </c>
      <c r="M70">
        <f ca="1">IF(ISBLANK(Scores_and_Fixtures[[#This Row],[Home Score]])=FALSE,Scores_and_Fixtures[[#This Row],[Home Score]],_xlfn.BINOM.INV(10000,(VLOOKUP(L70,$CK$4:$CM$27,2,FALSE)*VLOOKUP(O70,$CK$4:$CM$27,3,FALSE)*($CM$2/2))/10000,RAND()))</f>
        <v>1</v>
      </c>
      <c r="N70">
        <f ca="1">IF(ISBLANK(Scores_and_Fixtures[[#This Row],[Away Score]])=FALSE,Scores_and_Fixtures[[#This Row],[Away Score]],_xlfn.BINOM.INV(10000,(VLOOKUP(O70,$CK$4:$CM$27,2,FALSE)*VLOOKUP(L70,$CK$4:$CM$27,3,FALSE)*($CM$2/2))/10000,RAND()))</f>
        <v>0</v>
      </c>
      <c r="O70" t="str">
        <f>Scores_and_Fixtures[[#This Row],[Away]]</f>
        <v>Stoke City</v>
      </c>
      <c r="U70">
        <f t="shared" ca="1" si="11"/>
        <v>7</v>
      </c>
      <c r="V70" t="s">
        <v>400</v>
      </c>
      <c r="W70">
        <f t="shared" si="4"/>
        <v>32</v>
      </c>
      <c r="X70">
        <f t="shared" ca="1" si="23"/>
        <v>14</v>
      </c>
      <c r="Y70">
        <f t="shared" ca="1" si="24"/>
        <v>8</v>
      </c>
      <c r="Z70">
        <f t="shared" ca="1" si="25"/>
        <v>10</v>
      </c>
      <c r="AA70">
        <f t="shared" ca="1" si="26"/>
        <v>46</v>
      </c>
      <c r="AB70">
        <f t="shared" ca="1" si="27"/>
        <v>32</v>
      </c>
      <c r="AC70">
        <f t="shared" ca="1" si="28"/>
        <v>14</v>
      </c>
      <c r="AD70">
        <f t="shared" ca="1" si="13"/>
        <v>50</v>
      </c>
      <c r="AF70">
        <f t="shared" ca="1" si="14"/>
        <v>7</v>
      </c>
      <c r="AG70">
        <f t="shared" ca="1" si="15"/>
        <v>6</v>
      </c>
      <c r="AH70">
        <f t="shared" ca="1" si="16"/>
        <v>10</v>
      </c>
      <c r="AI70">
        <f t="shared" ca="1" si="17"/>
        <v>141510</v>
      </c>
      <c r="AT70">
        <f t="shared" si="21"/>
        <v>1.5454545454545454</v>
      </c>
      <c r="AU70">
        <f t="shared" si="22"/>
        <v>1.6045454545454545</v>
      </c>
      <c r="AV70">
        <v>2.2941176470588234</v>
      </c>
      <c r="AW70">
        <v>0.14000000000000001</v>
      </c>
      <c r="AX70">
        <v>112.34444444444445</v>
      </c>
      <c r="AY70">
        <f>'Attacking Stats'!I14</f>
        <v>4.09</v>
      </c>
      <c r="AZ70">
        <f>'Attacking Stats'!M14</f>
        <v>9.9678456591639875E-2</v>
      </c>
    </row>
    <row r="71" spans="1:84" x14ac:dyDescent="0.25">
      <c r="A71">
        <v>6</v>
      </c>
      <c r="B71" t="s">
        <v>393</v>
      </c>
      <c r="C71">
        <v>1</v>
      </c>
      <c r="D71">
        <v>3</v>
      </c>
      <c r="E71" t="s">
        <v>398</v>
      </c>
      <c r="K71">
        <f>Scores_and_Fixtures[[#This Row],[Wk]]</f>
        <v>6</v>
      </c>
      <c r="L71" t="str">
        <f>Scores_and_Fixtures[[#This Row],[Home]]</f>
        <v>QPR</v>
      </c>
      <c r="M71">
        <f ca="1">IF(ISBLANK(Scores_and_Fixtures[[#This Row],[Home Score]])=FALSE,Scores_and_Fixtures[[#This Row],[Home Score]],_xlfn.BINOM.INV(10000,(VLOOKUP(L71,$CK$4:$CM$27,2,FALSE)*VLOOKUP(O71,$CK$4:$CM$27,3,FALSE)*($CM$2/2))/10000,RAND()))</f>
        <v>1</v>
      </c>
      <c r="N71">
        <f ca="1">IF(ISBLANK(Scores_and_Fixtures[[#This Row],[Away Score]])=FALSE,Scores_and_Fixtures[[#This Row],[Away Score]],_xlfn.BINOM.INV(10000,(VLOOKUP(O71,$CK$4:$CM$27,2,FALSE)*VLOOKUP(L71,$CK$4:$CM$27,3,FALSE)*($CM$2/2))/10000,RAND()))</f>
        <v>3</v>
      </c>
      <c r="O71" t="str">
        <f>Scores_and_Fixtures[[#This Row],[Away]]</f>
        <v>Sunderland</v>
      </c>
      <c r="U71">
        <f t="shared" ca="1" si="11"/>
        <v>4</v>
      </c>
      <c r="V71" t="s">
        <v>401</v>
      </c>
      <c r="W71">
        <f t="shared" si="4"/>
        <v>31</v>
      </c>
      <c r="X71">
        <f t="shared" ca="1" si="23"/>
        <v>16</v>
      </c>
      <c r="Y71">
        <f t="shared" ca="1" si="24"/>
        <v>9</v>
      </c>
      <c r="Z71">
        <f t="shared" ca="1" si="25"/>
        <v>6</v>
      </c>
      <c r="AA71">
        <f t="shared" ca="1" si="26"/>
        <v>60</v>
      </c>
      <c r="AB71">
        <f t="shared" ca="1" si="27"/>
        <v>28</v>
      </c>
      <c r="AC71">
        <f t="shared" ca="1" si="28"/>
        <v>32</v>
      </c>
      <c r="AD71">
        <f t="shared" ca="1" si="13"/>
        <v>57</v>
      </c>
      <c r="AF71">
        <f t="shared" ca="1" si="14"/>
        <v>4</v>
      </c>
      <c r="AG71">
        <f t="shared" ca="1" si="15"/>
        <v>2</v>
      </c>
      <c r="AH71">
        <f t="shared" ca="1" si="16"/>
        <v>3</v>
      </c>
      <c r="AI71">
        <f t="shared" ca="1" si="17"/>
        <v>171903</v>
      </c>
      <c r="AT71">
        <f t="shared" si="21"/>
        <v>1.0454545454545454</v>
      </c>
      <c r="AU71">
        <f t="shared" si="22"/>
        <v>1.1227272727272728</v>
      </c>
      <c r="AV71">
        <v>1.125</v>
      </c>
      <c r="AW71">
        <v>7.0000000000000007E-2</v>
      </c>
      <c r="AX71">
        <v>78.444444444444443</v>
      </c>
      <c r="AY71">
        <f>'Attacking Stats'!I15</f>
        <v>5.18</v>
      </c>
      <c r="AZ71">
        <f>'Attacking Stats'!M15</f>
        <v>9.5737704918032782E-2</v>
      </c>
    </row>
    <row r="72" spans="1:84" x14ac:dyDescent="0.25">
      <c r="A72">
        <v>6</v>
      </c>
      <c r="B72" t="s">
        <v>381</v>
      </c>
      <c r="C72">
        <v>2</v>
      </c>
      <c r="D72">
        <v>0</v>
      </c>
      <c r="E72" t="s">
        <v>399</v>
      </c>
      <c r="K72">
        <f>Scores_and_Fixtures[[#This Row],[Wk]]</f>
        <v>6</v>
      </c>
      <c r="L72" t="str">
        <f>Scores_and_Fixtures[[#This Row],[Home]]</f>
        <v>Cardiff City</v>
      </c>
      <c r="M72">
        <f ca="1">IF(ISBLANK(Scores_and_Fixtures[[#This Row],[Home Score]])=FALSE,Scores_and_Fixtures[[#This Row],[Home Score]],_xlfn.BINOM.INV(10000,(VLOOKUP(L72,$CK$4:$CM$27,2,FALSE)*VLOOKUP(O72,$CK$4:$CM$27,3,FALSE)*($CM$2/2))/10000,RAND()))</f>
        <v>2</v>
      </c>
      <c r="N72">
        <f ca="1">IF(ISBLANK(Scores_and_Fixtures[[#This Row],[Away Score]])=FALSE,Scores_and_Fixtures[[#This Row],[Away Score]],_xlfn.BINOM.INV(10000,(VLOOKUP(O72,$CK$4:$CM$27,2,FALSE)*VLOOKUP(L72,$CK$4:$CM$27,3,FALSE)*($CM$2/2))/10000,RAND()))</f>
        <v>0</v>
      </c>
      <c r="O72" t="str">
        <f>Scores_and_Fixtures[[#This Row],[Away]]</f>
        <v>Swansea City</v>
      </c>
      <c r="AT72">
        <f t="shared" si="21"/>
        <v>1.2727272727272727</v>
      </c>
      <c r="AU72">
        <f t="shared" si="22"/>
        <v>1.4227272727272728</v>
      </c>
      <c r="AV72">
        <v>2.1176470588235294</v>
      </c>
      <c r="AW72">
        <v>0.14000000000000001</v>
      </c>
      <c r="AX72">
        <v>87.12222222222222</v>
      </c>
      <c r="AY72">
        <f>'Attacking Stats'!I16</f>
        <v>2.86</v>
      </c>
      <c r="AZ72">
        <f>'Attacking Stats'!M16</f>
        <v>9.7487437185929643E-2</v>
      </c>
    </row>
    <row r="73" spans="1:84" x14ac:dyDescent="0.25">
      <c r="A73">
        <v>6</v>
      </c>
      <c r="B73" t="s">
        <v>389</v>
      </c>
      <c r="C73">
        <v>0</v>
      </c>
      <c r="D73">
        <v>3</v>
      </c>
      <c r="E73" t="s">
        <v>386</v>
      </c>
      <c r="K73">
        <f>Scores_and_Fixtures[[#This Row],[Wk]]</f>
        <v>6</v>
      </c>
      <c r="L73" t="str">
        <f>Scores_and_Fixtures[[#This Row],[Home]]</f>
        <v>Millwall</v>
      </c>
      <c r="M73">
        <f ca="1">IF(ISBLANK(Scores_and_Fixtures[[#This Row],[Home Score]])=FALSE,Scores_and_Fixtures[[#This Row],[Home Score]],_xlfn.BINOM.INV(10000,(VLOOKUP(L73,$CK$4:$CM$27,2,FALSE)*VLOOKUP(O73,$CK$4:$CM$27,3,FALSE)*($CM$2/2))/10000,RAND()))</f>
        <v>0</v>
      </c>
      <c r="N73">
        <f ca="1">IF(ISBLANK(Scores_and_Fixtures[[#This Row],[Away Score]])=FALSE,Scores_and_Fixtures[[#This Row],[Away Score]],_xlfn.BINOM.INV(10000,(VLOOKUP(O73,$CK$4:$CM$27,2,FALSE)*VLOOKUP(L73,$CK$4:$CM$27,3,FALSE)*($CM$2/2))/10000,RAND()))</f>
        <v>3</v>
      </c>
      <c r="O73" t="str">
        <f>Scores_and_Fixtures[[#This Row],[Away]]</f>
        <v>Leeds United</v>
      </c>
      <c r="AT73">
        <f t="shared" si="21"/>
        <v>1.5454545454545454</v>
      </c>
      <c r="AU73">
        <f t="shared" si="22"/>
        <v>1.3272727272727272</v>
      </c>
      <c r="AV73">
        <v>1</v>
      </c>
      <c r="AW73">
        <v>0.09</v>
      </c>
      <c r="AX73">
        <v>58.777777777777779</v>
      </c>
      <c r="AY73">
        <f>'Attacking Stats'!I17</f>
        <v>3.5</v>
      </c>
      <c r="AZ73">
        <f>'Attacking Stats'!M17</f>
        <v>8.217391304347825E-2</v>
      </c>
      <c r="BV73" t="s">
        <v>287</v>
      </c>
      <c r="BW73" t="s">
        <v>288</v>
      </c>
      <c r="BY73" t="s">
        <v>289</v>
      </c>
      <c r="BZ73" t="s">
        <v>290</v>
      </c>
      <c r="CB73" t="s">
        <v>292</v>
      </c>
      <c r="CC73" t="s">
        <v>293</v>
      </c>
      <c r="CE73" t="s">
        <v>294</v>
      </c>
      <c r="CF73" t="s">
        <v>295</v>
      </c>
    </row>
    <row r="74" spans="1:84" x14ac:dyDescent="0.25">
      <c r="A74">
        <v>7</v>
      </c>
      <c r="B74" t="s">
        <v>380</v>
      </c>
      <c r="C74">
        <v>4</v>
      </c>
      <c r="D74">
        <v>1</v>
      </c>
      <c r="E74" t="s">
        <v>391</v>
      </c>
      <c r="K74">
        <f>Scores_and_Fixtures[[#This Row],[Wk]]</f>
        <v>7</v>
      </c>
      <c r="L74" t="str">
        <f>Scores_and_Fixtures[[#This Row],[Home]]</f>
        <v>Bristol City</v>
      </c>
      <c r="M74">
        <f ca="1">IF(ISBLANK(Scores_and_Fixtures[[#This Row],[Home Score]])=FALSE,Scores_and_Fixtures[[#This Row],[Home Score]],_xlfn.BINOM.INV(10000,(VLOOKUP(L74,$CK$4:$CM$27,2,FALSE)*VLOOKUP(O74,$CK$4:$CM$27,3,FALSE)*($CM$2/2))/10000,RAND()))</f>
        <v>4</v>
      </c>
      <c r="N74">
        <f ca="1">IF(ISBLANK(Scores_and_Fixtures[[#This Row],[Away Score]])=FALSE,Scores_and_Fixtures[[#This Row],[Away Score]],_xlfn.BINOM.INV(10000,(VLOOKUP(O74,$CK$4:$CM$27,2,FALSE)*VLOOKUP(L74,$CK$4:$CM$27,3,FALSE)*($CM$2/2))/10000,RAND()))</f>
        <v>1</v>
      </c>
      <c r="O74" t="str">
        <f>Scores_and_Fixtures[[#This Row],[Away]]</f>
        <v>Plymouth Argyle</v>
      </c>
      <c r="U74" t="s">
        <v>116</v>
      </c>
      <c r="V74" t="s">
        <v>117</v>
      </c>
      <c r="W74" t="s">
        <v>110</v>
      </c>
      <c r="X74" t="s">
        <v>4</v>
      </c>
      <c r="Y74" t="s">
        <v>5</v>
      </c>
      <c r="Z74" t="s">
        <v>6</v>
      </c>
      <c r="AA74" t="s">
        <v>7</v>
      </c>
      <c r="AB74" t="s">
        <v>8</v>
      </c>
      <c r="AC74" t="s">
        <v>9</v>
      </c>
      <c r="AD74" t="s">
        <v>10</v>
      </c>
      <c r="AT74">
        <f t="shared" si="21"/>
        <v>1.1818181818181819</v>
      </c>
      <c r="AU74">
        <f t="shared" si="22"/>
        <v>1.1272727272727272</v>
      </c>
      <c r="AV74">
        <v>0.52941176470588236</v>
      </c>
      <c r="AW74">
        <v>0.05</v>
      </c>
      <c r="AX74">
        <v>48.31111111111111</v>
      </c>
      <c r="AY74">
        <f>'Attacking Stats'!I18</f>
        <v>2.3199999999999998</v>
      </c>
      <c r="AZ74">
        <f>'Attacking Stats'!M18</f>
        <v>8.8165680473372782E-2</v>
      </c>
      <c r="BU74" t="s">
        <v>378</v>
      </c>
      <c r="BV74">
        <f>(VLOOKUP(BU74,Stats[[Team]:[xGD/90]],6,FALSE)/VLOOKUP(BU74,Stats[[Team]:[xGD/90]],2,FALSE))</f>
        <v>1.1818181818181819</v>
      </c>
      <c r="BW74">
        <f>(VLOOKUP(BU74,Stats[[Team]:[xGD/90]],11,FALSE)/VLOOKUP(BU74,Stats[[Team]:[xGD/90]],2,FALSE))</f>
        <v>1.1272727272727272</v>
      </c>
      <c r="BY74">
        <f>(VLOOKUP(BU74,Stats[[Team]:[xGD/90]],7,FALSE)/VLOOKUP(BU74,Stats[[Team]:[xGD/90]],2,FALSE))</f>
        <v>1.4545454545454546</v>
      </c>
      <c r="BZ74">
        <f>(VLOOKUP(BU74,Stats[[Team]:[xGD/90]],12,FALSE)/VLOOKUP(BU74,Stats[[Team]:[xGD/90]],2,FALSE))</f>
        <v>1.3863636363636365</v>
      </c>
      <c r="CB74">
        <f>BV74-BW74</f>
        <v>5.4545454545454675E-2</v>
      </c>
      <c r="CC74">
        <f>BY74-BZ74</f>
        <v>6.8181818181818121E-2</v>
      </c>
      <c r="CE74" s="8">
        <f>CB74/BV74</f>
        <v>4.615384615384626E-2</v>
      </c>
      <c r="CF74" s="8">
        <f>CC74/BY74</f>
        <v>4.6874999999999958E-2</v>
      </c>
    </row>
    <row r="75" spans="1:84" x14ac:dyDescent="0.25">
      <c r="A75">
        <v>7</v>
      </c>
      <c r="B75" t="s">
        <v>396</v>
      </c>
      <c r="C75">
        <v>0</v>
      </c>
      <c r="D75">
        <v>1</v>
      </c>
      <c r="E75" t="s">
        <v>385</v>
      </c>
      <c r="K75">
        <f>Scores_and_Fixtures[[#This Row],[Wk]]</f>
        <v>7</v>
      </c>
      <c r="L75" t="str">
        <f>Scores_and_Fixtures[[#This Row],[Home]]</f>
        <v>Southampton</v>
      </c>
      <c r="M75">
        <f ca="1">IF(ISBLANK(Scores_and_Fixtures[[#This Row],[Home Score]])=FALSE,Scores_and_Fixtures[[#This Row],[Home Score]],_xlfn.BINOM.INV(10000,(VLOOKUP(L75,$CK$4:$CM$27,2,FALSE)*VLOOKUP(O75,$CK$4:$CM$27,3,FALSE)*($CM$2/2))/10000,RAND()))</f>
        <v>0</v>
      </c>
      <c r="N75">
        <f ca="1">IF(ISBLANK(Scores_and_Fixtures[[#This Row],[Away Score]])=FALSE,Scores_and_Fixtures[[#This Row],[Away Score]],_xlfn.BINOM.INV(10000,(VLOOKUP(O75,$CK$4:$CM$27,2,FALSE)*VLOOKUP(L75,$CK$4:$CM$27,3,FALSE)*($CM$2/2))/10000,RAND()))</f>
        <v>1</v>
      </c>
      <c r="O75" t="str">
        <f>Scores_and_Fixtures[[#This Row],[Away]]</f>
        <v>Ipswich Town</v>
      </c>
      <c r="U75">
        <v>1</v>
      </c>
      <c r="V75" t="str">
        <f t="shared" ref="V75:V98" ca="1" si="29">INDEX($U$47:$AD$71,MATCH(U75,$U$47:$U$71,0),2)</f>
        <v>Leicester City</v>
      </c>
      <c r="W75">
        <f t="shared" ref="W75:W98" ca="1" si="30">INDEX($U$47:$AD$71,MATCH(U75,$U$47:$U$71,0),3)</f>
        <v>32</v>
      </c>
      <c r="X75">
        <f t="shared" ref="X75:X98" ca="1" si="31">INDEX($U$47:$AD$71,MATCH($U75,$U$47:$U$71,0),4)</f>
        <v>26</v>
      </c>
      <c r="Y75">
        <f t="shared" ref="Y75:Y98" ca="1" si="32">INDEX($U$47:$AD$71,MATCH($U75,$U$47:$U$71,0),5)</f>
        <v>3</v>
      </c>
      <c r="Z75">
        <f t="shared" ref="Z75:Z98" ca="1" si="33">INDEX($U$47:$AD$71,MATCH($U75,$U$47:$U$71,0),6)</f>
        <v>3</v>
      </c>
      <c r="AA75">
        <f t="shared" ref="AA75:AA98" ca="1" si="34">INDEX($U$47:$AD$71,MATCH($U75,$U$47:$U$71,0),7)</f>
        <v>62</v>
      </c>
      <c r="AB75">
        <f t="shared" ref="AB75:AB98" ca="1" si="35">INDEX($U$47:$AD$71,MATCH($U75,$U$47:$U$71,0),8)</f>
        <v>20</v>
      </c>
      <c r="AC75">
        <f ca="1">INDEX($U$47:$AD$71,MATCH($U75,$U$47:$U$71,0),9)</f>
        <v>42</v>
      </c>
      <c r="AD75">
        <f t="shared" ref="AD75:AD98" ca="1" si="36">INDEX($U$47:$AD$71,MATCH($U75,$U$47:$U$71,0),10)</f>
        <v>81</v>
      </c>
      <c r="AT75">
        <f t="shared" si="21"/>
        <v>1.3636363636363635</v>
      </c>
      <c r="AU75">
        <f t="shared" si="22"/>
        <v>1.2272727272727273</v>
      </c>
      <c r="AV75">
        <v>1.8823529411764706</v>
      </c>
      <c r="AW75">
        <v>0.11</v>
      </c>
      <c r="AX75">
        <v>100.96666666666667</v>
      </c>
      <c r="AY75">
        <f>'Attacking Stats'!I19</f>
        <v>2.77</v>
      </c>
      <c r="AZ75">
        <f>'Attacking Stats'!M19</f>
        <v>9.9999999999999992E-2</v>
      </c>
      <c r="BU75" t="s">
        <v>379</v>
      </c>
      <c r="BV75">
        <f>(VLOOKUP(BU75,Stats[[Team]:[xGD/90]],6,FALSE)/VLOOKUP(BU75,Stats[[Team]:[xGD/90]],2,FALSE))</f>
        <v>1.5454545454545454</v>
      </c>
      <c r="BW75">
        <f>(VLOOKUP(BU75,Stats[[Team]:[xGD/90]],11,FALSE)/VLOOKUP(BU75,Stats[[Team]:[xGD/90]],2,FALSE))</f>
        <v>1.5181818181818181</v>
      </c>
      <c r="BY75">
        <f>(VLOOKUP(BU75,Stats[[Team]:[xGD/90]],7,FALSE)/VLOOKUP(BU75,Stats[[Team]:[xGD/90]],2,FALSE))</f>
        <v>1.7272727272727273</v>
      </c>
      <c r="BZ75">
        <f>(VLOOKUP(BU75,Stats[[Team]:[xGD/90]],12,FALSE)/VLOOKUP(BU75,Stats[[Team]:[xGD/90]],2,FALSE))</f>
        <v>1.4590909090909092</v>
      </c>
      <c r="CB75">
        <f t="shared" ref="CB75:CB93" si="37">BV75-BW75</f>
        <v>2.7272727272727337E-2</v>
      </c>
      <c r="CC75">
        <f t="shared" ref="CC75:CC93" si="38">BY75-BZ75</f>
        <v>0.26818181818181808</v>
      </c>
      <c r="CE75" s="8">
        <f t="shared" ref="CE75:CE93" si="39">CB75/BV75</f>
        <v>1.7647058823529453E-2</v>
      </c>
      <c r="CF75" s="8">
        <f t="shared" ref="CF75:CF93" si="40">CC75/BY75</f>
        <v>0.15526315789473677</v>
      </c>
    </row>
    <row r="76" spans="1:84" x14ac:dyDescent="0.25">
      <c r="A76">
        <v>7</v>
      </c>
      <c r="B76" t="s">
        <v>381</v>
      </c>
      <c r="C76">
        <v>3</v>
      </c>
      <c r="D76">
        <v>2</v>
      </c>
      <c r="E76" t="s">
        <v>382</v>
      </c>
      <c r="K76">
        <f>Scores_and_Fixtures[[#This Row],[Wk]]</f>
        <v>7</v>
      </c>
      <c r="L76" t="str">
        <f>Scores_and_Fixtures[[#This Row],[Home]]</f>
        <v>Cardiff City</v>
      </c>
      <c r="M76">
        <f ca="1">IF(ISBLANK(Scores_and_Fixtures[[#This Row],[Home Score]])=FALSE,Scores_and_Fixtures[[#This Row],[Home Score]],_xlfn.BINOM.INV(10000,(VLOOKUP(L76,$CK$4:$CM$27,2,FALSE)*VLOOKUP(O76,$CK$4:$CM$27,3,FALSE)*($CM$2/2))/10000,RAND()))</f>
        <v>3</v>
      </c>
      <c r="N76">
        <f ca="1">IF(ISBLANK(Scores_and_Fixtures[[#This Row],[Away Score]])=FALSE,Scores_and_Fixtures[[#This Row],[Away Score]],_xlfn.BINOM.INV(10000,(VLOOKUP(O76,$CK$4:$CM$27,2,FALSE)*VLOOKUP(L76,$CK$4:$CM$27,3,FALSE)*($CM$2/2))/10000,RAND()))</f>
        <v>2</v>
      </c>
      <c r="O76" t="str">
        <f>Scores_and_Fixtures[[#This Row],[Away]]</f>
        <v>Coventry City</v>
      </c>
      <c r="U76">
        <v>2</v>
      </c>
      <c r="V76" t="str">
        <f t="shared" ca="1" si="29"/>
        <v>Ipswich Town</v>
      </c>
      <c r="W76">
        <f t="shared" ca="1" si="30"/>
        <v>32</v>
      </c>
      <c r="X76">
        <f t="shared" ca="1" si="31"/>
        <v>21</v>
      </c>
      <c r="Y76">
        <f t="shared" ca="1" si="32"/>
        <v>8</v>
      </c>
      <c r="Z76">
        <f t="shared" ca="1" si="33"/>
        <v>3</v>
      </c>
      <c r="AA76">
        <f t="shared" ca="1" si="34"/>
        <v>71</v>
      </c>
      <c r="AB76">
        <f t="shared" ca="1" si="35"/>
        <v>41</v>
      </c>
      <c r="AC76">
        <f t="shared" ref="AC76:AC97" ca="1" si="41">AC49</f>
        <v>-10</v>
      </c>
      <c r="AD76">
        <f t="shared" ca="1" si="36"/>
        <v>71</v>
      </c>
      <c r="AT76">
        <f t="shared" si="21"/>
        <v>0.95454545454545459</v>
      </c>
      <c r="AU76">
        <f t="shared" si="22"/>
        <v>1.1636363636363638</v>
      </c>
      <c r="AV76">
        <v>1.5625</v>
      </c>
      <c r="AW76">
        <v>0.13</v>
      </c>
      <c r="AX76">
        <v>60.966666666666669</v>
      </c>
      <c r="AY76">
        <f>'Attacking Stats'!I20</f>
        <v>5.36</v>
      </c>
      <c r="AZ76">
        <f>'Attacking Stats'!M20</f>
        <v>0.10329341317365269</v>
      </c>
      <c r="BU76" t="s">
        <v>380</v>
      </c>
      <c r="BV76">
        <f>(VLOOKUP(BU76,Stats[[Team]:[xGD/90]],6,FALSE)/VLOOKUP(BU76,Stats[[Team]:[xGD/90]],2,FALSE))</f>
        <v>1.0454545454545454</v>
      </c>
      <c r="BW76">
        <f>(VLOOKUP(BU76,Stats[[Team]:[xGD/90]],11,FALSE)/VLOOKUP(BU76,Stats[[Team]:[xGD/90]],2,FALSE))</f>
        <v>1.1227272727272728</v>
      </c>
      <c r="BY76">
        <f>(VLOOKUP(BU76,Stats[[Team]:[xGD/90]],7,FALSE)/VLOOKUP(BU76,Stats[[Team]:[xGD/90]],2,FALSE))</f>
        <v>1.0909090909090908</v>
      </c>
      <c r="BZ76">
        <f>(VLOOKUP(BU76,Stats[[Team]:[xGD/90]],12,FALSE)/VLOOKUP(BU76,Stats[[Team]:[xGD/90]],2,FALSE))</f>
        <v>1.1045454545454545</v>
      </c>
      <c r="CB76">
        <f t="shared" si="37"/>
        <v>-7.7272727272727382E-2</v>
      </c>
      <c r="CC76">
        <f t="shared" si="38"/>
        <v>-1.3636363636363669E-2</v>
      </c>
      <c r="CE76" s="8">
        <f t="shared" si="39"/>
        <v>-7.391304347826097E-2</v>
      </c>
      <c r="CF76" s="8">
        <f t="shared" si="40"/>
        <v>-1.250000000000003E-2</v>
      </c>
    </row>
    <row r="77" spans="1:84" x14ac:dyDescent="0.25">
      <c r="A77">
        <v>7</v>
      </c>
      <c r="B77" t="s">
        <v>393</v>
      </c>
      <c r="C77">
        <v>1</v>
      </c>
      <c r="D77">
        <v>1</v>
      </c>
      <c r="E77" t="s">
        <v>399</v>
      </c>
      <c r="K77">
        <f>Scores_and_Fixtures[[#This Row],[Wk]]</f>
        <v>7</v>
      </c>
      <c r="L77" t="str">
        <f>Scores_and_Fixtures[[#This Row],[Home]]</f>
        <v>QPR</v>
      </c>
      <c r="M77">
        <f ca="1">IF(ISBLANK(Scores_and_Fixtures[[#This Row],[Home Score]])=FALSE,Scores_and_Fixtures[[#This Row],[Home Score]],_xlfn.BINOM.INV(10000,(VLOOKUP(L77,$CK$4:$CM$27,2,FALSE)*VLOOKUP(O77,$CK$4:$CM$27,3,FALSE)*($CM$2/2))/10000,RAND()))</f>
        <v>1</v>
      </c>
      <c r="N77">
        <f ca="1">IF(ISBLANK(Scores_and_Fixtures[[#This Row],[Away Score]])=FALSE,Scores_and_Fixtures[[#This Row],[Away Score]],_xlfn.BINOM.INV(10000,(VLOOKUP(O77,$CK$4:$CM$27,2,FALSE)*VLOOKUP(L77,$CK$4:$CM$27,3,FALSE)*($CM$2/2))/10000,RAND()))</f>
        <v>1</v>
      </c>
      <c r="O77" t="str">
        <f>Scores_and_Fixtures[[#This Row],[Away]]</f>
        <v>Swansea City</v>
      </c>
      <c r="U77">
        <v>3</v>
      </c>
      <c r="V77" t="str">
        <f t="shared" ca="1" si="29"/>
        <v>Leeds United</v>
      </c>
      <c r="W77">
        <f t="shared" ca="1" si="30"/>
        <v>32</v>
      </c>
      <c r="X77">
        <f t="shared" ca="1" si="31"/>
        <v>17</v>
      </c>
      <c r="Y77">
        <f t="shared" ca="1" si="32"/>
        <v>9</v>
      </c>
      <c r="Z77">
        <f t="shared" ca="1" si="33"/>
        <v>6</v>
      </c>
      <c r="AA77">
        <f t="shared" ca="1" si="34"/>
        <v>53</v>
      </c>
      <c r="AB77">
        <f t="shared" ca="1" si="35"/>
        <v>36</v>
      </c>
      <c r="AC77">
        <f t="shared" ca="1" si="41"/>
        <v>-2</v>
      </c>
      <c r="AD77">
        <f t="shared" ca="1" si="36"/>
        <v>60</v>
      </c>
      <c r="AT77">
        <f t="shared" si="21"/>
        <v>0.90909090909090906</v>
      </c>
      <c r="AU77">
        <f t="shared" si="22"/>
        <v>0.67727272727272725</v>
      </c>
      <c r="AV77">
        <v>1.25</v>
      </c>
      <c r="AW77">
        <v>0.11</v>
      </c>
      <c r="AX77">
        <v>69.966666666666669</v>
      </c>
      <c r="AY77">
        <f>'Attacking Stats'!I25</f>
        <v>3.14</v>
      </c>
      <c r="AZ77">
        <f>'Attacking Stats'!M25</f>
        <v>0.10483870967741936</v>
      </c>
      <c r="BU77" t="s">
        <v>381</v>
      </c>
      <c r="BV77">
        <f>(VLOOKUP(BU77,Stats[[Team]:[xGD/90]],6,FALSE)/VLOOKUP(BU77,Stats[[Team]:[xGD/90]],2,FALSE))</f>
        <v>1.2727272727272727</v>
      </c>
      <c r="BW77">
        <f>(VLOOKUP(BU77,Stats[[Team]:[xGD/90]],11,FALSE)/VLOOKUP(BU77,Stats[[Team]:[xGD/90]],2,FALSE))</f>
        <v>1.0818181818181818</v>
      </c>
      <c r="BY77">
        <f>(VLOOKUP(BU77,Stats[[Team]:[xGD/90]],7,FALSE)/VLOOKUP(BU77,Stats[[Team]:[xGD/90]],2,FALSE))</f>
        <v>1.2272727272727273</v>
      </c>
      <c r="BZ77">
        <f>(VLOOKUP(BU77,Stats[[Team]:[xGD/90]],12,FALSE)/VLOOKUP(BU77,Stats[[Team]:[xGD/90]],2,FALSE))</f>
        <v>1.4227272727272728</v>
      </c>
      <c r="CB77">
        <f t="shared" si="37"/>
        <v>0.19090909090909092</v>
      </c>
      <c r="CC77">
        <f t="shared" si="38"/>
        <v>-0.19545454545454555</v>
      </c>
      <c r="CE77" s="8">
        <f t="shared" si="39"/>
        <v>0.15000000000000002</v>
      </c>
      <c r="CF77" s="8">
        <f t="shared" si="40"/>
        <v>-0.15925925925925932</v>
      </c>
    </row>
    <row r="78" spans="1:84" x14ac:dyDescent="0.25">
      <c r="A78">
        <v>7</v>
      </c>
      <c r="B78" t="s">
        <v>392</v>
      </c>
      <c r="C78">
        <v>2</v>
      </c>
      <c r="D78">
        <v>1</v>
      </c>
      <c r="E78" t="s">
        <v>378</v>
      </c>
      <c r="K78">
        <f>Scores_and_Fixtures[[#This Row],[Wk]]</f>
        <v>7</v>
      </c>
      <c r="L78" t="str">
        <f>Scores_and_Fixtures[[#This Row],[Home]]</f>
        <v>Preston</v>
      </c>
      <c r="M78">
        <f ca="1">IF(ISBLANK(Scores_and_Fixtures[[#This Row],[Home Score]])=FALSE,Scores_and_Fixtures[[#This Row],[Home Score]],_xlfn.BINOM.INV(10000,(VLOOKUP(L78,$CK$4:$CM$27,2,FALSE)*VLOOKUP(O78,$CK$4:$CM$27,3,FALSE)*($CM$2/2))/10000,RAND()))</f>
        <v>2</v>
      </c>
      <c r="N78">
        <f ca="1">IF(ISBLANK(Scores_and_Fixtures[[#This Row],[Away Score]])=FALSE,Scores_and_Fixtures[[#This Row],[Away Score]],_xlfn.BINOM.INV(10000,(VLOOKUP(O78,$CK$4:$CM$27,2,FALSE)*VLOOKUP(L78,$CK$4:$CM$27,3,FALSE)*($CM$2/2))/10000,RAND()))</f>
        <v>1</v>
      </c>
      <c r="O78" t="str">
        <f>Scores_and_Fixtures[[#This Row],[Away]]</f>
        <v>Birmingham City</v>
      </c>
      <c r="U78">
        <v>4</v>
      </c>
      <c r="V78" t="str">
        <f t="shared" ca="1" si="29"/>
        <v>West Brom</v>
      </c>
      <c r="W78">
        <f t="shared" ca="1" si="30"/>
        <v>31</v>
      </c>
      <c r="X78">
        <f t="shared" ca="1" si="31"/>
        <v>16</v>
      </c>
      <c r="Y78">
        <f t="shared" ca="1" si="32"/>
        <v>9</v>
      </c>
      <c r="Z78">
        <f t="shared" ca="1" si="33"/>
        <v>6</v>
      </c>
      <c r="AA78">
        <f t="shared" ca="1" si="34"/>
        <v>60</v>
      </c>
      <c r="AB78">
        <f t="shared" ca="1" si="35"/>
        <v>28</v>
      </c>
      <c r="AC78">
        <f t="shared" ca="1" si="41"/>
        <v>7</v>
      </c>
      <c r="AD78">
        <f t="shared" ca="1" si="36"/>
        <v>57</v>
      </c>
      <c r="BU78" t="s">
        <v>382</v>
      </c>
      <c r="BV78">
        <f>(VLOOKUP(BU78,Stats[[Team]:[xGD/90]],6,FALSE)/VLOOKUP(BU78,Stats[[Team]:[xGD/90]],2,FALSE))</f>
        <v>1.2727272727272727</v>
      </c>
      <c r="BW78">
        <f>(VLOOKUP(BU78,Stats[[Team]:[xGD/90]],11,FALSE)/VLOOKUP(BU78,Stats[[Team]:[xGD/90]],2,FALSE))</f>
        <v>1.4227272727272728</v>
      </c>
      <c r="BY78">
        <f>(VLOOKUP(BU78,Stats[[Team]:[xGD/90]],7,FALSE)/VLOOKUP(BU78,Stats[[Team]:[xGD/90]],2,FALSE))</f>
        <v>1.1363636363636365</v>
      </c>
      <c r="BZ78">
        <f>(VLOOKUP(BU78,Stats[[Team]:[xGD/90]],12,FALSE)/VLOOKUP(BU78,Stats[[Team]:[xGD/90]],2,FALSE))</f>
        <v>1.0909090909090908</v>
      </c>
      <c r="CB78">
        <f t="shared" si="37"/>
        <v>-0.15000000000000013</v>
      </c>
      <c r="CC78">
        <f t="shared" si="38"/>
        <v>4.5454545454545636E-2</v>
      </c>
      <c r="CE78" s="8">
        <f t="shared" si="39"/>
        <v>-0.11785714285714297</v>
      </c>
      <c r="CF78" s="8">
        <f t="shared" si="40"/>
        <v>4.0000000000000153E-2</v>
      </c>
    </row>
    <row r="79" spans="1:84" x14ac:dyDescent="0.25">
      <c r="A79">
        <v>7</v>
      </c>
      <c r="B79" t="s">
        <v>395</v>
      </c>
      <c r="C79">
        <v>1</v>
      </c>
      <c r="D79">
        <v>1</v>
      </c>
      <c r="E79" t="s">
        <v>388</v>
      </c>
      <c r="K79">
        <f>Scores_and_Fixtures[[#This Row],[Wk]]</f>
        <v>7</v>
      </c>
      <c r="L79" t="str">
        <f>Scores_and_Fixtures[[#This Row],[Home]]</f>
        <v>Sheffield Weds</v>
      </c>
      <c r="M79">
        <f ca="1">IF(ISBLANK(Scores_and_Fixtures[[#This Row],[Home Score]])=FALSE,Scores_and_Fixtures[[#This Row],[Home Score]],_xlfn.BINOM.INV(10000,(VLOOKUP(L79,$CK$4:$CM$27,2,FALSE)*VLOOKUP(O79,$CK$4:$CM$27,3,FALSE)*($CM$2/2))/10000,RAND()))</f>
        <v>1</v>
      </c>
      <c r="N79">
        <f ca="1">IF(ISBLANK(Scores_and_Fixtures[[#This Row],[Away Score]])=FALSE,Scores_and_Fixtures[[#This Row],[Away Score]],_xlfn.BINOM.INV(10000,(VLOOKUP(O79,$CK$4:$CM$27,2,FALSE)*VLOOKUP(L79,$CK$4:$CM$27,3,FALSE)*($CM$2/2))/10000,RAND()))</f>
        <v>1</v>
      </c>
      <c r="O79" t="str">
        <f>Scores_and_Fixtures[[#This Row],[Away]]</f>
        <v>Middlesbrough</v>
      </c>
      <c r="U79">
        <v>5</v>
      </c>
      <c r="V79" t="str">
        <f t="shared" ca="1" si="29"/>
        <v>Southampton</v>
      </c>
      <c r="W79">
        <f t="shared" ca="1" si="30"/>
        <v>32</v>
      </c>
      <c r="X79">
        <f t="shared" ca="1" si="31"/>
        <v>15</v>
      </c>
      <c r="Y79">
        <f t="shared" ca="1" si="32"/>
        <v>9</v>
      </c>
      <c r="Z79">
        <f t="shared" ca="1" si="33"/>
        <v>8</v>
      </c>
      <c r="AA79">
        <f t="shared" ca="1" si="34"/>
        <v>48</v>
      </c>
      <c r="AB79">
        <f t="shared" ca="1" si="35"/>
        <v>41</v>
      </c>
      <c r="AC79">
        <f t="shared" ca="1" si="41"/>
        <v>-1</v>
      </c>
      <c r="AD79">
        <f t="shared" ca="1" si="36"/>
        <v>54</v>
      </c>
      <c r="AS79" t="s">
        <v>282</v>
      </c>
      <c r="AU79">
        <f>CORREL(AU58:AU77,$AT$58:$AT$77)</f>
        <v>0.79278738368376955</v>
      </c>
      <c r="AV79">
        <f t="shared" ref="AV79:BF79" si="42">CORREL(AV58:AV77,$AT$58:$AT$77)</f>
        <v>0.38063453806540626</v>
      </c>
      <c r="AW79">
        <f t="shared" si="42"/>
        <v>0.20215191952042824</v>
      </c>
      <c r="AX79">
        <f t="shared" si="42"/>
        <v>0.21801703846500783</v>
      </c>
      <c r="AY79">
        <f t="shared" si="42"/>
        <v>4.8410378332851861E-2</v>
      </c>
      <c r="AZ79">
        <f t="shared" si="42"/>
        <v>0.23405697226769867</v>
      </c>
      <c r="BA79" t="e">
        <f t="shared" si="42"/>
        <v>#DIV/0!</v>
      </c>
      <c r="BB79" t="e">
        <f t="shared" si="42"/>
        <v>#DIV/0!</v>
      </c>
      <c r="BC79" t="e">
        <f t="shared" si="42"/>
        <v>#DIV/0!</v>
      </c>
      <c r="BD79" t="e">
        <f t="shared" si="42"/>
        <v>#DIV/0!</v>
      </c>
      <c r="BE79" t="e">
        <f t="shared" si="42"/>
        <v>#DIV/0!</v>
      </c>
      <c r="BF79" t="e">
        <f t="shared" si="42"/>
        <v>#DIV/0!</v>
      </c>
      <c r="BU79" t="s">
        <v>383</v>
      </c>
      <c r="BV79">
        <f>(VLOOKUP(BU79,Stats[[Team]:[xGD/90]],6,FALSE)/VLOOKUP(BU79,Stats[[Team]:[xGD/90]],2,FALSE))</f>
        <v>0.95454545454545459</v>
      </c>
      <c r="BW79">
        <f>(VLOOKUP(BU79,Stats[[Team]:[xGD/90]],11,FALSE)/VLOOKUP(BU79,Stats[[Team]:[xGD/90]],2,FALSE))</f>
        <v>1.0045454545454546</v>
      </c>
      <c r="BY79">
        <f>(VLOOKUP(BU79,Stats[[Team]:[xGD/90]],7,FALSE)/VLOOKUP(BU79,Stats[[Team]:[xGD/90]],2,FALSE))</f>
        <v>1.6363636363636365</v>
      </c>
      <c r="BZ79">
        <f>(VLOOKUP(BU79,Stats[[Team]:[xGD/90]],12,FALSE)/VLOOKUP(BU79,Stats[[Team]:[xGD/90]],2,FALSE))</f>
        <v>1.4818181818181819</v>
      </c>
      <c r="CB79">
        <f t="shared" si="37"/>
        <v>-5.0000000000000044E-2</v>
      </c>
      <c r="CC79">
        <f t="shared" si="38"/>
        <v>0.15454545454545454</v>
      </c>
      <c r="CE79" s="8">
        <f t="shared" si="39"/>
        <v>-5.2380952380952424E-2</v>
      </c>
      <c r="CF79" s="8">
        <f t="shared" si="40"/>
        <v>9.4444444444444442E-2</v>
      </c>
    </row>
    <row r="80" spans="1:84" x14ac:dyDescent="0.25">
      <c r="A80">
        <v>7</v>
      </c>
      <c r="B80" t="s">
        <v>384</v>
      </c>
      <c r="C80">
        <v>0</v>
      </c>
      <c r="D80">
        <v>0</v>
      </c>
      <c r="E80" t="s">
        <v>386</v>
      </c>
      <c r="K80">
        <f>Scores_and_Fixtures[[#This Row],[Wk]]</f>
        <v>7</v>
      </c>
      <c r="L80" t="str">
        <f>Scores_and_Fixtures[[#This Row],[Home]]</f>
        <v>Hull City</v>
      </c>
      <c r="M80">
        <f ca="1">IF(ISBLANK(Scores_and_Fixtures[[#This Row],[Home Score]])=FALSE,Scores_and_Fixtures[[#This Row],[Home Score]],_xlfn.BINOM.INV(10000,(VLOOKUP(L80,$CK$4:$CM$27,2,FALSE)*VLOOKUP(O80,$CK$4:$CM$27,3,FALSE)*($CM$2/2))/10000,RAND()))</f>
        <v>0</v>
      </c>
      <c r="N80">
        <f ca="1">IF(ISBLANK(Scores_and_Fixtures[[#This Row],[Away Score]])=FALSE,Scores_and_Fixtures[[#This Row],[Away Score]],_xlfn.BINOM.INV(10000,(VLOOKUP(O80,$CK$4:$CM$27,2,FALSE)*VLOOKUP(L80,$CK$4:$CM$27,3,FALSE)*($CM$2/2))/10000,RAND()))</f>
        <v>0</v>
      </c>
      <c r="O80" t="str">
        <f>Scores_and_Fixtures[[#This Row],[Away]]</f>
        <v>Leeds United</v>
      </c>
      <c r="U80">
        <v>6</v>
      </c>
      <c r="V80" t="str">
        <f t="shared" ca="1" si="29"/>
        <v>Hull City</v>
      </c>
      <c r="W80">
        <f t="shared" ca="1" si="30"/>
        <v>32</v>
      </c>
      <c r="X80">
        <f t="shared" ca="1" si="31"/>
        <v>13</v>
      </c>
      <c r="Y80">
        <f t="shared" ca="1" si="32"/>
        <v>12</v>
      </c>
      <c r="Z80">
        <f t="shared" ca="1" si="33"/>
        <v>7</v>
      </c>
      <c r="AA80">
        <f t="shared" ca="1" si="34"/>
        <v>54</v>
      </c>
      <c r="AB80">
        <f t="shared" ca="1" si="35"/>
        <v>38</v>
      </c>
      <c r="AC80">
        <f t="shared" ca="1" si="41"/>
        <v>-27</v>
      </c>
      <c r="AD80">
        <f t="shared" ca="1" si="36"/>
        <v>51</v>
      </c>
      <c r="BU80" t="s">
        <v>384</v>
      </c>
      <c r="BV80">
        <f>(VLOOKUP(BU80,Stats[[Team]:[xGD/90]],6,FALSE)/VLOOKUP(BU80,Stats[[Team]:[xGD/90]],2,FALSE))</f>
        <v>1.5454545454545454</v>
      </c>
      <c r="BW80">
        <f>(VLOOKUP(BU80,Stats[[Team]:[xGD/90]],11,FALSE)/VLOOKUP(BU80,Stats[[Team]:[xGD/90]],2,FALSE))</f>
        <v>1.3499999999999999</v>
      </c>
      <c r="BY80">
        <f>(VLOOKUP(BU80,Stats[[Team]:[xGD/90]],7,FALSE)/VLOOKUP(BU80,Stats[[Team]:[xGD/90]],2,FALSE))</f>
        <v>1.2272727272727273</v>
      </c>
      <c r="BZ80">
        <f>(VLOOKUP(BU80,Stats[[Team]:[xGD/90]],12,FALSE)/VLOOKUP(BU80,Stats[[Team]:[xGD/90]],2,FALSE))</f>
        <v>1.0954545454545455</v>
      </c>
      <c r="CB80">
        <f t="shared" si="37"/>
        <v>0.19545454545454555</v>
      </c>
      <c r="CC80">
        <f t="shared" si="38"/>
        <v>0.13181818181818183</v>
      </c>
      <c r="CE80" s="8">
        <f t="shared" si="39"/>
        <v>0.12647058823529417</v>
      </c>
      <c r="CF80" s="8">
        <f t="shared" si="40"/>
        <v>0.10740740740740742</v>
      </c>
    </row>
    <row r="81" spans="1:84" x14ac:dyDescent="0.25">
      <c r="A81">
        <v>7</v>
      </c>
      <c r="B81" t="s">
        <v>400</v>
      </c>
      <c r="C81">
        <v>2</v>
      </c>
      <c r="D81">
        <v>2</v>
      </c>
      <c r="E81" t="s">
        <v>401</v>
      </c>
      <c r="K81">
        <f>Scores_and_Fixtures[[#This Row],[Wk]]</f>
        <v>7</v>
      </c>
      <c r="L81" t="str">
        <f>Scores_and_Fixtures[[#This Row],[Home]]</f>
        <v>Watford</v>
      </c>
      <c r="M81">
        <f ca="1">IF(ISBLANK(Scores_and_Fixtures[[#This Row],[Home Score]])=FALSE,Scores_and_Fixtures[[#This Row],[Home Score]],_xlfn.BINOM.INV(10000,(VLOOKUP(L81,$CK$4:$CM$27,2,FALSE)*VLOOKUP(O81,$CK$4:$CM$27,3,FALSE)*($CM$2/2))/10000,RAND()))</f>
        <v>2</v>
      </c>
      <c r="N81">
        <f ca="1">IF(ISBLANK(Scores_and_Fixtures[[#This Row],[Away Score]])=FALSE,Scores_and_Fixtures[[#This Row],[Away Score]],_xlfn.BINOM.INV(10000,(VLOOKUP(O81,$CK$4:$CM$27,2,FALSE)*VLOOKUP(L81,$CK$4:$CM$27,3,FALSE)*($CM$2/2))/10000,RAND()))</f>
        <v>2</v>
      </c>
      <c r="O81" t="str">
        <f>Scores_and_Fixtures[[#This Row],[Away]]</f>
        <v>West Brom</v>
      </c>
      <c r="U81">
        <v>7</v>
      </c>
      <c r="V81" t="str">
        <f t="shared" ca="1" si="29"/>
        <v>Watford</v>
      </c>
      <c r="W81">
        <f t="shared" ca="1" si="30"/>
        <v>32</v>
      </c>
      <c r="X81">
        <f t="shared" ca="1" si="31"/>
        <v>14</v>
      </c>
      <c r="Y81">
        <f t="shared" ca="1" si="32"/>
        <v>8</v>
      </c>
      <c r="Z81">
        <f t="shared" ca="1" si="33"/>
        <v>10</v>
      </c>
      <c r="AA81">
        <f t="shared" ca="1" si="34"/>
        <v>46</v>
      </c>
      <c r="AB81">
        <f t="shared" ca="1" si="35"/>
        <v>32</v>
      </c>
      <c r="AC81">
        <f t="shared" ca="1" si="41"/>
        <v>16</v>
      </c>
      <c r="AD81">
        <f t="shared" ca="1" si="36"/>
        <v>50</v>
      </c>
      <c r="BU81" t="s">
        <v>385</v>
      </c>
      <c r="BV81">
        <f>(VLOOKUP(BU81,Stats[[Team]:[xGD/90]],6,FALSE)/VLOOKUP(BU81,Stats[[Team]:[xGD/90]],2,FALSE))</f>
        <v>2.1363636363636362</v>
      </c>
      <c r="BW81">
        <f>(VLOOKUP(BU81,Stats[[Team]:[xGD/90]],11,FALSE)/VLOOKUP(BU81,Stats[[Team]:[xGD/90]],2,FALSE))</f>
        <v>1.7272727272727273</v>
      </c>
      <c r="BY81">
        <f>(VLOOKUP(BU81,Stats[[Team]:[xGD/90]],7,FALSE)/VLOOKUP(BU81,Stats[[Team]:[xGD/90]],2,FALSE))</f>
        <v>1.2727272727272727</v>
      </c>
      <c r="BZ81">
        <f>(VLOOKUP(BU81,Stats[[Team]:[xGD/90]],12,FALSE)/VLOOKUP(BU81,Stats[[Team]:[xGD/90]],2,FALSE))</f>
        <v>1.0999999999999999</v>
      </c>
      <c r="CB81">
        <f t="shared" si="37"/>
        <v>0.40909090909090895</v>
      </c>
      <c r="CC81">
        <f t="shared" si="38"/>
        <v>0.17272727272727284</v>
      </c>
      <c r="CE81" s="8">
        <f t="shared" si="39"/>
        <v>0.1914893617021276</v>
      </c>
      <c r="CF81" s="8">
        <f t="shared" si="40"/>
        <v>0.13571428571428581</v>
      </c>
    </row>
    <row r="82" spans="1:84" x14ac:dyDescent="0.25">
      <c r="A82">
        <v>7</v>
      </c>
      <c r="B82" t="s">
        <v>383</v>
      </c>
      <c r="C82">
        <v>2</v>
      </c>
      <c r="D82">
        <v>2</v>
      </c>
      <c r="E82" t="s">
        <v>397</v>
      </c>
      <c r="K82">
        <f>Scores_and_Fixtures[[#This Row],[Wk]]</f>
        <v>7</v>
      </c>
      <c r="L82" t="str">
        <f>Scores_and_Fixtures[[#This Row],[Home]]</f>
        <v>Huddersfield</v>
      </c>
      <c r="M82">
        <f ca="1">IF(ISBLANK(Scores_and_Fixtures[[#This Row],[Home Score]])=FALSE,Scores_and_Fixtures[[#This Row],[Home Score]],_xlfn.BINOM.INV(10000,(VLOOKUP(L82,$CK$4:$CM$27,2,FALSE)*VLOOKUP(O82,$CK$4:$CM$27,3,FALSE)*($CM$2/2))/10000,RAND()))</f>
        <v>2</v>
      </c>
      <c r="N82">
        <f ca="1">IF(ISBLANK(Scores_and_Fixtures[[#This Row],[Away Score]])=FALSE,Scores_and_Fixtures[[#This Row],[Away Score]],_xlfn.BINOM.INV(10000,(VLOOKUP(O82,$CK$4:$CM$27,2,FALSE)*VLOOKUP(L82,$CK$4:$CM$27,3,FALSE)*($CM$2/2))/10000,RAND()))</f>
        <v>2</v>
      </c>
      <c r="O82" t="str">
        <f>Scores_and_Fixtures[[#This Row],[Away]]</f>
        <v>Stoke City</v>
      </c>
      <c r="U82">
        <v>8</v>
      </c>
      <c r="V82" t="str">
        <f t="shared" ca="1" si="29"/>
        <v>Middlesbrough</v>
      </c>
      <c r="W82">
        <f t="shared" ca="1" si="30"/>
        <v>32</v>
      </c>
      <c r="X82">
        <f t="shared" ca="1" si="31"/>
        <v>14</v>
      </c>
      <c r="Y82">
        <f t="shared" ca="1" si="32"/>
        <v>5</v>
      </c>
      <c r="Z82">
        <f t="shared" ca="1" si="33"/>
        <v>13</v>
      </c>
      <c r="AA82">
        <f t="shared" ca="1" si="34"/>
        <v>54</v>
      </c>
      <c r="AB82">
        <f t="shared" ca="1" si="35"/>
        <v>54</v>
      </c>
      <c r="AC82">
        <f t="shared" ca="1" si="41"/>
        <v>30</v>
      </c>
      <c r="AD82">
        <f t="shared" ca="1" si="36"/>
        <v>47</v>
      </c>
      <c r="BU82" t="s">
        <v>386</v>
      </c>
      <c r="BV82">
        <f>(VLOOKUP(BU82,Stats[[Team]:[xGD/90]],6,FALSE)/VLOOKUP(BU82,Stats[[Team]:[xGD/90]],2,FALSE))</f>
        <v>1.6818181818181819</v>
      </c>
      <c r="BW82">
        <f>(VLOOKUP(BU82,Stats[[Team]:[xGD/90]],11,FALSE)/VLOOKUP(BU82,Stats[[Team]:[xGD/90]],2,FALSE))</f>
        <v>1.6727272727272726</v>
      </c>
      <c r="BY82">
        <f>(VLOOKUP(BU82,Stats[[Team]:[xGD/90]],7,FALSE)/VLOOKUP(BU82,Stats[[Team]:[xGD/90]],2,FALSE))</f>
        <v>1</v>
      </c>
      <c r="BZ82">
        <f>(VLOOKUP(BU82,Stats[[Team]:[xGD/90]],12,FALSE)/VLOOKUP(BU82,Stats[[Team]:[xGD/90]],2,FALSE))</f>
        <v>0.91363636363636369</v>
      </c>
      <c r="CB82">
        <f t="shared" si="37"/>
        <v>9.0909090909092605E-3</v>
      </c>
      <c r="CC82">
        <f t="shared" si="38"/>
        <v>8.6363636363636309E-2</v>
      </c>
      <c r="CE82" s="8">
        <f t="shared" si="39"/>
        <v>5.4054054054055063E-3</v>
      </c>
      <c r="CF82" s="8">
        <f t="shared" si="40"/>
        <v>8.6363636363636309E-2</v>
      </c>
    </row>
    <row r="83" spans="1:84" x14ac:dyDescent="0.25">
      <c r="A83">
        <v>7</v>
      </c>
      <c r="B83" t="s">
        <v>379</v>
      </c>
      <c r="C83">
        <v>1</v>
      </c>
      <c r="D83">
        <v>3</v>
      </c>
      <c r="E83" t="s">
        <v>398</v>
      </c>
      <c r="K83">
        <f>Scores_and_Fixtures[[#This Row],[Wk]]</f>
        <v>7</v>
      </c>
      <c r="L83" t="str">
        <f>Scores_and_Fixtures[[#This Row],[Home]]</f>
        <v>Blackburn</v>
      </c>
      <c r="M83">
        <f ca="1">IF(ISBLANK(Scores_and_Fixtures[[#This Row],[Home Score]])=FALSE,Scores_and_Fixtures[[#This Row],[Home Score]],_xlfn.BINOM.INV(10000,(VLOOKUP(L83,$CK$4:$CM$27,2,FALSE)*VLOOKUP(O83,$CK$4:$CM$27,3,FALSE)*($CM$2/2))/10000,RAND()))</f>
        <v>1</v>
      </c>
      <c r="N83">
        <f ca="1">IF(ISBLANK(Scores_and_Fixtures[[#This Row],[Away Score]])=FALSE,Scores_and_Fixtures[[#This Row],[Away Score]],_xlfn.BINOM.INV(10000,(VLOOKUP(O83,$CK$4:$CM$27,2,FALSE)*VLOOKUP(L83,$CK$4:$CM$27,3,FALSE)*($CM$2/2))/10000,RAND()))</f>
        <v>3</v>
      </c>
      <c r="O83" t="str">
        <f>Scores_and_Fixtures[[#This Row],[Away]]</f>
        <v>Sunderland</v>
      </c>
      <c r="U83">
        <v>9</v>
      </c>
      <c r="V83" t="str">
        <f t="shared" ca="1" si="29"/>
        <v>Cardiff City</v>
      </c>
      <c r="W83">
        <f t="shared" ca="1" si="30"/>
        <v>31</v>
      </c>
      <c r="X83">
        <f t="shared" ca="1" si="31"/>
        <v>14</v>
      </c>
      <c r="Y83">
        <f t="shared" ca="1" si="32"/>
        <v>4</v>
      </c>
      <c r="Z83">
        <f t="shared" ca="1" si="33"/>
        <v>13</v>
      </c>
      <c r="AA83">
        <f t="shared" ca="1" si="34"/>
        <v>40</v>
      </c>
      <c r="AB83">
        <f t="shared" ca="1" si="35"/>
        <v>33</v>
      </c>
      <c r="AC83">
        <f t="shared" ca="1" si="41"/>
        <v>17</v>
      </c>
      <c r="AD83">
        <f t="shared" ca="1" si="36"/>
        <v>46</v>
      </c>
      <c r="BU83" t="s">
        <v>387</v>
      </c>
      <c r="BV83">
        <f>(VLOOKUP(BU83,Stats[[Team]:[xGD/90]],6,FALSE)/VLOOKUP(BU83,Stats[[Team]:[xGD/90]],2,FALSE))</f>
        <v>2</v>
      </c>
      <c r="BW83">
        <f>(VLOOKUP(BU83,Stats[[Team]:[xGD/90]],11,FALSE)/VLOOKUP(BU83,Stats[[Team]:[xGD/90]],2,FALSE))</f>
        <v>1.8136363636363635</v>
      </c>
      <c r="BY83">
        <f>(VLOOKUP(BU83,Stats[[Team]:[xGD/90]],7,FALSE)/VLOOKUP(BU83,Stats[[Team]:[xGD/90]],2,FALSE))</f>
        <v>0.72727272727272729</v>
      </c>
      <c r="BZ83">
        <f>(VLOOKUP(BU83,Stats[[Team]:[xGD/90]],12,FALSE)/VLOOKUP(BU83,Stats[[Team]:[xGD/90]],2,FALSE))</f>
        <v>0.93181818181818177</v>
      </c>
      <c r="CB83">
        <f t="shared" si="37"/>
        <v>0.18636363636363651</v>
      </c>
      <c r="CC83">
        <f t="shared" si="38"/>
        <v>-0.20454545454545447</v>
      </c>
      <c r="CE83" s="8">
        <f t="shared" si="39"/>
        <v>9.3181818181818254E-2</v>
      </c>
      <c r="CF83" s="8">
        <f t="shared" si="40"/>
        <v>-0.28124999999999989</v>
      </c>
    </row>
    <row r="84" spans="1:84" x14ac:dyDescent="0.25">
      <c r="A84">
        <v>7</v>
      </c>
      <c r="B84" t="s">
        <v>389</v>
      </c>
      <c r="C84">
        <v>3</v>
      </c>
      <c r="D84">
        <v>0</v>
      </c>
      <c r="E84" t="s">
        <v>394</v>
      </c>
      <c r="K84">
        <f>Scores_and_Fixtures[[#This Row],[Wk]]</f>
        <v>7</v>
      </c>
      <c r="L84" t="str">
        <f>Scores_and_Fixtures[[#This Row],[Home]]</f>
        <v>Millwall</v>
      </c>
      <c r="M84">
        <f ca="1">IF(ISBLANK(Scores_and_Fixtures[[#This Row],[Home Score]])=FALSE,Scores_and_Fixtures[[#This Row],[Home Score]],_xlfn.BINOM.INV(10000,(VLOOKUP(L84,$CK$4:$CM$27,2,FALSE)*VLOOKUP(O84,$CK$4:$CM$27,3,FALSE)*($CM$2/2))/10000,RAND()))</f>
        <v>3</v>
      </c>
      <c r="N84">
        <f ca="1">IF(ISBLANK(Scores_and_Fixtures[[#This Row],[Away Score]])=FALSE,Scores_and_Fixtures[[#This Row],[Away Score]],_xlfn.BINOM.INV(10000,(VLOOKUP(O84,$CK$4:$CM$27,2,FALSE)*VLOOKUP(L84,$CK$4:$CM$27,3,FALSE)*($CM$2/2))/10000,RAND()))</f>
        <v>0</v>
      </c>
      <c r="O84" t="str">
        <f>Scores_and_Fixtures[[#This Row],[Away]]</f>
        <v>Rotherham Utd</v>
      </c>
      <c r="U84">
        <v>10</v>
      </c>
      <c r="V84" t="str">
        <f t="shared" ca="1" si="29"/>
        <v>Sunderland</v>
      </c>
      <c r="W84">
        <f t="shared" ca="1" si="30"/>
        <v>31</v>
      </c>
      <c r="X84">
        <f t="shared" ca="1" si="31"/>
        <v>12</v>
      </c>
      <c r="Y84">
        <f t="shared" ca="1" si="32"/>
        <v>8</v>
      </c>
      <c r="Z84">
        <f t="shared" ca="1" si="33"/>
        <v>11</v>
      </c>
      <c r="AA84">
        <f t="shared" ca="1" si="34"/>
        <v>45</v>
      </c>
      <c r="AB84">
        <f t="shared" ca="1" si="35"/>
        <v>40</v>
      </c>
      <c r="AC84">
        <f t="shared" ca="1" si="41"/>
        <v>42</v>
      </c>
      <c r="AD84">
        <f t="shared" ca="1" si="36"/>
        <v>44</v>
      </c>
      <c r="BU84" t="s">
        <v>388</v>
      </c>
      <c r="BV84">
        <f>(VLOOKUP(BU84,Stats[[Team]:[xGD/90]],6,FALSE)/VLOOKUP(BU84,Stats[[Team]:[xGD/90]],2,FALSE))</f>
        <v>1.5454545454545454</v>
      </c>
      <c r="BW84">
        <f>(VLOOKUP(BU84,Stats[[Team]:[xGD/90]],11,FALSE)/VLOOKUP(BU84,Stats[[Team]:[xGD/90]],2,FALSE))</f>
        <v>1.6045454545454545</v>
      </c>
      <c r="BY84">
        <f>(VLOOKUP(BU84,Stats[[Team]:[xGD/90]],7,FALSE)/VLOOKUP(BU84,Stats[[Team]:[xGD/90]],2,FALSE))</f>
        <v>1.5454545454545454</v>
      </c>
      <c r="BZ84">
        <f>(VLOOKUP(BU84,Stats[[Team]:[xGD/90]],12,FALSE)/VLOOKUP(BU84,Stats[[Team]:[xGD/90]],2,FALSE))</f>
        <v>1.1545454545454545</v>
      </c>
      <c r="CB84">
        <f t="shared" si="37"/>
        <v>-5.9090909090909083E-2</v>
      </c>
      <c r="CC84">
        <f t="shared" si="38"/>
        <v>0.39090909090909087</v>
      </c>
      <c r="CE84" s="8">
        <f t="shared" si="39"/>
        <v>-3.8235294117647055E-2</v>
      </c>
      <c r="CF84" s="8">
        <f t="shared" si="40"/>
        <v>0.25294117647058822</v>
      </c>
    </row>
    <row r="85" spans="1:84" x14ac:dyDescent="0.25">
      <c r="A85">
        <v>7</v>
      </c>
      <c r="B85" t="s">
        <v>390</v>
      </c>
      <c r="C85">
        <v>0</v>
      </c>
      <c r="D85">
        <v>2</v>
      </c>
      <c r="E85" t="s">
        <v>387</v>
      </c>
      <c r="K85">
        <f>Scores_and_Fixtures[[#This Row],[Wk]]</f>
        <v>7</v>
      </c>
      <c r="L85" t="str">
        <f>Scores_and_Fixtures[[#This Row],[Home]]</f>
        <v>Norwich City</v>
      </c>
      <c r="M85">
        <f ca="1">IF(ISBLANK(Scores_and_Fixtures[[#This Row],[Home Score]])=FALSE,Scores_and_Fixtures[[#This Row],[Home Score]],_xlfn.BINOM.INV(10000,(VLOOKUP(L85,$CK$4:$CM$27,2,FALSE)*VLOOKUP(O85,$CK$4:$CM$27,3,FALSE)*($CM$2/2))/10000,RAND()))</f>
        <v>0</v>
      </c>
      <c r="N85">
        <f ca="1">IF(ISBLANK(Scores_and_Fixtures[[#This Row],[Away Score]])=FALSE,Scores_and_Fixtures[[#This Row],[Away Score]],_xlfn.BINOM.INV(10000,(VLOOKUP(O85,$CK$4:$CM$27,2,FALSE)*VLOOKUP(L85,$CK$4:$CM$27,3,FALSE)*($CM$2/2))/10000,RAND()))</f>
        <v>2</v>
      </c>
      <c r="O85" t="str">
        <f>Scores_and_Fixtures[[#This Row],[Away]]</f>
        <v>Leicester City</v>
      </c>
      <c r="U85">
        <v>11</v>
      </c>
      <c r="V85" t="str">
        <f t="shared" ca="1" si="29"/>
        <v>Norwich City</v>
      </c>
      <c r="W85">
        <f t="shared" ca="1" si="30"/>
        <v>32</v>
      </c>
      <c r="X85">
        <f t="shared" ca="1" si="31"/>
        <v>13</v>
      </c>
      <c r="Y85">
        <f t="shared" ca="1" si="32"/>
        <v>5</v>
      </c>
      <c r="Z85">
        <f t="shared" ca="1" si="33"/>
        <v>14</v>
      </c>
      <c r="AA85">
        <f t="shared" ca="1" si="34"/>
        <v>56</v>
      </c>
      <c r="AB85">
        <f t="shared" ca="1" si="35"/>
        <v>61</v>
      </c>
      <c r="AC85">
        <f t="shared" ca="1" si="41"/>
        <v>0</v>
      </c>
      <c r="AD85">
        <f t="shared" ca="1" si="36"/>
        <v>44</v>
      </c>
      <c r="BU85" t="s">
        <v>389</v>
      </c>
      <c r="BV85">
        <f>(VLOOKUP(BU85,Stats[[Team]:[xGD/90]],6,FALSE)/VLOOKUP(BU85,Stats[[Team]:[xGD/90]],2,FALSE))</f>
        <v>1.0909090909090908</v>
      </c>
      <c r="BW85">
        <f>(VLOOKUP(BU85,Stats[[Team]:[xGD/90]],11,FALSE)/VLOOKUP(BU85,Stats[[Team]:[xGD/90]],2,FALSE))</f>
        <v>1.0272727272727273</v>
      </c>
      <c r="BY85">
        <f>(VLOOKUP(BU85,Stats[[Team]:[xGD/90]],7,FALSE)/VLOOKUP(BU85,Stats[[Team]:[xGD/90]],2,FALSE))</f>
        <v>1.4090909090909092</v>
      </c>
      <c r="BZ85">
        <f>(VLOOKUP(BU85,Stats[[Team]:[xGD/90]],12,FALSE)/VLOOKUP(BU85,Stats[[Team]:[xGD/90]],2,FALSE))</f>
        <v>1.3772727272727272</v>
      </c>
      <c r="CB85">
        <f t="shared" si="37"/>
        <v>6.3636363636363491E-2</v>
      </c>
      <c r="CC85">
        <f t="shared" si="38"/>
        <v>3.1818181818181968E-2</v>
      </c>
      <c r="CE85" s="8">
        <f t="shared" si="39"/>
        <v>5.8333333333333202E-2</v>
      </c>
      <c r="CF85" s="8">
        <f t="shared" si="40"/>
        <v>2.2580645161290429E-2</v>
      </c>
    </row>
    <row r="86" spans="1:84" x14ac:dyDescent="0.25">
      <c r="A86">
        <v>8</v>
      </c>
      <c r="B86" t="s">
        <v>378</v>
      </c>
      <c r="C86">
        <v>0</v>
      </c>
      <c r="D86">
        <v>0</v>
      </c>
      <c r="E86" t="s">
        <v>393</v>
      </c>
      <c r="K86">
        <f>Scores_and_Fixtures[[#This Row],[Wk]]</f>
        <v>8</v>
      </c>
      <c r="L86" t="str">
        <f>Scores_and_Fixtures[[#This Row],[Home]]</f>
        <v>Birmingham City</v>
      </c>
      <c r="M86">
        <f ca="1">IF(ISBLANK(Scores_and_Fixtures[[#This Row],[Home Score]])=FALSE,Scores_and_Fixtures[[#This Row],[Home Score]],_xlfn.BINOM.INV(10000,(VLOOKUP(L86,$CK$4:$CM$27,2,FALSE)*VLOOKUP(O86,$CK$4:$CM$27,3,FALSE)*($CM$2/2))/10000,RAND()))</f>
        <v>0</v>
      </c>
      <c r="N86">
        <f ca="1">IF(ISBLANK(Scores_and_Fixtures[[#This Row],[Away Score]])=FALSE,Scores_and_Fixtures[[#This Row],[Away Score]],_xlfn.BINOM.INV(10000,(VLOOKUP(O86,$CK$4:$CM$27,2,FALSE)*VLOOKUP(L86,$CK$4:$CM$27,3,FALSE)*($CM$2/2))/10000,RAND()))</f>
        <v>0</v>
      </c>
      <c r="O86" t="str">
        <f>Scores_and_Fixtures[[#This Row],[Away]]</f>
        <v>QPR</v>
      </c>
      <c r="U86">
        <v>12</v>
      </c>
      <c r="V86" t="str">
        <f t="shared" ca="1" si="29"/>
        <v>Plymouth Argyle</v>
      </c>
      <c r="W86">
        <f t="shared" ca="1" si="30"/>
        <v>31</v>
      </c>
      <c r="X86">
        <f t="shared" ca="1" si="31"/>
        <v>12</v>
      </c>
      <c r="Y86">
        <f t="shared" ca="1" si="32"/>
        <v>7</v>
      </c>
      <c r="Z86">
        <f t="shared" ca="1" si="33"/>
        <v>12</v>
      </c>
      <c r="AA86">
        <f t="shared" ca="1" si="34"/>
        <v>47</v>
      </c>
      <c r="AB86">
        <f t="shared" ca="1" si="35"/>
        <v>43</v>
      </c>
      <c r="AC86">
        <f t="shared" ca="1" si="41"/>
        <v>-2</v>
      </c>
      <c r="AD86">
        <f t="shared" ca="1" si="36"/>
        <v>43</v>
      </c>
      <c r="BU86" t="s">
        <v>390</v>
      </c>
      <c r="BV86">
        <f>(VLOOKUP(BU86,Stats[[Team]:[xGD/90]],6,FALSE)/VLOOKUP(BU86,Stats[[Team]:[xGD/90]],2,FALSE))</f>
        <v>1.7727272727272727</v>
      </c>
      <c r="BW86">
        <f>(VLOOKUP(BU86,Stats[[Team]:[xGD/90]],11,FALSE)/VLOOKUP(BU86,Stats[[Team]:[xGD/90]],2,FALSE))</f>
        <v>1.4090909090909092</v>
      </c>
      <c r="BY86">
        <f>(VLOOKUP(BU86,Stats[[Team]:[xGD/90]],7,FALSE)/VLOOKUP(BU86,Stats[[Team]:[xGD/90]],2,FALSE))</f>
        <v>1.7727272727272727</v>
      </c>
      <c r="BZ86">
        <f>(VLOOKUP(BU86,Stats[[Team]:[xGD/90]],12,FALSE)/VLOOKUP(BU86,Stats[[Team]:[xGD/90]],2,FALSE))</f>
        <v>1.5272727272727273</v>
      </c>
      <c r="CB86">
        <f t="shared" si="37"/>
        <v>0.36363636363636354</v>
      </c>
      <c r="CC86">
        <f t="shared" si="38"/>
        <v>0.24545454545454537</v>
      </c>
      <c r="CE86" s="8">
        <f t="shared" si="39"/>
        <v>0.20512820512820507</v>
      </c>
      <c r="CF86" s="8">
        <f t="shared" si="40"/>
        <v>0.13846153846153841</v>
      </c>
    </row>
    <row r="87" spans="1:84" x14ac:dyDescent="0.25">
      <c r="A87">
        <v>8</v>
      </c>
      <c r="B87" t="s">
        <v>391</v>
      </c>
      <c r="C87">
        <v>6</v>
      </c>
      <c r="D87">
        <v>2</v>
      </c>
      <c r="E87" t="s">
        <v>390</v>
      </c>
      <c r="K87">
        <f>Scores_and_Fixtures[[#This Row],[Wk]]</f>
        <v>8</v>
      </c>
      <c r="L87" t="str">
        <f>Scores_and_Fixtures[[#This Row],[Home]]</f>
        <v>Plymouth Argyle</v>
      </c>
      <c r="M87">
        <f ca="1">IF(ISBLANK(Scores_and_Fixtures[[#This Row],[Home Score]])=FALSE,Scores_and_Fixtures[[#This Row],[Home Score]],_xlfn.BINOM.INV(10000,(VLOOKUP(L87,$CK$4:$CM$27,2,FALSE)*VLOOKUP(O87,$CK$4:$CM$27,3,FALSE)*($CM$2/2))/10000,RAND()))</f>
        <v>6</v>
      </c>
      <c r="N87">
        <f ca="1">IF(ISBLANK(Scores_and_Fixtures[[#This Row],[Away Score]])=FALSE,Scores_and_Fixtures[[#This Row],[Away Score]],_xlfn.BINOM.INV(10000,(VLOOKUP(O87,$CK$4:$CM$27,2,FALSE)*VLOOKUP(L87,$CK$4:$CM$27,3,FALSE)*($CM$2/2))/10000,RAND()))</f>
        <v>2</v>
      </c>
      <c r="O87" t="str">
        <f>Scores_and_Fixtures[[#This Row],[Away]]</f>
        <v>Norwich City</v>
      </c>
      <c r="U87">
        <v>13</v>
      </c>
      <c r="V87" t="str">
        <f t="shared" ca="1" si="29"/>
        <v>Bristol City</v>
      </c>
      <c r="W87">
        <f t="shared" ca="1" si="30"/>
        <v>32</v>
      </c>
      <c r="X87">
        <f t="shared" ca="1" si="31"/>
        <v>12</v>
      </c>
      <c r="Y87">
        <f t="shared" ca="1" si="32"/>
        <v>7</v>
      </c>
      <c r="Z87">
        <f t="shared" ca="1" si="33"/>
        <v>13</v>
      </c>
      <c r="AA87">
        <f t="shared" ca="1" si="34"/>
        <v>32</v>
      </c>
      <c r="AB87">
        <f t="shared" ca="1" si="35"/>
        <v>34</v>
      </c>
      <c r="AC87">
        <f t="shared" ca="1" si="41"/>
        <v>-5</v>
      </c>
      <c r="AD87">
        <f t="shared" ca="1" si="36"/>
        <v>43</v>
      </c>
      <c r="BU87" t="s">
        <v>391</v>
      </c>
      <c r="BV87">
        <f>(VLOOKUP(BU87,Stats[[Team]:[xGD/90]],6,FALSE)/VLOOKUP(BU87,Stats[[Team]:[xGD/90]],2,FALSE))</f>
        <v>1.5454545454545454</v>
      </c>
      <c r="BW87">
        <f>(VLOOKUP(BU87,Stats[[Team]:[xGD/90]],11,FALSE)/VLOOKUP(BU87,Stats[[Team]:[xGD/90]],2,FALSE))</f>
        <v>1.3272727272727272</v>
      </c>
      <c r="BY87">
        <f>(VLOOKUP(BU87,Stats[[Team]:[xGD/90]],7,FALSE)/VLOOKUP(BU87,Stats[[Team]:[xGD/90]],2,FALSE))</f>
        <v>1.5909090909090908</v>
      </c>
      <c r="BZ87">
        <f>(VLOOKUP(BU87,Stats[[Team]:[xGD/90]],12,FALSE)/VLOOKUP(BU87,Stats[[Team]:[xGD/90]],2,FALSE))</f>
        <v>1.7545454545454546</v>
      </c>
      <c r="CB87">
        <f t="shared" si="37"/>
        <v>0.21818181818181825</v>
      </c>
      <c r="CC87">
        <f t="shared" si="38"/>
        <v>-0.1636363636363638</v>
      </c>
      <c r="CE87" s="8">
        <f t="shared" si="39"/>
        <v>0.14117647058823535</v>
      </c>
      <c r="CF87" s="8">
        <f t="shared" si="40"/>
        <v>-0.10285714285714297</v>
      </c>
    </row>
    <row r="88" spans="1:84" x14ac:dyDescent="0.25">
      <c r="A88">
        <v>8</v>
      </c>
      <c r="B88" t="s">
        <v>388</v>
      </c>
      <c r="C88">
        <v>2</v>
      </c>
      <c r="D88">
        <v>1</v>
      </c>
      <c r="E88" t="s">
        <v>396</v>
      </c>
      <c r="K88">
        <f>Scores_and_Fixtures[[#This Row],[Wk]]</f>
        <v>8</v>
      </c>
      <c r="L88" t="str">
        <f>Scores_and_Fixtures[[#This Row],[Home]]</f>
        <v>Middlesbrough</v>
      </c>
      <c r="M88">
        <f ca="1">IF(ISBLANK(Scores_and_Fixtures[[#This Row],[Home Score]])=FALSE,Scores_and_Fixtures[[#This Row],[Home Score]],_xlfn.BINOM.INV(10000,(VLOOKUP(L88,$CK$4:$CM$27,2,FALSE)*VLOOKUP(O88,$CK$4:$CM$27,3,FALSE)*($CM$2/2))/10000,RAND()))</f>
        <v>2</v>
      </c>
      <c r="N88">
        <f ca="1">IF(ISBLANK(Scores_and_Fixtures[[#This Row],[Away Score]])=FALSE,Scores_and_Fixtures[[#This Row],[Away Score]],_xlfn.BINOM.INV(10000,(VLOOKUP(O88,$CK$4:$CM$27,2,FALSE)*VLOOKUP(L88,$CK$4:$CM$27,3,FALSE)*($CM$2/2))/10000,RAND()))</f>
        <v>1</v>
      </c>
      <c r="O88" t="str">
        <f>Scores_and_Fixtures[[#This Row],[Away]]</f>
        <v>Southampton</v>
      </c>
      <c r="U88">
        <v>14</v>
      </c>
      <c r="V88" t="str">
        <f t="shared" ca="1" si="29"/>
        <v>Swansea City</v>
      </c>
      <c r="W88">
        <f t="shared" ca="1" si="30"/>
        <v>32</v>
      </c>
      <c r="X88">
        <f t="shared" ca="1" si="31"/>
        <v>10</v>
      </c>
      <c r="Y88">
        <f t="shared" ca="1" si="32"/>
        <v>10</v>
      </c>
      <c r="Z88">
        <f t="shared" ca="1" si="33"/>
        <v>12</v>
      </c>
      <c r="AA88">
        <f t="shared" ca="1" si="34"/>
        <v>42</v>
      </c>
      <c r="AB88">
        <f t="shared" ca="1" si="35"/>
        <v>43</v>
      </c>
      <c r="AC88">
        <f t="shared" ca="1" si="41"/>
        <v>4</v>
      </c>
      <c r="AD88">
        <f t="shared" ca="1" si="36"/>
        <v>40</v>
      </c>
      <c r="BU88" t="s">
        <v>392</v>
      </c>
      <c r="BV88">
        <f>(VLOOKUP(BU88,Stats[[Team]:[xGD/90]],6,FALSE)/VLOOKUP(BU88,Stats[[Team]:[xGD/90]],2,FALSE))</f>
        <v>1.2727272727272727</v>
      </c>
      <c r="BW88">
        <f>(VLOOKUP(BU88,Stats[[Team]:[xGD/90]],11,FALSE)/VLOOKUP(BU88,Stats[[Team]:[xGD/90]],2,FALSE))</f>
        <v>0.88181818181818172</v>
      </c>
      <c r="BY88">
        <f>(VLOOKUP(BU88,Stats[[Team]:[xGD/90]],7,FALSE)/VLOOKUP(BU88,Stats[[Team]:[xGD/90]],2,FALSE))</f>
        <v>1.7272727272727273</v>
      </c>
      <c r="BZ88">
        <f>(VLOOKUP(BU88,Stats[[Team]:[xGD/90]],12,FALSE)/VLOOKUP(BU88,Stats[[Team]:[xGD/90]],2,FALSE))</f>
        <v>1.3090909090909091</v>
      </c>
      <c r="CB88">
        <f t="shared" si="37"/>
        <v>0.39090909090909098</v>
      </c>
      <c r="CC88">
        <f t="shared" si="38"/>
        <v>0.41818181818181821</v>
      </c>
      <c r="CE88" s="8">
        <f t="shared" si="39"/>
        <v>0.30714285714285722</v>
      </c>
      <c r="CF88" s="8">
        <f t="shared" si="40"/>
        <v>0.24210526315789474</v>
      </c>
    </row>
    <row r="89" spans="1:84" x14ac:dyDescent="0.25">
      <c r="A89">
        <v>8</v>
      </c>
      <c r="B89" t="s">
        <v>401</v>
      </c>
      <c r="C89">
        <v>0</v>
      </c>
      <c r="D89">
        <v>0</v>
      </c>
      <c r="E89" t="s">
        <v>389</v>
      </c>
      <c r="K89">
        <f>Scores_and_Fixtures[[#This Row],[Wk]]</f>
        <v>8</v>
      </c>
      <c r="L89" t="str">
        <f>Scores_and_Fixtures[[#This Row],[Home]]</f>
        <v>West Brom</v>
      </c>
      <c r="M89">
        <f ca="1">IF(ISBLANK(Scores_and_Fixtures[[#This Row],[Home Score]])=FALSE,Scores_and_Fixtures[[#This Row],[Home Score]],_xlfn.BINOM.INV(10000,(VLOOKUP(L89,$CK$4:$CM$27,2,FALSE)*VLOOKUP(O89,$CK$4:$CM$27,3,FALSE)*($CM$2/2))/10000,RAND()))</f>
        <v>0</v>
      </c>
      <c r="N89">
        <f ca="1">IF(ISBLANK(Scores_and_Fixtures[[#This Row],[Away Score]])=FALSE,Scores_and_Fixtures[[#This Row],[Away Score]],_xlfn.BINOM.INV(10000,(VLOOKUP(O89,$CK$4:$CM$27,2,FALSE)*VLOOKUP(L89,$CK$4:$CM$27,3,FALSE)*($CM$2/2))/10000,RAND()))</f>
        <v>0</v>
      </c>
      <c r="O89" t="str">
        <f>Scores_and_Fixtures[[#This Row],[Away]]</f>
        <v>Millwall</v>
      </c>
      <c r="U89">
        <v>15</v>
      </c>
      <c r="V89" t="str">
        <f t="shared" ca="1" si="29"/>
        <v>Blackburn</v>
      </c>
      <c r="W89">
        <f t="shared" ca="1" si="30"/>
        <v>32</v>
      </c>
      <c r="X89">
        <f t="shared" ca="1" si="31"/>
        <v>12</v>
      </c>
      <c r="Y89">
        <f t="shared" ca="1" si="32"/>
        <v>4</v>
      </c>
      <c r="Z89">
        <f t="shared" ca="1" si="33"/>
        <v>16</v>
      </c>
      <c r="AA89">
        <f t="shared" ca="1" si="34"/>
        <v>45</v>
      </c>
      <c r="AB89">
        <f t="shared" ca="1" si="35"/>
        <v>55</v>
      </c>
      <c r="AC89">
        <f t="shared" ca="1" si="41"/>
        <v>-19</v>
      </c>
      <c r="AD89">
        <f t="shared" ca="1" si="36"/>
        <v>40</v>
      </c>
      <c r="BU89" t="s">
        <v>393</v>
      </c>
      <c r="BV89">
        <f>(VLOOKUP(BU89,Stats[[Team]:[xGD/90]],6,FALSE)/VLOOKUP(BU89,Stats[[Team]:[xGD/90]],2,FALSE))</f>
        <v>0.90909090909090906</v>
      </c>
      <c r="BW89">
        <f>(VLOOKUP(BU89,Stats[[Team]:[xGD/90]],11,FALSE)/VLOOKUP(BU89,Stats[[Team]:[xGD/90]],2,FALSE))</f>
        <v>0.85909090909090902</v>
      </c>
      <c r="BY89">
        <f>(VLOOKUP(BU89,Stats[[Team]:[xGD/90]],7,FALSE)/VLOOKUP(BU89,Stats[[Team]:[xGD/90]],2,FALSE))</f>
        <v>1.4545454545454546</v>
      </c>
      <c r="BZ89">
        <f>(VLOOKUP(BU89,Stats[[Team]:[xGD/90]],12,FALSE)/VLOOKUP(BU89,Stats[[Team]:[xGD/90]],2,FALSE))</f>
        <v>1.3181818181818181</v>
      </c>
      <c r="CB89">
        <f t="shared" si="37"/>
        <v>5.0000000000000044E-2</v>
      </c>
      <c r="CC89">
        <f t="shared" si="38"/>
        <v>0.13636363636363646</v>
      </c>
      <c r="CE89" s="8">
        <f t="shared" si="39"/>
        <v>5.5000000000000049E-2</v>
      </c>
      <c r="CF89" s="8">
        <f t="shared" si="40"/>
        <v>9.3750000000000069E-2</v>
      </c>
    </row>
    <row r="90" spans="1:84" x14ac:dyDescent="0.25">
      <c r="A90">
        <v>8</v>
      </c>
      <c r="B90" t="s">
        <v>387</v>
      </c>
      <c r="C90">
        <v>1</v>
      </c>
      <c r="D90">
        <v>0</v>
      </c>
      <c r="E90" t="s">
        <v>380</v>
      </c>
      <c r="K90">
        <f>Scores_and_Fixtures[[#This Row],[Wk]]</f>
        <v>8</v>
      </c>
      <c r="L90" t="str">
        <f>Scores_and_Fixtures[[#This Row],[Home]]</f>
        <v>Leicester City</v>
      </c>
      <c r="M90">
        <f ca="1">IF(ISBLANK(Scores_and_Fixtures[[#This Row],[Home Score]])=FALSE,Scores_and_Fixtures[[#This Row],[Home Score]],_xlfn.BINOM.INV(10000,(VLOOKUP(L90,$CK$4:$CM$27,2,FALSE)*VLOOKUP(O90,$CK$4:$CM$27,3,FALSE)*($CM$2/2))/10000,RAND()))</f>
        <v>1</v>
      </c>
      <c r="N90">
        <f ca="1">IF(ISBLANK(Scores_and_Fixtures[[#This Row],[Away Score]])=FALSE,Scores_and_Fixtures[[#This Row],[Away Score]],_xlfn.BINOM.INV(10000,(VLOOKUP(O90,$CK$4:$CM$27,2,FALSE)*VLOOKUP(L90,$CK$4:$CM$27,3,FALSE)*($CM$2/2))/10000,RAND()))</f>
        <v>0</v>
      </c>
      <c r="O90" t="str">
        <f>Scores_and_Fixtures[[#This Row],[Away]]</f>
        <v>Bristol City</v>
      </c>
      <c r="U90">
        <v>16</v>
      </c>
      <c r="V90" t="str">
        <f t="shared" ca="1" si="29"/>
        <v>Preston</v>
      </c>
      <c r="W90">
        <f t="shared" ca="1" si="30"/>
        <v>32</v>
      </c>
      <c r="X90">
        <f t="shared" ca="1" si="31"/>
        <v>10</v>
      </c>
      <c r="Y90">
        <f t="shared" ca="1" si="32"/>
        <v>9</v>
      </c>
      <c r="Z90">
        <f t="shared" ca="1" si="33"/>
        <v>13</v>
      </c>
      <c r="AA90">
        <f t="shared" ca="1" si="34"/>
        <v>43</v>
      </c>
      <c r="AB90">
        <f t="shared" ca="1" si="35"/>
        <v>62</v>
      </c>
      <c r="AC90">
        <f t="shared" ca="1" si="41"/>
        <v>-29</v>
      </c>
      <c r="AD90">
        <f t="shared" ca="1" si="36"/>
        <v>39</v>
      </c>
      <c r="BU90" t="s">
        <v>394</v>
      </c>
      <c r="BV90">
        <f>(VLOOKUP(BU90,Stats[[Team]:[xGD/90]],6,FALSE)/VLOOKUP(BU90,Stats[[Team]:[xGD/90]],2,FALSE))</f>
        <v>0.90909090909090906</v>
      </c>
      <c r="BW90">
        <f>(VLOOKUP(BU90,Stats[[Team]:[xGD/90]],11,FALSE)/VLOOKUP(BU90,Stats[[Team]:[xGD/90]],2,FALSE))</f>
        <v>0.67727272727272725</v>
      </c>
      <c r="BY90">
        <f>(VLOOKUP(BU90,Stats[[Team]:[xGD/90]],7,FALSE)/VLOOKUP(BU90,Stats[[Team]:[xGD/90]],2,FALSE))</f>
        <v>2</v>
      </c>
      <c r="BZ90">
        <f>(VLOOKUP(BU90,Stats[[Team]:[xGD/90]],12,FALSE)/VLOOKUP(BU90,Stats[[Team]:[xGD/90]],2,FALSE))</f>
        <v>1.8318181818181818</v>
      </c>
      <c r="CB90">
        <f t="shared" si="37"/>
        <v>0.23181818181818181</v>
      </c>
      <c r="CC90">
        <f t="shared" si="38"/>
        <v>0.16818181818181821</v>
      </c>
      <c r="CE90" s="8">
        <f t="shared" si="39"/>
        <v>0.255</v>
      </c>
      <c r="CF90" s="8">
        <f t="shared" si="40"/>
        <v>8.4090909090909105E-2</v>
      </c>
    </row>
    <row r="91" spans="1:84" x14ac:dyDescent="0.25">
      <c r="A91">
        <v>8</v>
      </c>
      <c r="B91" t="s">
        <v>399</v>
      </c>
      <c r="C91">
        <v>3</v>
      </c>
      <c r="D91">
        <v>0</v>
      </c>
      <c r="E91" t="s">
        <v>395</v>
      </c>
      <c r="K91">
        <f>Scores_and_Fixtures[[#This Row],[Wk]]</f>
        <v>8</v>
      </c>
      <c r="L91" t="str">
        <f>Scores_and_Fixtures[[#This Row],[Home]]</f>
        <v>Swansea City</v>
      </c>
      <c r="M91">
        <f ca="1">IF(ISBLANK(Scores_and_Fixtures[[#This Row],[Home Score]])=FALSE,Scores_and_Fixtures[[#This Row],[Home Score]],_xlfn.BINOM.INV(10000,(VLOOKUP(L91,$CK$4:$CM$27,2,FALSE)*VLOOKUP(O91,$CK$4:$CM$27,3,FALSE)*($CM$2/2))/10000,RAND()))</f>
        <v>3</v>
      </c>
      <c r="N91">
        <f ca="1">IF(ISBLANK(Scores_and_Fixtures[[#This Row],[Away Score]])=FALSE,Scores_and_Fixtures[[#This Row],[Away Score]],_xlfn.BINOM.INV(10000,(VLOOKUP(O91,$CK$4:$CM$27,2,FALSE)*VLOOKUP(L91,$CK$4:$CM$27,3,FALSE)*($CM$2/2))/10000,RAND()))</f>
        <v>0</v>
      </c>
      <c r="O91" t="str">
        <f>Scores_and_Fixtures[[#This Row],[Away]]</f>
        <v>Sheffield Weds</v>
      </c>
      <c r="U91">
        <v>17</v>
      </c>
      <c r="V91" t="str">
        <f t="shared" ca="1" si="29"/>
        <v>Birmingham City</v>
      </c>
      <c r="W91">
        <f t="shared" ca="1" si="30"/>
        <v>32</v>
      </c>
      <c r="X91">
        <f t="shared" ca="1" si="31"/>
        <v>9</v>
      </c>
      <c r="Y91">
        <f t="shared" ca="1" si="32"/>
        <v>11</v>
      </c>
      <c r="Z91">
        <f t="shared" ca="1" si="33"/>
        <v>12</v>
      </c>
      <c r="AA91">
        <f t="shared" ca="1" si="34"/>
        <v>36</v>
      </c>
      <c r="AB91">
        <f t="shared" ca="1" si="35"/>
        <v>40</v>
      </c>
      <c r="AC91">
        <f t="shared" ca="1" si="41"/>
        <v>-30</v>
      </c>
      <c r="AD91">
        <f t="shared" ca="1" si="36"/>
        <v>38</v>
      </c>
      <c r="BU91" t="s">
        <v>395</v>
      </c>
      <c r="BV91">
        <f>(VLOOKUP(BU91,Stats[[Team]:[xGD/90]],6,FALSE)/VLOOKUP(BU91,Stats[[Team]:[xGD/90]],2,FALSE))</f>
        <v>0.72727272727272729</v>
      </c>
      <c r="BW91">
        <f>(VLOOKUP(BU91,Stats[[Team]:[xGD/90]],11,FALSE)/VLOOKUP(BU91,Stats[[Team]:[xGD/90]],2,FALSE))</f>
        <v>0.99545454545454537</v>
      </c>
      <c r="BY91">
        <f>(VLOOKUP(BU91,Stats[[Team]:[xGD/90]],7,FALSE)/VLOOKUP(BU91,Stats[[Team]:[xGD/90]],2,FALSE))</f>
        <v>1.5909090909090908</v>
      </c>
      <c r="BZ91">
        <f>(VLOOKUP(BU91,Stats[[Team]:[xGD/90]],12,FALSE)/VLOOKUP(BU91,Stats[[Team]:[xGD/90]],2,FALSE))</f>
        <v>1.2681818181818181</v>
      </c>
      <c r="CB91">
        <f t="shared" si="37"/>
        <v>-0.26818181818181808</v>
      </c>
      <c r="CC91">
        <f t="shared" si="38"/>
        <v>0.32272727272727275</v>
      </c>
      <c r="CE91" s="8">
        <f t="shared" si="39"/>
        <v>-0.36874999999999986</v>
      </c>
      <c r="CF91" s="8">
        <f t="shared" si="40"/>
        <v>0.20285714285714287</v>
      </c>
    </row>
    <row r="92" spans="1:84" x14ac:dyDescent="0.25">
      <c r="A92">
        <v>8</v>
      </c>
      <c r="B92" t="s">
        <v>394</v>
      </c>
      <c r="C92">
        <v>1</v>
      </c>
      <c r="D92">
        <v>1</v>
      </c>
      <c r="E92" t="s">
        <v>392</v>
      </c>
      <c r="K92">
        <f>Scores_and_Fixtures[[#This Row],[Wk]]</f>
        <v>8</v>
      </c>
      <c r="L92" t="str">
        <f>Scores_and_Fixtures[[#This Row],[Home]]</f>
        <v>Rotherham Utd</v>
      </c>
      <c r="M92">
        <f ca="1">IF(ISBLANK(Scores_and_Fixtures[[#This Row],[Home Score]])=FALSE,Scores_and_Fixtures[[#This Row],[Home Score]],_xlfn.BINOM.INV(10000,(VLOOKUP(L92,$CK$4:$CM$27,2,FALSE)*VLOOKUP(O92,$CK$4:$CM$27,3,FALSE)*($CM$2/2))/10000,RAND()))</f>
        <v>1</v>
      </c>
      <c r="N92">
        <f ca="1">IF(ISBLANK(Scores_and_Fixtures[[#This Row],[Away Score]])=FALSE,Scores_and_Fixtures[[#This Row],[Away Score]],_xlfn.BINOM.INV(10000,(VLOOKUP(O92,$CK$4:$CM$27,2,FALSE)*VLOOKUP(L92,$CK$4:$CM$27,3,FALSE)*($CM$2/2))/10000,RAND()))</f>
        <v>1</v>
      </c>
      <c r="O92" t="str">
        <f>Scores_and_Fixtures[[#This Row],[Away]]</f>
        <v>Preston</v>
      </c>
      <c r="U92">
        <v>18</v>
      </c>
      <c r="V92" t="str">
        <f t="shared" ca="1" si="29"/>
        <v>Millwall</v>
      </c>
      <c r="W92">
        <f t="shared" ca="1" si="30"/>
        <v>32</v>
      </c>
      <c r="X92">
        <f t="shared" ca="1" si="31"/>
        <v>9</v>
      </c>
      <c r="Y92">
        <f t="shared" ca="1" si="32"/>
        <v>10</v>
      </c>
      <c r="Z92">
        <f t="shared" ca="1" si="33"/>
        <v>13</v>
      </c>
      <c r="AA92">
        <f t="shared" ca="1" si="34"/>
        <v>39</v>
      </c>
      <c r="AB92">
        <f t="shared" ca="1" si="35"/>
        <v>41</v>
      </c>
      <c r="AC92">
        <f t="shared" ca="1" si="41"/>
        <v>-25</v>
      </c>
      <c r="AD92">
        <f t="shared" ca="1" si="36"/>
        <v>37</v>
      </c>
      <c r="BU92" t="s">
        <v>396</v>
      </c>
      <c r="BV92">
        <f>(VLOOKUP(BU92,Stats[[Team]:[xGD/90]],6,FALSE)/VLOOKUP(BU92,Stats[[Team]:[xGD/90]],2,FALSE))</f>
        <v>1.6818181818181819</v>
      </c>
      <c r="BW92">
        <f>(VLOOKUP(BU92,Stats[[Team]:[xGD/90]],11,FALSE)/VLOOKUP(BU92,Stats[[Team]:[xGD/90]],2,FALSE))</f>
        <v>1.5681818181818181</v>
      </c>
      <c r="BY92">
        <f>(VLOOKUP(BU92,Stats[[Team]:[xGD/90]],7,FALSE)/VLOOKUP(BU92,Stats[[Team]:[xGD/90]],2,FALSE))</f>
        <v>1.3181818181818181</v>
      </c>
      <c r="BZ92">
        <f>(VLOOKUP(BU92,Stats[[Team]:[xGD/90]],12,FALSE)/VLOOKUP(BU92,Stats[[Team]:[xGD/90]],2,FALSE))</f>
        <v>1.1409090909090909</v>
      </c>
      <c r="CB92">
        <f t="shared" si="37"/>
        <v>0.11363636363636376</v>
      </c>
      <c r="CC92">
        <f t="shared" si="38"/>
        <v>0.17727272727272725</v>
      </c>
      <c r="CE92" s="8">
        <f t="shared" si="39"/>
        <v>6.7567567567567641E-2</v>
      </c>
      <c r="CF92" s="8">
        <f t="shared" si="40"/>
        <v>0.13448275862068965</v>
      </c>
    </row>
    <row r="93" spans="1:84" x14ac:dyDescent="0.25">
      <c r="A93">
        <v>8</v>
      </c>
      <c r="B93" t="s">
        <v>386</v>
      </c>
      <c r="C93">
        <v>3</v>
      </c>
      <c r="D93">
        <v>0</v>
      </c>
      <c r="E93" t="s">
        <v>400</v>
      </c>
      <c r="K93">
        <f>Scores_and_Fixtures[[#This Row],[Wk]]</f>
        <v>8</v>
      </c>
      <c r="L93" t="str">
        <f>Scores_and_Fixtures[[#This Row],[Home]]</f>
        <v>Leeds United</v>
      </c>
      <c r="M93">
        <f ca="1">IF(ISBLANK(Scores_and_Fixtures[[#This Row],[Home Score]])=FALSE,Scores_and_Fixtures[[#This Row],[Home Score]],_xlfn.BINOM.INV(10000,(VLOOKUP(L93,$CK$4:$CM$27,2,FALSE)*VLOOKUP(O93,$CK$4:$CM$27,3,FALSE)*($CM$2/2))/10000,RAND()))</f>
        <v>3</v>
      </c>
      <c r="N93">
        <f ca="1">IF(ISBLANK(Scores_and_Fixtures[[#This Row],[Away Score]])=FALSE,Scores_and_Fixtures[[#This Row],[Away Score]],_xlfn.BINOM.INV(10000,(VLOOKUP(O93,$CK$4:$CM$27,2,FALSE)*VLOOKUP(L93,$CK$4:$CM$27,3,FALSE)*($CM$2/2))/10000,RAND()))</f>
        <v>0</v>
      </c>
      <c r="O93" t="str">
        <f>Scores_and_Fixtures[[#This Row],[Away]]</f>
        <v>Watford</v>
      </c>
      <c r="U93">
        <v>19</v>
      </c>
      <c r="V93" t="str">
        <f t="shared" ca="1" si="29"/>
        <v>Coventry City</v>
      </c>
      <c r="W93">
        <f t="shared" ca="1" si="30"/>
        <v>31</v>
      </c>
      <c r="X93">
        <f t="shared" ca="1" si="31"/>
        <v>8</v>
      </c>
      <c r="Y93">
        <f t="shared" ca="1" si="32"/>
        <v>11</v>
      </c>
      <c r="Z93">
        <f t="shared" ca="1" si="33"/>
        <v>12</v>
      </c>
      <c r="AA93">
        <f t="shared" ca="1" si="34"/>
        <v>38</v>
      </c>
      <c r="AB93">
        <f t="shared" ca="1" si="35"/>
        <v>39</v>
      </c>
      <c r="AC93">
        <f t="shared" ca="1" si="41"/>
        <v>7</v>
      </c>
      <c r="AD93">
        <f t="shared" ca="1" si="36"/>
        <v>35</v>
      </c>
      <c r="BU93" t="s">
        <v>397</v>
      </c>
      <c r="BV93">
        <f>(VLOOKUP(BU93,Stats[[Team]:[xGD/90]],6,FALSE)/VLOOKUP(BU93,Stats[[Team]:[xGD/90]],2,FALSE))</f>
        <v>0.95454545454545459</v>
      </c>
      <c r="BW93">
        <f>(VLOOKUP(BU93,Stats[[Team]:[xGD/90]],11,FALSE)/VLOOKUP(BU93,Stats[[Team]:[xGD/90]],2,FALSE))</f>
        <v>1.1636363636363638</v>
      </c>
      <c r="BY93">
        <f>(VLOOKUP(BU93,Stats[[Team]:[xGD/90]],7,FALSE)/VLOOKUP(BU93,Stats[[Team]:[xGD/90]],2,FALSE))</f>
        <v>1.3636363636363635</v>
      </c>
      <c r="BZ93">
        <f>(VLOOKUP(BU93,Stats[[Team]:[xGD/90]],12,FALSE)/VLOOKUP(BU93,Stats[[Team]:[xGD/90]],2,FALSE))</f>
        <v>1.3318181818181818</v>
      </c>
      <c r="CB93">
        <f t="shared" si="37"/>
        <v>-0.20909090909090922</v>
      </c>
      <c r="CC93">
        <f t="shared" si="38"/>
        <v>3.1818181818181746E-2</v>
      </c>
      <c r="CE93" s="8">
        <f t="shared" si="39"/>
        <v>-0.21904761904761916</v>
      </c>
      <c r="CF93" s="8">
        <f t="shared" si="40"/>
        <v>2.3333333333333282E-2</v>
      </c>
    </row>
    <row r="94" spans="1:84" x14ac:dyDescent="0.25">
      <c r="A94">
        <v>8</v>
      </c>
      <c r="B94" t="s">
        <v>385</v>
      </c>
      <c r="C94">
        <v>4</v>
      </c>
      <c r="D94">
        <v>3</v>
      </c>
      <c r="E94" t="s">
        <v>379</v>
      </c>
      <c r="K94">
        <f>Scores_and_Fixtures[[#This Row],[Wk]]</f>
        <v>8</v>
      </c>
      <c r="L94" t="str">
        <f>Scores_and_Fixtures[[#This Row],[Home]]</f>
        <v>Ipswich Town</v>
      </c>
      <c r="M94">
        <f ca="1">IF(ISBLANK(Scores_and_Fixtures[[#This Row],[Home Score]])=FALSE,Scores_and_Fixtures[[#This Row],[Home Score]],_xlfn.BINOM.INV(10000,(VLOOKUP(L94,$CK$4:$CM$27,2,FALSE)*VLOOKUP(O94,$CK$4:$CM$27,3,FALSE)*($CM$2/2))/10000,RAND()))</f>
        <v>4</v>
      </c>
      <c r="N94">
        <f ca="1">IF(ISBLANK(Scores_and_Fixtures[[#This Row],[Away Score]])=FALSE,Scores_and_Fixtures[[#This Row],[Away Score]],_xlfn.BINOM.INV(10000,(VLOOKUP(O94,$CK$4:$CM$27,2,FALSE)*VLOOKUP(L94,$CK$4:$CM$27,3,FALSE)*($CM$2/2))/10000,RAND()))</f>
        <v>3</v>
      </c>
      <c r="O94" t="str">
        <f>Scores_and_Fixtures[[#This Row],[Away]]</f>
        <v>Blackburn</v>
      </c>
      <c r="U94">
        <v>20</v>
      </c>
      <c r="V94" t="str">
        <f t="shared" ca="1" si="29"/>
        <v>Stoke City</v>
      </c>
      <c r="W94">
        <f t="shared" ca="1" si="30"/>
        <v>31</v>
      </c>
      <c r="X94">
        <f t="shared" ca="1" si="31"/>
        <v>7</v>
      </c>
      <c r="Y94">
        <f t="shared" ca="1" si="32"/>
        <v>7</v>
      </c>
      <c r="Z94">
        <f t="shared" ca="1" si="33"/>
        <v>17</v>
      </c>
      <c r="AA94">
        <f t="shared" ca="1" si="34"/>
        <v>26</v>
      </c>
      <c r="AB94">
        <f t="shared" ca="1" si="35"/>
        <v>45</v>
      </c>
      <c r="AC94">
        <f t="shared" ca="1" si="41"/>
        <v>-19</v>
      </c>
      <c r="AD94">
        <f t="shared" ca="1" si="36"/>
        <v>28</v>
      </c>
      <c r="BU94" t="s">
        <v>398</v>
      </c>
      <c r="BV94">
        <f>(VLOOKUP(BU94,Stats[[Team]:[xGD/90]],6,FALSE)/VLOOKUP(BU94,Stats[[Team]:[xGD/90]],2,FALSE))</f>
        <v>1.4545454545454546</v>
      </c>
      <c r="BW94">
        <f>(VLOOKUP(BU94,Stats[[Team]:[xGD/90]],11,FALSE)/VLOOKUP(BU94,Stats[[Team]:[xGD/90]],2,FALSE))</f>
        <v>1.65</v>
      </c>
      <c r="BY94">
        <f>(VLOOKUP(BU94,Stats[[Team]:[xGD/90]],7,FALSE)/VLOOKUP(BU94,Stats[[Team]:[xGD/90]],2,FALSE))</f>
        <v>1.0909090909090908</v>
      </c>
      <c r="BZ94">
        <f>(VLOOKUP(BU94,Stats[[Team]:[xGD/90]],12,FALSE)/VLOOKUP(BU94,Stats[[Team]:[xGD/90]],2,FALSE))</f>
        <v>1.0363636363636364</v>
      </c>
      <c r="CB94">
        <f t="shared" ref="CB94:CB97" si="43">BV94-BW94</f>
        <v>-0.19545454545454533</v>
      </c>
      <c r="CC94">
        <f t="shared" ref="CC94:CC97" si="44">BY94-BZ94</f>
        <v>5.4545454545454453E-2</v>
      </c>
      <c r="CE94" s="8">
        <f t="shared" ref="CE94:CE97" si="45">CB94/BV94</f>
        <v>-0.13437499999999991</v>
      </c>
      <c r="CF94" s="8">
        <f t="shared" ref="CF94:CF97" si="46">CC94/BY94</f>
        <v>4.999999999999992E-2</v>
      </c>
    </row>
    <row r="95" spans="1:84" x14ac:dyDescent="0.25">
      <c r="A95">
        <v>8</v>
      </c>
      <c r="B95" t="s">
        <v>397</v>
      </c>
      <c r="C95">
        <v>1</v>
      </c>
      <c r="D95">
        <v>3</v>
      </c>
      <c r="E95" t="s">
        <v>384</v>
      </c>
      <c r="K95">
        <f>Scores_and_Fixtures[[#This Row],[Wk]]</f>
        <v>8</v>
      </c>
      <c r="L95" t="str">
        <f>Scores_and_Fixtures[[#This Row],[Home]]</f>
        <v>Stoke City</v>
      </c>
      <c r="M95">
        <f ca="1">IF(ISBLANK(Scores_and_Fixtures[[#This Row],[Home Score]])=FALSE,Scores_and_Fixtures[[#This Row],[Home Score]],_xlfn.BINOM.INV(10000,(VLOOKUP(L95,$CK$4:$CM$27,2,FALSE)*VLOOKUP(O95,$CK$4:$CM$27,3,FALSE)*($CM$2/2))/10000,RAND()))</f>
        <v>1</v>
      </c>
      <c r="N95">
        <f ca="1">IF(ISBLANK(Scores_and_Fixtures[[#This Row],[Away Score]])=FALSE,Scores_and_Fixtures[[#This Row],[Away Score]],_xlfn.BINOM.INV(10000,(VLOOKUP(O95,$CK$4:$CM$27,2,FALSE)*VLOOKUP(L95,$CK$4:$CM$27,3,FALSE)*($CM$2/2))/10000,RAND()))</f>
        <v>3</v>
      </c>
      <c r="O95" t="str">
        <f>Scores_and_Fixtures[[#This Row],[Away]]</f>
        <v>Hull City</v>
      </c>
      <c r="U95">
        <v>21</v>
      </c>
      <c r="V95" t="str">
        <f t="shared" ca="1" si="29"/>
        <v>Sheffield Weds</v>
      </c>
      <c r="W95">
        <f t="shared" ca="1" si="30"/>
        <v>32</v>
      </c>
      <c r="X95">
        <f t="shared" ca="1" si="31"/>
        <v>7</v>
      </c>
      <c r="Y95">
        <f t="shared" ca="1" si="32"/>
        <v>7</v>
      </c>
      <c r="Z95">
        <f t="shared" ca="1" si="33"/>
        <v>18</v>
      </c>
      <c r="AA95">
        <f t="shared" ca="1" si="34"/>
        <v>22</v>
      </c>
      <c r="AB95">
        <f t="shared" ca="1" si="35"/>
        <v>47</v>
      </c>
      <c r="AC95">
        <f t="shared" ca="1" si="41"/>
        <v>5</v>
      </c>
      <c r="AD95">
        <f t="shared" ca="1" si="36"/>
        <v>28</v>
      </c>
      <c r="BU95" t="s">
        <v>399</v>
      </c>
      <c r="BV95">
        <f>(VLOOKUP(BU95,Stats[[Team]:[xGD/90]],6,FALSE)/VLOOKUP(BU95,Stats[[Team]:[xGD/90]],2,FALSE))</f>
        <v>1.3636363636363635</v>
      </c>
      <c r="BW95">
        <f>(VLOOKUP(BU95,Stats[[Team]:[xGD/90]],11,FALSE)/VLOOKUP(BU95,Stats[[Team]:[xGD/90]],2,FALSE))</f>
        <v>1.2272727272727273</v>
      </c>
      <c r="BY95">
        <f>(VLOOKUP(BU95,Stats[[Team]:[xGD/90]],7,FALSE)/VLOOKUP(BU95,Stats[[Team]:[xGD/90]],2,FALSE))</f>
        <v>1.4090909090909092</v>
      </c>
      <c r="BZ95">
        <f>(VLOOKUP(BU95,Stats[[Team]:[xGD/90]],12,FALSE)/VLOOKUP(BU95,Stats[[Team]:[xGD/90]],2,FALSE))</f>
        <v>1.5272727272727273</v>
      </c>
      <c r="CB95">
        <f t="shared" si="43"/>
        <v>0.13636363636363624</v>
      </c>
      <c r="CC95">
        <f t="shared" si="44"/>
        <v>-0.11818181818181817</v>
      </c>
      <c r="CE95" s="8">
        <f t="shared" si="45"/>
        <v>9.9999999999999922E-2</v>
      </c>
      <c r="CF95" s="8">
        <f t="shared" si="46"/>
        <v>-8.3870967741935462E-2</v>
      </c>
    </row>
    <row r="96" spans="1:84" x14ac:dyDescent="0.25">
      <c r="A96">
        <v>8</v>
      </c>
      <c r="B96" t="s">
        <v>398</v>
      </c>
      <c r="C96">
        <v>0</v>
      </c>
      <c r="D96">
        <v>1</v>
      </c>
      <c r="E96" t="s">
        <v>381</v>
      </c>
      <c r="K96">
        <f>Scores_and_Fixtures[[#This Row],[Wk]]</f>
        <v>8</v>
      </c>
      <c r="L96" t="str">
        <f>Scores_and_Fixtures[[#This Row],[Home]]</f>
        <v>Sunderland</v>
      </c>
      <c r="M96">
        <f ca="1">IF(ISBLANK(Scores_and_Fixtures[[#This Row],[Home Score]])=FALSE,Scores_and_Fixtures[[#This Row],[Home Score]],_xlfn.BINOM.INV(10000,(VLOOKUP(L96,$CK$4:$CM$27,2,FALSE)*VLOOKUP(O96,$CK$4:$CM$27,3,FALSE)*($CM$2/2))/10000,RAND()))</f>
        <v>0</v>
      </c>
      <c r="N96">
        <f ca="1">IF(ISBLANK(Scores_and_Fixtures[[#This Row],[Away Score]])=FALSE,Scores_and_Fixtures[[#This Row],[Away Score]],_xlfn.BINOM.INV(10000,(VLOOKUP(O96,$CK$4:$CM$27,2,FALSE)*VLOOKUP(L96,$CK$4:$CM$27,3,FALSE)*($CM$2/2))/10000,RAND()))</f>
        <v>1</v>
      </c>
      <c r="O96" t="str">
        <f>Scores_and_Fixtures[[#This Row],[Away]]</f>
        <v>Cardiff City</v>
      </c>
      <c r="U96">
        <v>22</v>
      </c>
      <c r="V96" t="str">
        <f t="shared" ca="1" si="29"/>
        <v>Huddersfield</v>
      </c>
      <c r="W96">
        <f t="shared" ca="1" si="30"/>
        <v>31</v>
      </c>
      <c r="X96">
        <f t="shared" ca="1" si="31"/>
        <v>5</v>
      </c>
      <c r="Y96">
        <f t="shared" ca="1" si="32"/>
        <v>12</v>
      </c>
      <c r="Z96">
        <f t="shared" ca="1" si="33"/>
        <v>14</v>
      </c>
      <c r="AA96">
        <f t="shared" ca="1" si="34"/>
        <v>26</v>
      </c>
      <c r="AB96">
        <f t="shared" ca="1" si="35"/>
        <v>53</v>
      </c>
      <c r="AC96">
        <f t="shared" ca="1" si="41"/>
        <v>-1</v>
      </c>
      <c r="AD96">
        <f t="shared" ca="1" si="36"/>
        <v>27</v>
      </c>
      <c r="BU96" t="s">
        <v>400</v>
      </c>
      <c r="BV96">
        <f>(VLOOKUP(BU96,Stats[[Team]:[xGD/90]],6,FALSE)/VLOOKUP(BU96,Stats[[Team]:[xGD/90]],2,FALSE))</f>
        <v>1.5909090909090908</v>
      </c>
      <c r="BW96">
        <f>(VLOOKUP(BU96,Stats[[Team]:[xGD/90]],11,FALSE)/VLOOKUP(BU96,Stats[[Team]:[xGD/90]],2,FALSE))</f>
        <v>1.2318181818181819</v>
      </c>
      <c r="BY96">
        <f>(VLOOKUP(BU96,Stats[[Team]:[xGD/90]],7,FALSE)/VLOOKUP(BU96,Stats[[Team]:[xGD/90]],2,FALSE))</f>
        <v>1.2272727272727273</v>
      </c>
      <c r="BZ96">
        <f>(VLOOKUP(BU96,Stats[[Team]:[xGD/90]],12,FALSE)/VLOOKUP(BU96,Stats[[Team]:[xGD/90]],2,FALSE))</f>
        <v>1.1409090909090909</v>
      </c>
      <c r="CB96">
        <f t="shared" si="43"/>
        <v>0.35909090909090891</v>
      </c>
      <c r="CC96">
        <f t="shared" si="44"/>
        <v>8.636363636363642E-2</v>
      </c>
      <c r="CE96" s="8">
        <f t="shared" si="45"/>
        <v>0.22571428571428562</v>
      </c>
      <c r="CF96" s="8">
        <f t="shared" si="46"/>
        <v>7.0370370370370416E-2</v>
      </c>
    </row>
    <row r="97" spans="1:84" x14ac:dyDescent="0.25">
      <c r="A97">
        <v>8</v>
      </c>
      <c r="B97" t="s">
        <v>382</v>
      </c>
      <c r="C97">
        <v>1</v>
      </c>
      <c r="D97">
        <v>1</v>
      </c>
      <c r="E97" t="s">
        <v>383</v>
      </c>
      <c r="K97">
        <f>Scores_and_Fixtures[[#This Row],[Wk]]</f>
        <v>8</v>
      </c>
      <c r="L97" t="str">
        <f>Scores_and_Fixtures[[#This Row],[Home]]</f>
        <v>Coventry City</v>
      </c>
      <c r="M97">
        <f ca="1">IF(ISBLANK(Scores_and_Fixtures[[#This Row],[Home Score]])=FALSE,Scores_and_Fixtures[[#This Row],[Home Score]],_xlfn.BINOM.INV(10000,(VLOOKUP(L97,$CK$4:$CM$27,2,FALSE)*VLOOKUP(O97,$CK$4:$CM$27,3,FALSE)*($CM$2/2))/10000,RAND()))</f>
        <v>1</v>
      </c>
      <c r="N97">
        <f ca="1">IF(ISBLANK(Scores_and_Fixtures[[#This Row],[Away Score]])=FALSE,Scores_and_Fixtures[[#This Row],[Away Score]],_xlfn.BINOM.INV(10000,(VLOOKUP(O97,$CK$4:$CM$27,2,FALSE)*VLOOKUP(L97,$CK$4:$CM$27,3,FALSE)*($CM$2/2))/10000,RAND()))</f>
        <v>1</v>
      </c>
      <c r="O97" t="str">
        <f>Scores_and_Fixtures[[#This Row],[Away]]</f>
        <v>Huddersfield</v>
      </c>
      <c r="U97">
        <v>23</v>
      </c>
      <c r="V97" t="str">
        <f t="shared" ca="1" si="29"/>
        <v>QPR</v>
      </c>
      <c r="W97">
        <f t="shared" ca="1" si="30"/>
        <v>31</v>
      </c>
      <c r="X97">
        <f t="shared" ca="1" si="31"/>
        <v>5</v>
      </c>
      <c r="Y97">
        <f t="shared" ca="1" si="32"/>
        <v>6</v>
      </c>
      <c r="Z97">
        <f t="shared" ca="1" si="33"/>
        <v>20</v>
      </c>
      <c r="AA97">
        <f t="shared" ca="1" si="34"/>
        <v>23</v>
      </c>
      <c r="AB97">
        <f t="shared" ca="1" si="35"/>
        <v>52</v>
      </c>
      <c r="AC97">
        <f t="shared" ca="1" si="41"/>
        <v>14</v>
      </c>
      <c r="AD97">
        <f t="shared" ca="1" si="36"/>
        <v>21</v>
      </c>
      <c r="BU97" t="s">
        <v>401</v>
      </c>
      <c r="BV97">
        <f>(VLOOKUP(BU97,Stats[[Team]:[xGD/90]],6,FALSE)/VLOOKUP(BU97,Stats[[Team]:[xGD/90]],2,FALSE))</f>
        <v>1.5454545454545454</v>
      </c>
      <c r="BW97">
        <f>(VLOOKUP(BU97,Stats[[Team]:[xGD/90]],11,FALSE)/VLOOKUP(BU97,Stats[[Team]:[xGD/90]],2,FALSE))</f>
        <v>1.1818181818181819</v>
      </c>
      <c r="BY97">
        <f>(VLOOKUP(BU97,Stats[[Team]:[xGD/90]],7,FALSE)/VLOOKUP(BU97,Stats[[Team]:[xGD/90]],2,FALSE))</f>
        <v>1</v>
      </c>
      <c r="BZ97">
        <f>(VLOOKUP(BU97,Stats[[Team]:[xGD/90]],12,FALSE)/VLOOKUP(BU97,Stats[[Team]:[xGD/90]],2,FALSE))</f>
        <v>0.95</v>
      </c>
      <c r="CB97">
        <f t="shared" si="43"/>
        <v>0.36363636363636354</v>
      </c>
      <c r="CC97">
        <f t="shared" si="44"/>
        <v>5.0000000000000044E-2</v>
      </c>
      <c r="CE97" s="8">
        <f t="shared" si="45"/>
        <v>0.23529411764705876</v>
      </c>
      <c r="CF97" s="8">
        <f t="shared" si="46"/>
        <v>5.0000000000000044E-2</v>
      </c>
    </row>
    <row r="98" spans="1:84" x14ac:dyDescent="0.25">
      <c r="A98">
        <v>9</v>
      </c>
      <c r="B98" t="s">
        <v>395</v>
      </c>
      <c r="C98">
        <v>0</v>
      </c>
      <c r="D98">
        <v>3</v>
      </c>
      <c r="E98" t="s">
        <v>398</v>
      </c>
      <c r="K98">
        <f>Scores_and_Fixtures[[#This Row],[Wk]]</f>
        <v>9</v>
      </c>
      <c r="L98" t="str">
        <f>Scores_and_Fixtures[[#This Row],[Home]]</f>
        <v>Sheffield Weds</v>
      </c>
      <c r="M98">
        <f ca="1">IF(ISBLANK(Scores_and_Fixtures[[#This Row],[Home Score]])=FALSE,Scores_and_Fixtures[[#This Row],[Home Score]],_xlfn.BINOM.INV(10000,(VLOOKUP(L98,$CK$4:$CM$27,2,FALSE)*VLOOKUP(O98,$CK$4:$CM$27,3,FALSE)*($CM$2/2))/10000,RAND()))</f>
        <v>0</v>
      </c>
      <c r="N98">
        <f ca="1">IF(ISBLANK(Scores_and_Fixtures[[#This Row],[Away Score]])=FALSE,Scores_and_Fixtures[[#This Row],[Away Score]],_xlfn.BINOM.INV(10000,(VLOOKUP(O98,$CK$4:$CM$27,2,FALSE)*VLOOKUP(L98,$CK$4:$CM$27,3,FALSE)*($CM$2/2))/10000,RAND()))</f>
        <v>3</v>
      </c>
      <c r="O98" t="str">
        <f>Scores_and_Fixtures[[#This Row],[Away]]</f>
        <v>Sunderland</v>
      </c>
      <c r="U98">
        <v>24</v>
      </c>
      <c r="V98" t="str">
        <f t="shared" ca="1" si="29"/>
        <v>Rotherham Utd</v>
      </c>
      <c r="W98">
        <f t="shared" ca="1" si="30"/>
        <v>32</v>
      </c>
      <c r="X98">
        <f t="shared" ca="1" si="31"/>
        <v>4</v>
      </c>
      <c r="Y98">
        <f t="shared" ca="1" si="32"/>
        <v>9</v>
      </c>
      <c r="Z98">
        <f t="shared" ca="1" si="33"/>
        <v>19</v>
      </c>
      <c r="AA98">
        <f t="shared" ca="1" si="34"/>
        <v>37</v>
      </c>
      <c r="AB98">
        <f t="shared" ca="1" si="35"/>
        <v>67</v>
      </c>
      <c r="AC98">
        <f ca="1">AC75</f>
        <v>42</v>
      </c>
      <c r="AD98">
        <f t="shared" ca="1" si="36"/>
        <v>21</v>
      </c>
    </row>
    <row r="99" spans="1:84" x14ac:dyDescent="0.25">
      <c r="A99">
        <v>9</v>
      </c>
      <c r="B99" t="s">
        <v>396</v>
      </c>
      <c r="C99">
        <v>3</v>
      </c>
      <c r="D99">
        <v>1</v>
      </c>
      <c r="E99" t="s">
        <v>386</v>
      </c>
      <c r="K99">
        <f>Scores_and_Fixtures[[#This Row],[Wk]]</f>
        <v>9</v>
      </c>
      <c r="L99" t="str">
        <f>Scores_and_Fixtures[[#This Row],[Home]]</f>
        <v>Southampton</v>
      </c>
      <c r="M99">
        <f ca="1">IF(ISBLANK(Scores_and_Fixtures[[#This Row],[Home Score]])=FALSE,Scores_and_Fixtures[[#This Row],[Home Score]],_xlfn.BINOM.INV(10000,(VLOOKUP(L99,$CK$4:$CM$27,2,FALSE)*VLOOKUP(O99,$CK$4:$CM$27,3,FALSE)*($CM$2/2))/10000,RAND()))</f>
        <v>3</v>
      </c>
      <c r="N99">
        <f ca="1">IF(ISBLANK(Scores_and_Fixtures[[#This Row],[Away Score]])=FALSE,Scores_and_Fixtures[[#This Row],[Away Score]],_xlfn.BINOM.INV(10000,(VLOOKUP(O99,$CK$4:$CM$27,2,FALSE)*VLOOKUP(L99,$CK$4:$CM$27,3,FALSE)*($CM$2/2))/10000,RAND()))</f>
        <v>1</v>
      </c>
      <c r="O99" t="str">
        <f>Scores_and_Fixtures[[#This Row],[Away]]</f>
        <v>Leeds United</v>
      </c>
      <c r="BU99" t="s">
        <v>286</v>
      </c>
      <c r="BV99">
        <v>1</v>
      </c>
      <c r="BW99">
        <f>CORREL(BW74:BW93,BV74:BV93)</f>
        <v>0.87326852231753938</v>
      </c>
      <c r="BY99">
        <v>1</v>
      </c>
      <c r="BZ99">
        <f>CORREL(BZ74:BZ93,BY74:BY93)</f>
        <v>0.81557080102586388</v>
      </c>
      <c r="CE99" t="s">
        <v>296</v>
      </c>
    </row>
    <row r="100" spans="1:84" x14ac:dyDescent="0.25">
      <c r="A100">
        <v>9</v>
      </c>
      <c r="B100" t="s">
        <v>400</v>
      </c>
      <c r="C100">
        <v>2</v>
      </c>
      <c r="D100">
        <v>3</v>
      </c>
      <c r="E100" t="s">
        <v>388</v>
      </c>
      <c r="K100">
        <f>Scores_and_Fixtures[[#This Row],[Wk]]</f>
        <v>9</v>
      </c>
      <c r="L100" t="str">
        <f>Scores_and_Fixtures[[#This Row],[Home]]</f>
        <v>Watford</v>
      </c>
      <c r="M100">
        <f ca="1">IF(ISBLANK(Scores_and_Fixtures[[#This Row],[Home Score]])=FALSE,Scores_and_Fixtures[[#This Row],[Home Score]],_xlfn.BINOM.INV(10000,(VLOOKUP(L100,$CK$4:$CM$27,2,FALSE)*VLOOKUP(O100,$CK$4:$CM$27,3,FALSE)*($CM$2/2))/10000,RAND()))</f>
        <v>2</v>
      </c>
      <c r="N100">
        <f ca="1">IF(ISBLANK(Scores_and_Fixtures[[#This Row],[Away Score]])=FALSE,Scores_and_Fixtures[[#This Row],[Away Score]],_xlfn.BINOM.INV(10000,(VLOOKUP(O100,$CK$4:$CM$27,2,FALSE)*VLOOKUP(L100,$CK$4:$CM$27,3,FALSE)*($CM$2/2))/10000,RAND()))</f>
        <v>3</v>
      </c>
      <c r="O100" t="str">
        <f>Scores_and_Fixtures[[#This Row],[Away]]</f>
        <v>Middlesbrough</v>
      </c>
      <c r="V100" t="s">
        <v>378</v>
      </c>
      <c r="W100" t="s">
        <v>379</v>
      </c>
      <c r="X100" t="s">
        <v>380</v>
      </c>
      <c r="Y100" t="s">
        <v>381</v>
      </c>
      <c r="Z100" t="s">
        <v>382</v>
      </c>
      <c r="AA100" t="s">
        <v>383</v>
      </c>
      <c r="AB100" t="s">
        <v>384</v>
      </c>
      <c r="AC100" t="s">
        <v>385</v>
      </c>
      <c r="AD100" t="s">
        <v>386</v>
      </c>
      <c r="AE100" t="s">
        <v>387</v>
      </c>
      <c r="AF100" t="s">
        <v>388</v>
      </c>
      <c r="AG100" t="s">
        <v>389</v>
      </c>
      <c r="AH100" t="s">
        <v>390</v>
      </c>
      <c r="AI100" t="s">
        <v>391</v>
      </c>
      <c r="AJ100" t="s">
        <v>392</v>
      </c>
      <c r="AK100" t="s">
        <v>393</v>
      </c>
      <c r="AL100" t="s">
        <v>394</v>
      </c>
      <c r="AM100" t="s">
        <v>395</v>
      </c>
      <c r="AN100" t="s">
        <v>396</v>
      </c>
      <c r="AO100" t="s">
        <v>397</v>
      </c>
      <c r="AP100" t="s">
        <v>398</v>
      </c>
      <c r="AQ100" t="s">
        <v>399</v>
      </c>
      <c r="AR100" t="s">
        <v>400</v>
      </c>
      <c r="AS100" t="s">
        <v>401</v>
      </c>
      <c r="BU100" t="s">
        <v>291</v>
      </c>
      <c r="BV100">
        <f>BV99/SUM($BV$99:$BW$99)</f>
        <v>0.53382629777114732</v>
      </c>
      <c r="BW100">
        <f>BW99/SUM($BV$99:$BW$99)</f>
        <v>0.46617370222885263</v>
      </c>
      <c r="BY100">
        <f>BY99/SUM($BY$99:$BZ$99)</f>
        <v>0.55079096856755094</v>
      </c>
      <c r="BZ100">
        <f>BZ99/SUM($BV$99:$BW$99)</f>
        <v>0.43537314128188598</v>
      </c>
      <c r="CE100" t="s">
        <v>297</v>
      </c>
    </row>
    <row r="101" spans="1:84" x14ac:dyDescent="0.25">
      <c r="A101">
        <v>9</v>
      </c>
      <c r="B101" t="s">
        <v>390</v>
      </c>
      <c r="C101">
        <v>2</v>
      </c>
      <c r="D101">
        <v>0</v>
      </c>
      <c r="E101" t="s">
        <v>378</v>
      </c>
      <c r="K101">
        <f>Scores_and_Fixtures[[#This Row],[Wk]]</f>
        <v>9</v>
      </c>
      <c r="L101" t="str">
        <f>Scores_and_Fixtures[[#This Row],[Home]]</f>
        <v>Norwich City</v>
      </c>
      <c r="M101">
        <f ca="1">IF(ISBLANK(Scores_and_Fixtures[[#This Row],[Home Score]])=FALSE,Scores_and_Fixtures[[#This Row],[Home Score]],_xlfn.BINOM.INV(10000,(VLOOKUP(L101,$CK$4:$CM$27,2,FALSE)*VLOOKUP(O101,$CK$4:$CM$27,3,FALSE)*($CM$2/2))/10000,RAND()))</f>
        <v>2</v>
      </c>
      <c r="N101">
        <f ca="1">IF(ISBLANK(Scores_and_Fixtures[[#This Row],[Away Score]])=FALSE,Scores_and_Fixtures[[#This Row],[Away Score]],_xlfn.BINOM.INV(10000,(VLOOKUP(O101,$CK$4:$CM$27,2,FALSE)*VLOOKUP(L101,$CK$4:$CM$27,3,FALSE)*($CM$2/2))/10000,RAND()))</f>
        <v>0</v>
      </c>
      <c r="O101" t="str">
        <f>Scores_and_Fixtures[[#This Row],[Away]]</f>
        <v>Birmingham City</v>
      </c>
      <c r="U101" t="s">
        <v>253</v>
      </c>
      <c r="V101">
        <f ca="1">INDEX($U$74:$U$98, MATCH(V100, $V$74:$V$98, 0))</f>
        <v>17</v>
      </c>
      <c r="W101">
        <f t="shared" ref="W101:AS101" ca="1" si="47">INDEX($U$74:$U$98, MATCH(W100, $V$74:$V$98, 0))</f>
        <v>15</v>
      </c>
      <c r="X101">
        <f t="shared" ca="1" si="47"/>
        <v>13</v>
      </c>
      <c r="Y101">
        <f t="shared" ca="1" si="47"/>
        <v>9</v>
      </c>
      <c r="Z101">
        <f t="shared" ca="1" si="47"/>
        <v>19</v>
      </c>
      <c r="AA101">
        <f t="shared" ca="1" si="47"/>
        <v>22</v>
      </c>
      <c r="AB101">
        <f t="shared" ca="1" si="47"/>
        <v>6</v>
      </c>
      <c r="AC101">
        <f t="shared" ca="1" si="47"/>
        <v>2</v>
      </c>
      <c r="AD101">
        <f t="shared" ca="1" si="47"/>
        <v>3</v>
      </c>
      <c r="AE101">
        <f t="shared" ca="1" si="47"/>
        <v>1</v>
      </c>
      <c r="AF101">
        <f t="shared" ca="1" si="47"/>
        <v>8</v>
      </c>
      <c r="AG101">
        <f t="shared" ca="1" si="47"/>
        <v>18</v>
      </c>
      <c r="AH101">
        <f t="shared" ca="1" si="47"/>
        <v>11</v>
      </c>
      <c r="AI101">
        <f t="shared" ca="1" si="47"/>
        <v>12</v>
      </c>
      <c r="AJ101">
        <f t="shared" ca="1" si="47"/>
        <v>16</v>
      </c>
      <c r="AK101">
        <f t="shared" ca="1" si="47"/>
        <v>23</v>
      </c>
      <c r="AL101">
        <f t="shared" ca="1" si="47"/>
        <v>24</v>
      </c>
      <c r="AM101">
        <f t="shared" ca="1" si="47"/>
        <v>21</v>
      </c>
      <c r="AN101">
        <f t="shared" ca="1" si="47"/>
        <v>5</v>
      </c>
      <c r="AO101">
        <f t="shared" ca="1" si="47"/>
        <v>20</v>
      </c>
      <c r="AP101">
        <f t="shared" ca="1" si="47"/>
        <v>10</v>
      </c>
      <c r="AQ101">
        <f t="shared" ca="1" si="47"/>
        <v>14</v>
      </c>
      <c r="AR101">
        <f t="shared" ca="1" si="47"/>
        <v>7</v>
      </c>
      <c r="AS101">
        <f t="shared" ca="1" si="47"/>
        <v>4</v>
      </c>
    </row>
    <row r="102" spans="1:84" x14ac:dyDescent="0.25">
      <c r="A102">
        <v>9</v>
      </c>
      <c r="B102" t="s">
        <v>383</v>
      </c>
      <c r="C102">
        <v>1</v>
      </c>
      <c r="D102">
        <v>1</v>
      </c>
      <c r="E102" t="s">
        <v>385</v>
      </c>
      <c r="K102">
        <f>Scores_and_Fixtures[[#This Row],[Wk]]</f>
        <v>9</v>
      </c>
      <c r="L102" t="str">
        <f>Scores_and_Fixtures[[#This Row],[Home]]</f>
        <v>Huddersfield</v>
      </c>
      <c r="M102">
        <f ca="1">IF(ISBLANK(Scores_and_Fixtures[[#This Row],[Home Score]])=FALSE,Scores_and_Fixtures[[#This Row],[Home Score]],_xlfn.BINOM.INV(10000,(VLOOKUP(L102,$CK$4:$CM$27,2,FALSE)*VLOOKUP(O102,$CK$4:$CM$27,3,FALSE)*($CM$2/2))/10000,RAND()))</f>
        <v>1</v>
      </c>
      <c r="N102">
        <f ca="1">IF(ISBLANK(Scores_and_Fixtures[[#This Row],[Away Score]])=FALSE,Scores_and_Fixtures[[#This Row],[Away Score]],_xlfn.BINOM.INV(10000,(VLOOKUP(O102,$CK$4:$CM$27,2,FALSE)*VLOOKUP(L102,$CK$4:$CM$27,3,FALSE)*($CM$2/2))/10000,RAND()))</f>
        <v>1</v>
      </c>
      <c r="O102" t="str">
        <f>Scores_and_Fixtures[[#This Row],[Away]]</f>
        <v>Ipswich Town</v>
      </c>
      <c r="U102">
        <v>1</v>
      </c>
      <c r="V102">
        <f t="dataTable" ref="V102:AS1101" dt2D="0" dtr="0" r1="AW101" ca="1"/>
        <v>18</v>
      </c>
      <c r="W102">
        <v>14</v>
      </c>
      <c r="X102">
        <v>16</v>
      </c>
      <c r="Y102">
        <v>7</v>
      </c>
      <c r="Z102">
        <v>15</v>
      </c>
      <c r="AA102">
        <v>22</v>
      </c>
      <c r="AB102">
        <v>8</v>
      </c>
      <c r="AC102">
        <v>2</v>
      </c>
      <c r="AD102">
        <v>4</v>
      </c>
      <c r="AE102">
        <v>1</v>
      </c>
      <c r="AF102">
        <v>12</v>
      </c>
      <c r="AG102">
        <v>19</v>
      </c>
      <c r="AH102">
        <v>13</v>
      </c>
      <c r="AI102">
        <v>11</v>
      </c>
      <c r="AJ102">
        <v>9</v>
      </c>
      <c r="AK102">
        <v>23</v>
      </c>
      <c r="AL102">
        <v>20</v>
      </c>
      <c r="AM102">
        <v>24</v>
      </c>
      <c r="AN102">
        <v>3</v>
      </c>
      <c r="AO102">
        <v>21</v>
      </c>
      <c r="AP102">
        <v>6</v>
      </c>
      <c r="AQ102">
        <v>17</v>
      </c>
      <c r="AR102">
        <v>10</v>
      </c>
      <c r="AS102">
        <v>5</v>
      </c>
      <c r="BU102" t="s">
        <v>151</v>
      </c>
      <c r="BV102">
        <f>AVERAGE(BV74:BV93)</f>
        <v>1.3522727272727275</v>
      </c>
      <c r="BW102">
        <f>AVERAGE(BW74:BW93)</f>
        <v>1.2677272727272728</v>
      </c>
      <c r="BY102">
        <f>AVERAGE(BY74:BY93)</f>
        <v>1.4136363636363634</v>
      </c>
      <c r="BZ102">
        <f>AVERAGE(BZ74:BZ93)</f>
        <v>1.3</v>
      </c>
      <c r="CE102" s="12">
        <f>1-(1.55/1.509)</f>
        <v>-2.7170311464546071E-2</v>
      </c>
      <c r="CF102" s="12">
        <f>AVERAGE(CF74:CF93)</f>
        <v>6.5240214843074767E-2</v>
      </c>
    </row>
    <row r="103" spans="1:84" x14ac:dyDescent="0.25">
      <c r="A103">
        <v>9</v>
      </c>
      <c r="B103" t="s">
        <v>381</v>
      </c>
      <c r="C103">
        <v>2</v>
      </c>
      <c r="D103">
        <v>0</v>
      </c>
      <c r="E103" t="s">
        <v>394</v>
      </c>
      <c r="K103">
        <f>Scores_and_Fixtures[[#This Row],[Wk]]</f>
        <v>9</v>
      </c>
      <c r="L103" t="str">
        <f>Scores_and_Fixtures[[#This Row],[Home]]</f>
        <v>Cardiff City</v>
      </c>
      <c r="M103">
        <f ca="1">IF(ISBLANK(Scores_and_Fixtures[[#This Row],[Home Score]])=FALSE,Scores_and_Fixtures[[#This Row],[Home Score]],_xlfn.BINOM.INV(10000,(VLOOKUP(L103,$CK$4:$CM$27,2,FALSE)*VLOOKUP(O103,$CK$4:$CM$27,3,FALSE)*($CM$2/2))/10000,RAND()))</f>
        <v>2</v>
      </c>
      <c r="N103">
        <f ca="1">IF(ISBLANK(Scores_and_Fixtures[[#This Row],[Away Score]])=FALSE,Scores_and_Fixtures[[#This Row],[Away Score]],_xlfn.BINOM.INV(10000,(VLOOKUP(O103,$CK$4:$CM$27,2,FALSE)*VLOOKUP(L103,$CK$4:$CM$27,3,FALSE)*($CM$2/2))/10000,RAND()))</f>
        <v>0</v>
      </c>
      <c r="O103" t="str">
        <f>Scores_and_Fixtures[[#This Row],[Away]]</f>
        <v>Rotherham Utd</v>
      </c>
      <c r="U103">
        <v>2</v>
      </c>
      <c r="V103">
        <v>11</v>
      </c>
      <c r="W103">
        <v>16</v>
      </c>
      <c r="X103">
        <v>15</v>
      </c>
      <c r="Y103">
        <v>9</v>
      </c>
      <c r="Z103">
        <v>13</v>
      </c>
      <c r="AA103">
        <v>20</v>
      </c>
      <c r="AB103">
        <v>2</v>
      </c>
      <c r="AC103">
        <v>3</v>
      </c>
      <c r="AD103">
        <v>5</v>
      </c>
      <c r="AE103">
        <v>1</v>
      </c>
      <c r="AF103">
        <v>14</v>
      </c>
      <c r="AG103">
        <v>17</v>
      </c>
      <c r="AH103">
        <v>12</v>
      </c>
      <c r="AI103">
        <v>18</v>
      </c>
      <c r="AJ103">
        <v>8</v>
      </c>
      <c r="AK103">
        <v>22</v>
      </c>
      <c r="AL103">
        <v>23</v>
      </c>
      <c r="AM103">
        <v>24</v>
      </c>
      <c r="AN103">
        <v>4</v>
      </c>
      <c r="AO103">
        <v>21</v>
      </c>
      <c r="AP103">
        <v>10</v>
      </c>
      <c r="AQ103">
        <v>19</v>
      </c>
      <c r="AR103">
        <v>7</v>
      </c>
      <c r="AS103">
        <v>6</v>
      </c>
    </row>
    <row r="104" spans="1:84" x14ac:dyDescent="0.25">
      <c r="A104">
        <v>9</v>
      </c>
      <c r="B104" t="s">
        <v>392</v>
      </c>
      <c r="C104">
        <v>0</v>
      </c>
      <c r="D104">
        <v>4</v>
      </c>
      <c r="E104" t="s">
        <v>401</v>
      </c>
      <c r="K104">
        <f>Scores_and_Fixtures[[#This Row],[Wk]]</f>
        <v>9</v>
      </c>
      <c r="L104" t="str">
        <f>Scores_and_Fixtures[[#This Row],[Home]]</f>
        <v>Preston</v>
      </c>
      <c r="M104">
        <f ca="1">IF(ISBLANK(Scores_and_Fixtures[[#This Row],[Home Score]])=FALSE,Scores_and_Fixtures[[#This Row],[Home Score]],_xlfn.BINOM.INV(10000,(VLOOKUP(L104,$CK$4:$CM$27,2,FALSE)*VLOOKUP(O104,$CK$4:$CM$27,3,FALSE)*($CM$2/2))/10000,RAND()))</f>
        <v>0</v>
      </c>
      <c r="N104">
        <f ca="1">IF(ISBLANK(Scores_and_Fixtures[[#This Row],[Away Score]])=FALSE,Scores_and_Fixtures[[#This Row],[Away Score]],_xlfn.BINOM.INV(10000,(VLOOKUP(O104,$CK$4:$CM$27,2,FALSE)*VLOOKUP(L104,$CK$4:$CM$27,3,FALSE)*($CM$2/2))/10000,RAND()))</f>
        <v>4</v>
      </c>
      <c r="O104" t="str">
        <f>Scores_and_Fixtures[[#This Row],[Away]]</f>
        <v>West Brom</v>
      </c>
      <c r="U104">
        <v>3</v>
      </c>
      <c r="V104">
        <v>15</v>
      </c>
      <c r="W104">
        <v>14</v>
      </c>
      <c r="X104">
        <v>13</v>
      </c>
      <c r="Y104">
        <v>10</v>
      </c>
      <c r="Z104">
        <v>16</v>
      </c>
      <c r="AA104">
        <v>19</v>
      </c>
      <c r="AB104">
        <v>7</v>
      </c>
      <c r="AC104">
        <v>2</v>
      </c>
      <c r="AD104">
        <v>3</v>
      </c>
      <c r="AE104">
        <v>1</v>
      </c>
      <c r="AF104">
        <v>8</v>
      </c>
      <c r="AG104">
        <v>20</v>
      </c>
      <c r="AH104">
        <v>17</v>
      </c>
      <c r="AI104">
        <v>18</v>
      </c>
      <c r="AJ104">
        <v>11</v>
      </c>
      <c r="AK104">
        <v>22</v>
      </c>
      <c r="AL104">
        <v>24</v>
      </c>
      <c r="AM104">
        <v>23</v>
      </c>
      <c r="AN104">
        <v>4</v>
      </c>
      <c r="AO104">
        <v>21</v>
      </c>
      <c r="AP104">
        <v>9</v>
      </c>
      <c r="AQ104">
        <v>12</v>
      </c>
      <c r="AR104">
        <v>6</v>
      </c>
      <c r="AS104">
        <v>5</v>
      </c>
    </row>
    <row r="105" spans="1:84" x14ac:dyDescent="0.25">
      <c r="A105">
        <v>9</v>
      </c>
      <c r="B105" t="s">
        <v>393</v>
      </c>
      <c r="C105">
        <v>1</v>
      </c>
      <c r="D105">
        <v>3</v>
      </c>
      <c r="E105" t="s">
        <v>382</v>
      </c>
      <c r="K105">
        <f>Scores_and_Fixtures[[#This Row],[Wk]]</f>
        <v>9</v>
      </c>
      <c r="L105" t="str">
        <f>Scores_and_Fixtures[[#This Row],[Home]]</f>
        <v>QPR</v>
      </c>
      <c r="M105">
        <f ca="1">IF(ISBLANK(Scores_and_Fixtures[[#This Row],[Home Score]])=FALSE,Scores_and_Fixtures[[#This Row],[Home Score]],_xlfn.BINOM.INV(10000,(VLOOKUP(L105,$CK$4:$CM$27,2,FALSE)*VLOOKUP(O105,$CK$4:$CM$27,3,FALSE)*($CM$2/2))/10000,RAND()))</f>
        <v>1</v>
      </c>
      <c r="N105">
        <f ca="1">IF(ISBLANK(Scores_and_Fixtures[[#This Row],[Away Score]])=FALSE,Scores_and_Fixtures[[#This Row],[Away Score]],_xlfn.BINOM.INV(10000,(VLOOKUP(O105,$CK$4:$CM$27,2,FALSE)*VLOOKUP(L105,$CK$4:$CM$27,3,FALSE)*($CM$2/2))/10000,RAND()))</f>
        <v>3</v>
      </c>
      <c r="O105" t="str">
        <f>Scores_and_Fixtures[[#This Row],[Away]]</f>
        <v>Coventry City</v>
      </c>
      <c r="U105">
        <v>4</v>
      </c>
      <c r="V105">
        <v>16</v>
      </c>
      <c r="W105">
        <v>11</v>
      </c>
      <c r="X105">
        <v>14</v>
      </c>
      <c r="Y105">
        <v>17</v>
      </c>
      <c r="Z105">
        <v>18</v>
      </c>
      <c r="AA105">
        <v>22</v>
      </c>
      <c r="AB105">
        <v>5</v>
      </c>
      <c r="AC105">
        <v>2</v>
      </c>
      <c r="AD105">
        <v>4</v>
      </c>
      <c r="AE105">
        <v>1</v>
      </c>
      <c r="AF105">
        <v>9</v>
      </c>
      <c r="AG105">
        <v>19</v>
      </c>
      <c r="AH105">
        <v>12</v>
      </c>
      <c r="AI105">
        <v>13</v>
      </c>
      <c r="AJ105">
        <v>7</v>
      </c>
      <c r="AK105">
        <v>20</v>
      </c>
      <c r="AL105">
        <v>24</v>
      </c>
      <c r="AM105">
        <v>23</v>
      </c>
      <c r="AN105">
        <v>3</v>
      </c>
      <c r="AO105">
        <v>21</v>
      </c>
      <c r="AP105">
        <v>8</v>
      </c>
      <c r="AQ105">
        <v>15</v>
      </c>
      <c r="AR105">
        <v>10</v>
      </c>
      <c r="AS105">
        <v>6</v>
      </c>
    </row>
    <row r="106" spans="1:84" x14ac:dyDescent="0.25">
      <c r="A106">
        <v>9</v>
      </c>
      <c r="B106" t="s">
        <v>389</v>
      </c>
      <c r="C106">
        <v>0</v>
      </c>
      <c r="D106">
        <v>3</v>
      </c>
      <c r="E106" t="s">
        <v>399</v>
      </c>
      <c r="K106">
        <f>Scores_and_Fixtures[[#This Row],[Wk]]</f>
        <v>9</v>
      </c>
      <c r="L106" t="str">
        <f>Scores_and_Fixtures[[#This Row],[Home]]</f>
        <v>Millwall</v>
      </c>
      <c r="M106">
        <f ca="1">IF(ISBLANK(Scores_and_Fixtures[[#This Row],[Home Score]])=FALSE,Scores_and_Fixtures[[#This Row],[Home Score]],_xlfn.BINOM.INV(10000,(VLOOKUP(L106,$CK$4:$CM$27,2,FALSE)*VLOOKUP(O106,$CK$4:$CM$27,3,FALSE)*($CM$2/2))/10000,RAND()))</f>
        <v>0</v>
      </c>
      <c r="N106">
        <f ca="1">IF(ISBLANK(Scores_and_Fixtures[[#This Row],[Away Score]])=FALSE,Scores_and_Fixtures[[#This Row],[Away Score]],_xlfn.BINOM.INV(10000,(VLOOKUP(O106,$CK$4:$CM$27,2,FALSE)*VLOOKUP(L106,$CK$4:$CM$27,3,FALSE)*($CM$2/2))/10000,RAND()))</f>
        <v>3</v>
      </c>
      <c r="O106" t="str">
        <f>Scores_and_Fixtures[[#This Row],[Away]]</f>
        <v>Swansea City</v>
      </c>
      <c r="U106">
        <v>5</v>
      </c>
      <c r="V106">
        <v>17</v>
      </c>
      <c r="W106">
        <v>14</v>
      </c>
      <c r="X106">
        <v>16</v>
      </c>
      <c r="Y106">
        <v>15</v>
      </c>
      <c r="Z106">
        <v>13</v>
      </c>
      <c r="AA106">
        <v>19</v>
      </c>
      <c r="AB106">
        <v>5</v>
      </c>
      <c r="AC106">
        <v>1</v>
      </c>
      <c r="AD106">
        <v>4</v>
      </c>
      <c r="AE106">
        <v>2</v>
      </c>
      <c r="AF106">
        <v>8</v>
      </c>
      <c r="AG106">
        <v>18</v>
      </c>
      <c r="AH106">
        <v>6</v>
      </c>
      <c r="AI106">
        <v>11</v>
      </c>
      <c r="AJ106">
        <v>9</v>
      </c>
      <c r="AK106">
        <v>22</v>
      </c>
      <c r="AL106">
        <v>24</v>
      </c>
      <c r="AM106">
        <v>23</v>
      </c>
      <c r="AN106">
        <v>3</v>
      </c>
      <c r="AO106">
        <v>20</v>
      </c>
      <c r="AP106">
        <v>10</v>
      </c>
      <c r="AQ106">
        <v>21</v>
      </c>
      <c r="AR106">
        <v>12</v>
      </c>
      <c r="AS106">
        <v>7</v>
      </c>
      <c r="BV106" t="s">
        <v>263</v>
      </c>
      <c r="BW106" t="s">
        <v>264</v>
      </c>
      <c r="BX106" t="s">
        <v>265</v>
      </c>
      <c r="BY106" t="s">
        <v>272</v>
      </c>
      <c r="BZ106" t="s">
        <v>273</v>
      </c>
      <c r="CA106" t="s">
        <v>274</v>
      </c>
      <c r="CB106" t="s">
        <v>275</v>
      </c>
      <c r="CC106" t="s">
        <v>276</v>
      </c>
      <c r="CD106" t="s">
        <v>277</v>
      </c>
    </row>
    <row r="107" spans="1:84" x14ac:dyDescent="0.25">
      <c r="A107">
        <v>9</v>
      </c>
      <c r="B107" t="s">
        <v>380</v>
      </c>
      <c r="C107">
        <v>2</v>
      </c>
      <c r="D107">
        <v>3</v>
      </c>
      <c r="E107" t="s">
        <v>397</v>
      </c>
      <c r="K107">
        <f>Scores_and_Fixtures[[#This Row],[Wk]]</f>
        <v>9</v>
      </c>
      <c r="L107" t="str">
        <f>Scores_and_Fixtures[[#This Row],[Home]]</f>
        <v>Bristol City</v>
      </c>
      <c r="M107">
        <f ca="1">IF(ISBLANK(Scores_and_Fixtures[[#This Row],[Home Score]])=FALSE,Scores_and_Fixtures[[#This Row],[Home Score]],_xlfn.BINOM.INV(10000,(VLOOKUP(L107,$CK$4:$CM$27,2,FALSE)*VLOOKUP(O107,$CK$4:$CM$27,3,FALSE)*($CM$2/2))/10000,RAND()))</f>
        <v>2</v>
      </c>
      <c r="N107">
        <f ca="1">IF(ISBLANK(Scores_and_Fixtures[[#This Row],[Away Score]])=FALSE,Scores_and_Fixtures[[#This Row],[Away Score]],_xlfn.BINOM.INV(10000,(VLOOKUP(O107,$CK$4:$CM$27,2,FALSE)*VLOOKUP(L107,$CK$4:$CM$27,3,FALSE)*($CM$2/2))/10000,RAND()))</f>
        <v>3</v>
      </c>
      <c r="O107" t="str">
        <f>Scores_and_Fixtures[[#This Row],[Away]]</f>
        <v>Stoke City</v>
      </c>
      <c r="U107">
        <v>6</v>
      </c>
      <c r="V107">
        <v>10</v>
      </c>
      <c r="W107">
        <v>15</v>
      </c>
      <c r="X107">
        <v>11</v>
      </c>
      <c r="Y107">
        <v>14</v>
      </c>
      <c r="Z107">
        <v>13</v>
      </c>
      <c r="AA107">
        <v>22</v>
      </c>
      <c r="AB107">
        <v>7</v>
      </c>
      <c r="AC107">
        <v>3</v>
      </c>
      <c r="AD107">
        <v>2</v>
      </c>
      <c r="AE107">
        <v>1</v>
      </c>
      <c r="AF107">
        <v>12</v>
      </c>
      <c r="AG107">
        <v>20</v>
      </c>
      <c r="AH107">
        <v>9</v>
      </c>
      <c r="AI107">
        <v>18</v>
      </c>
      <c r="AJ107">
        <v>16</v>
      </c>
      <c r="AK107">
        <v>19</v>
      </c>
      <c r="AL107">
        <v>23</v>
      </c>
      <c r="AM107">
        <v>24</v>
      </c>
      <c r="AN107">
        <v>4</v>
      </c>
      <c r="AO107">
        <v>21</v>
      </c>
      <c r="AP107">
        <v>5</v>
      </c>
      <c r="AQ107">
        <v>17</v>
      </c>
      <c r="AR107">
        <v>8</v>
      </c>
      <c r="AS107">
        <v>6</v>
      </c>
      <c r="BS107" t="s">
        <v>260</v>
      </c>
      <c r="BT107">
        <f>AVERAGE(Stats_3[Shots/90])</f>
        <v>12.6075</v>
      </c>
      <c r="BU107" t="s">
        <v>378</v>
      </c>
      <c r="BV107">
        <f>(VLOOKUP(BU107,Stats_3[],8,FALSE)/('Table Prediction Calculations'!$BT$107))</f>
        <v>0.98433472139599443</v>
      </c>
      <c r="BW107">
        <f>(VLOOKUP(BU107,Stats_3[],10,FALSE)/('Table Prediction Calculations'!$BT$108))</f>
        <v>0.79668049792531126</v>
      </c>
      <c r="BX107">
        <f>((VLOOKUP(BU107,Stats_6[],3,FALSE)/90)/('Table Prediction Calculations'!$BT$109))</f>
        <v>0.18958370165789859</v>
      </c>
      <c r="BY107">
        <f>((VLOOKUP(BU107,Stats_2[],8,FALSE)/('Table Prediction Calculations'!$BT$110)))</f>
        <v>1.0157724864502771</v>
      </c>
      <c r="BZ107">
        <f>((1/VLOOKUP(BU107,Stats_2[],6,FALSE))/(1/('Table Prediction Calculations'!$BT$111)))</f>
        <v>0.87142857142857144</v>
      </c>
      <c r="CA107">
        <f>((VLOOKUP(BU107,Stats_7[],4,FALSE)/('Table Prediction Calculations'!$BT$112)))</f>
        <v>1.1463272217680718</v>
      </c>
      <c r="CB107">
        <f>((VLOOKUP(BU107,Stats_7[],6,FALSE)/('Table Prediction Calculations'!$BT$113)))</f>
        <v>0.96954126962228648</v>
      </c>
      <c r="CC107">
        <f>((VLOOKUP(BU107,Stats_7[],8,FALSE)/('Table Prediction Calculations'!$BT$114)))</f>
        <v>1.1644736842105261</v>
      </c>
      <c r="CD107">
        <f>((VLOOKUP(BU107,Stats_7[],12,FALSE)/('Table Prediction Calculations'!$BT$115)))</f>
        <v>1.1291884946130279</v>
      </c>
    </row>
    <row r="108" spans="1:84" x14ac:dyDescent="0.25">
      <c r="A108">
        <v>9</v>
      </c>
      <c r="B108" t="s">
        <v>384</v>
      </c>
      <c r="C108">
        <v>1</v>
      </c>
      <c r="D108">
        <v>1</v>
      </c>
      <c r="E108" t="s">
        <v>391</v>
      </c>
      <c r="K108">
        <f>Scores_and_Fixtures[[#This Row],[Wk]]</f>
        <v>9</v>
      </c>
      <c r="L108" t="str">
        <f>Scores_and_Fixtures[[#This Row],[Home]]</f>
        <v>Hull City</v>
      </c>
      <c r="M108">
        <f ca="1">IF(ISBLANK(Scores_and_Fixtures[[#This Row],[Home Score]])=FALSE,Scores_and_Fixtures[[#This Row],[Home Score]],_xlfn.BINOM.INV(10000,(VLOOKUP(L108,$CK$4:$CM$27,2,FALSE)*VLOOKUP(O108,$CK$4:$CM$27,3,FALSE)*($CM$2/2))/10000,RAND()))</f>
        <v>1</v>
      </c>
      <c r="N108">
        <f ca="1">IF(ISBLANK(Scores_and_Fixtures[[#This Row],[Away Score]])=FALSE,Scores_and_Fixtures[[#This Row],[Away Score]],_xlfn.BINOM.INV(10000,(VLOOKUP(O108,$CK$4:$CM$27,2,FALSE)*VLOOKUP(L108,$CK$4:$CM$27,3,FALSE)*($CM$2/2))/10000,RAND()))</f>
        <v>1</v>
      </c>
      <c r="O108" t="str">
        <f>Scores_and_Fixtures[[#This Row],[Away]]</f>
        <v>Plymouth Argyle</v>
      </c>
      <c r="U108">
        <v>7</v>
      </c>
      <c r="V108">
        <v>15</v>
      </c>
      <c r="W108">
        <v>9</v>
      </c>
      <c r="X108">
        <v>16</v>
      </c>
      <c r="Y108">
        <v>13</v>
      </c>
      <c r="Z108">
        <v>14</v>
      </c>
      <c r="AA108">
        <v>20</v>
      </c>
      <c r="AB108">
        <v>6</v>
      </c>
      <c r="AC108">
        <v>2</v>
      </c>
      <c r="AD108">
        <v>4</v>
      </c>
      <c r="AE108">
        <v>1</v>
      </c>
      <c r="AF108">
        <v>11</v>
      </c>
      <c r="AG108">
        <v>19</v>
      </c>
      <c r="AH108">
        <v>12</v>
      </c>
      <c r="AI108">
        <v>18</v>
      </c>
      <c r="AJ108">
        <v>5</v>
      </c>
      <c r="AK108">
        <v>21</v>
      </c>
      <c r="AL108">
        <v>24</v>
      </c>
      <c r="AM108">
        <v>23</v>
      </c>
      <c r="AN108">
        <v>3</v>
      </c>
      <c r="AO108">
        <v>22</v>
      </c>
      <c r="AP108">
        <v>8</v>
      </c>
      <c r="AQ108">
        <v>17</v>
      </c>
      <c r="AR108">
        <v>10</v>
      </c>
      <c r="AS108">
        <v>7</v>
      </c>
      <c r="BS108" t="s">
        <v>261</v>
      </c>
      <c r="BT108">
        <f>AVERAGE(Stats_3[Conversion Rate])</f>
        <v>0.10041666666666667</v>
      </c>
      <c r="BU108" t="s">
        <v>379</v>
      </c>
      <c r="BV108">
        <f>(VLOOKUP(BU108,Stats_3[],8,FALSE)/('Table Prediction Calculations'!$BT$107))</f>
        <v>1.0890343049771962</v>
      </c>
      <c r="BW108">
        <f>(VLOOKUP(BU108,Stats_3[],10,FALSE)/('Table Prediction Calculations'!$BT$108))</f>
        <v>1.0954356846473028</v>
      </c>
      <c r="BX108">
        <f>((VLOOKUP(BU108,Stats_6[],3,FALSE)/90)/('Table Prediction Calculations'!$BT$109))</f>
        <v>0.28290384698085352</v>
      </c>
      <c r="BY108">
        <f>((VLOOKUP(BU108,Stats_2[],8,FALSE)/('Table Prediction Calculations'!$BT$110)))</f>
        <v>1.0040801412825042</v>
      </c>
      <c r="BZ108">
        <f>((1/VLOOKUP(BU108,Stats_2[],6,FALSE))/(1/('Table Prediction Calculations'!$BT$111)))</f>
        <v>0.79565217391304344</v>
      </c>
      <c r="CA108">
        <f>((VLOOKUP(BU108,Stats_7[],4,FALSE)/('Table Prediction Calculations'!$BT$112)))</f>
        <v>1.1267079294639728</v>
      </c>
      <c r="CB108">
        <f>((VLOOKUP(BU108,Stats_7[],6,FALSE)/('Table Prediction Calculations'!$BT$113)))</f>
        <v>0.96265458015095318</v>
      </c>
      <c r="CC108">
        <f>((VLOOKUP(BU108,Stats_7[],8,FALSE)/('Table Prediction Calculations'!$BT$114)))</f>
        <v>1.2394736842105263</v>
      </c>
      <c r="CD108">
        <f>((VLOOKUP(BU108,Stats_7[],12,FALSE)/('Table Prediction Calculations'!$BT$115)))</f>
        <v>1.0390431946229122</v>
      </c>
    </row>
    <row r="109" spans="1:84" x14ac:dyDescent="0.25">
      <c r="A109">
        <v>9</v>
      </c>
      <c r="B109" t="s">
        <v>379</v>
      </c>
      <c r="C109">
        <v>1</v>
      </c>
      <c r="D109">
        <v>4</v>
      </c>
      <c r="E109" t="s">
        <v>387</v>
      </c>
      <c r="K109">
        <f>Scores_and_Fixtures[[#This Row],[Wk]]</f>
        <v>9</v>
      </c>
      <c r="L109" t="str">
        <f>Scores_and_Fixtures[[#This Row],[Home]]</f>
        <v>Blackburn</v>
      </c>
      <c r="M109">
        <f ca="1">IF(ISBLANK(Scores_and_Fixtures[[#This Row],[Home Score]])=FALSE,Scores_and_Fixtures[[#This Row],[Home Score]],_xlfn.BINOM.INV(10000,(VLOOKUP(L109,$CK$4:$CM$27,2,FALSE)*VLOOKUP(O109,$CK$4:$CM$27,3,FALSE)*($CM$2/2))/10000,RAND()))</f>
        <v>1</v>
      </c>
      <c r="N109">
        <f ca="1">IF(ISBLANK(Scores_and_Fixtures[[#This Row],[Away Score]])=FALSE,Scores_and_Fixtures[[#This Row],[Away Score]],_xlfn.BINOM.INV(10000,(VLOOKUP(O109,$CK$4:$CM$27,2,FALSE)*VLOOKUP(L109,$CK$4:$CM$27,3,FALSE)*($CM$2/2))/10000,RAND()))</f>
        <v>4</v>
      </c>
      <c r="O109" t="str">
        <f>Scores_and_Fixtures[[#This Row],[Away]]</f>
        <v>Leicester City</v>
      </c>
      <c r="U109">
        <v>8</v>
      </c>
      <c r="V109">
        <v>18</v>
      </c>
      <c r="W109">
        <v>13</v>
      </c>
      <c r="X109">
        <v>15</v>
      </c>
      <c r="Y109">
        <v>14</v>
      </c>
      <c r="Z109">
        <v>16</v>
      </c>
      <c r="AA109">
        <v>22</v>
      </c>
      <c r="AB109">
        <v>6</v>
      </c>
      <c r="AC109">
        <v>2</v>
      </c>
      <c r="AD109">
        <v>4</v>
      </c>
      <c r="AE109">
        <v>1</v>
      </c>
      <c r="AF109">
        <v>5</v>
      </c>
      <c r="AG109">
        <v>20</v>
      </c>
      <c r="AH109">
        <v>8</v>
      </c>
      <c r="AI109">
        <v>12</v>
      </c>
      <c r="AJ109">
        <v>10</v>
      </c>
      <c r="AK109">
        <v>21</v>
      </c>
      <c r="AL109">
        <v>23</v>
      </c>
      <c r="AM109">
        <v>24</v>
      </c>
      <c r="AN109">
        <v>3</v>
      </c>
      <c r="AO109">
        <v>19</v>
      </c>
      <c r="AP109">
        <v>11</v>
      </c>
      <c r="AQ109">
        <v>17</v>
      </c>
      <c r="AR109">
        <v>7</v>
      </c>
      <c r="AS109">
        <v>9</v>
      </c>
      <c r="BS109" t="s">
        <v>262</v>
      </c>
      <c r="BT109">
        <f>(AVERAGE(Stats_6[Passes Completed])/AVERAGE(Stats_3[Matches Played]))</f>
        <v>396.36553030303025</v>
      </c>
      <c r="BU109" t="s">
        <v>380</v>
      </c>
      <c r="BV109">
        <f>(VLOOKUP(BU109,Stats_3[],8,FALSE)/('Table Prediction Calculations'!$BT$107))</f>
        <v>0.87646242316081702</v>
      </c>
      <c r="BW109">
        <f>(VLOOKUP(BU109,Stats_3[],10,FALSE)/('Table Prediction Calculations'!$BT$108))</f>
        <v>0.89626556016597503</v>
      </c>
      <c r="BX109">
        <f>((VLOOKUP(BU109,Stats_6[],3,FALSE)/90)/('Table Prediction Calculations'!$BT$109))</f>
        <v>0.22683887532392655</v>
      </c>
      <c r="BY109">
        <f>((VLOOKUP(BU109,Stats_2[],8,FALSE)/('Table Prediction Calculations'!$BT$110)))</f>
        <v>1.0756957554351134</v>
      </c>
      <c r="BZ109">
        <f>((1/VLOOKUP(BU109,Stats_2[],6,FALSE))/(1/('Table Prediction Calculations'!$BT$111)))</f>
        <v>1.0517241379310347</v>
      </c>
      <c r="CA109">
        <f>((VLOOKUP(BU109,Stats_7[],4,FALSE)/('Table Prediction Calculations'!$BT$112)))</f>
        <v>1.0650472965082332</v>
      </c>
      <c r="CB109">
        <f>((VLOOKUP(BU109,Stats_7[],6,FALSE)/('Table Prediction Calculations'!$BT$113)))</f>
        <v>0.9848600626690559</v>
      </c>
      <c r="CC109">
        <f>((VLOOKUP(BU109,Stats_7[],8,FALSE)/('Table Prediction Calculations'!$BT$114)))</f>
        <v>0.9039473684210525</v>
      </c>
      <c r="CD109">
        <f>((VLOOKUP(BU109,Stats_7[],12,FALSE)/('Table Prediction Calculations'!$BT$115)))</f>
        <v>0.9560146288425424</v>
      </c>
    </row>
    <row r="110" spans="1:84" x14ac:dyDescent="0.25">
      <c r="A110">
        <v>10</v>
      </c>
      <c r="B110" t="s">
        <v>378</v>
      </c>
      <c r="C110">
        <v>4</v>
      </c>
      <c r="D110">
        <v>1</v>
      </c>
      <c r="E110" t="s">
        <v>383</v>
      </c>
      <c r="K110">
        <f>Scores_and_Fixtures[[#This Row],[Wk]]</f>
        <v>10</v>
      </c>
      <c r="L110" t="str">
        <f>Scores_and_Fixtures[[#This Row],[Home]]</f>
        <v>Birmingham City</v>
      </c>
      <c r="M110">
        <f ca="1">IF(ISBLANK(Scores_and_Fixtures[[#This Row],[Home Score]])=FALSE,Scores_and_Fixtures[[#This Row],[Home Score]],_xlfn.BINOM.INV(10000,(VLOOKUP(L110,$CK$4:$CM$27,2,FALSE)*VLOOKUP(O110,$CK$4:$CM$27,3,FALSE)*($CM$2/2))/10000,RAND()))</f>
        <v>4</v>
      </c>
      <c r="N110">
        <f ca="1">IF(ISBLANK(Scores_and_Fixtures[[#This Row],[Away Score]])=FALSE,Scores_and_Fixtures[[#This Row],[Away Score]],_xlfn.BINOM.INV(10000,(VLOOKUP(O110,$CK$4:$CM$27,2,FALSE)*VLOOKUP(L110,$CK$4:$CM$27,3,FALSE)*($CM$2/2))/10000,RAND()))</f>
        <v>1</v>
      </c>
      <c r="O110" t="str">
        <f>Scores_and_Fixtures[[#This Row],[Away]]</f>
        <v>Huddersfield</v>
      </c>
      <c r="U110">
        <v>9</v>
      </c>
      <c r="V110">
        <v>18</v>
      </c>
      <c r="W110">
        <v>15</v>
      </c>
      <c r="X110">
        <v>8</v>
      </c>
      <c r="Y110">
        <v>9</v>
      </c>
      <c r="Z110">
        <v>11</v>
      </c>
      <c r="AA110">
        <v>20</v>
      </c>
      <c r="AB110">
        <v>5</v>
      </c>
      <c r="AC110">
        <v>2</v>
      </c>
      <c r="AD110">
        <v>3</v>
      </c>
      <c r="AE110">
        <v>1</v>
      </c>
      <c r="AF110">
        <v>12</v>
      </c>
      <c r="AG110">
        <v>22</v>
      </c>
      <c r="AH110">
        <v>13</v>
      </c>
      <c r="AI110">
        <v>17</v>
      </c>
      <c r="AJ110">
        <v>16</v>
      </c>
      <c r="AK110">
        <v>19</v>
      </c>
      <c r="AL110">
        <v>24</v>
      </c>
      <c r="AM110">
        <v>23</v>
      </c>
      <c r="AN110">
        <v>4</v>
      </c>
      <c r="AO110">
        <v>21</v>
      </c>
      <c r="AP110">
        <v>10</v>
      </c>
      <c r="AQ110">
        <v>14</v>
      </c>
      <c r="AR110">
        <v>7</v>
      </c>
      <c r="AS110">
        <v>6</v>
      </c>
      <c r="BS110" t="s">
        <v>266</v>
      </c>
      <c r="BT110">
        <f>AVERAGE(Stats_2[Save%])</f>
        <v>68.420833333333334</v>
      </c>
      <c r="BU110" t="s">
        <v>381</v>
      </c>
      <c r="BV110">
        <f>(VLOOKUP(BU110,Stats_3[],8,FALSE)/('Table Prediction Calculations'!$BT$107))</f>
        <v>0.83997620464009515</v>
      </c>
      <c r="BW110">
        <f>(VLOOKUP(BU110,Stats_3[],10,FALSE)/('Table Prediction Calculations'!$BT$108))</f>
        <v>1.0954356846473028</v>
      </c>
      <c r="BX110">
        <f>((VLOOKUP(BU110,Stats_6[],3,FALSE)/90)/('Table Prediction Calculations'!$BT$109))</f>
        <v>0.21952239652269756</v>
      </c>
      <c r="BY110">
        <f>((VLOOKUP(BU110,Stats_2[],8,FALSE)/('Table Prediction Calculations'!$BT$110)))</f>
        <v>0.97484927836307167</v>
      </c>
      <c r="BZ110">
        <f>((1/VLOOKUP(BU110,Stats_2[],6,FALSE))/(1/('Table Prediction Calculations'!$BT$111)))</f>
        <v>1.1296296296296295</v>
      </c>
      <c r="CA110">
        <f>((VLOOKUP(BU110,Stats_7[],4,FALSE)/('Table Prediction Calculations'!$BT$112)))</f>
        <v>0.9837673712483942</v>
      </c>
      <c r="CB110">
        <f>((VLOOKUP(BU110,Stats_7[],6,FALSE)/('Table Prediction Calculations'!$BT$113)))</f>
        <v>1.034470216762406</v>
      </c>
      <c r="CC110">
        <f>((VLOOKUP(BU110,Stats_7[],8,FALSE)/('Table Prediction Calculations'!$BT$114)))</f>
        <v>0.97499999999999987</v>
      </c>
      <c r="CD110">
        <f>((VLOOKUP(BU110,Stats_7[],12,FALSE)/('Table Prediction Calculations'!$BT$115)))</f>
        <v>1.0627656419887321</v>
      </c>
    </row>
    <row r="111" spans="1:84" x14ac:dyDescent="0.25">
      <c r="A111">
        <v>10</v>
      </c>
      <c r="B111" t="s">
        <v>388</v>
      </c>
      <c r="C111">
        <v>2</v>
      </c>
      <c r="D111">
        <v>0</v>
      </c>
      <c r="E111" t="s">
        <v>381</v>
      </c>
      <c r="K111">
        <f>Scores_and_Fixtures[[#This Row],[Wk]]</f>
        <v>10</v>
      </c>
      <c r="L111" t="str">
        <f>Scores_and_Fixtures[[#This Row],[Home]]</f>
        <v>Middlesbrough</v>
      </c>
      <c r="M111">
        <f ca="1">IF(ISBLANK(Scores_and_Fixtures[[#This Row],[Home Score]])=FALSE,Scores_and_Fixtures[[#This Row],[Home Score]],_xlfn.BINOM.INV(10000,(VLOOKUP(L111,$CK$4:$CM$27,2,FALSE)*VLOOKUP(O111,$CK$4:$CM$27,3,FALSE)*($CM$2/2))/10000,RAND()))</f>
        <v>2</v>
      </c>
      <c r="N111">
        <f ca="1">IF(ISBLANK(Scores_and_Fixtures[[#This Row],[Away Score]])=FALSE,Scores_and_Fixtures[[#This Row],[Away Score]],_xlfn.BINOM.INV(10000,(VLOOKUP(O111,$CK$4:$CM$27,2,FALSE)*VLOOKUP(L111,$CK$4:$CM$27,3,FALSE)*($CM$2/2))/10000,RAND()))</f>
        <v>0</v>
      </c>
      <c r="O111" t="str">
        <f>Scores_and_Fixtures[[#This Row],[Away]]</f>
        <v>Cardiff City</v>
      </c>
      <c r="U111">
        <v>10</v>
      </c>
      <c r="V111">
        <v>14</v>
      </c>
      <c r="W111">
        <v>15</v>
      </c>
      <c r="X111">
        <v>6</v>
      </c>
      <c r="Y111">
        <v>12</v>
      </c>
      <c r="Z111">
        <v>17</v>
      </c>
      <c r="AA111">
        <v>20</v>
      </c>
      <c r="AB111">
        <v>5</v>
      </c>
      <c r="AC111">
        <v>3</v>
      </c>
      <c r="AD111">
        <v>4</v>
      </c>
      <c r="AE111">
        <v>1</v>
      </c>
      <c r="AF111">
        <v>11</v>
      </c>
      <c r="AG111">
        <v>19</v>
      </c>
      <c r="AH111">
        <v>13</v>
      </c>
      <c r="AI111">
        <v>18</v>
      </c>
      <c r="AJ111">
        <v>10</v>
      </c>
      <c r="AK111">
        <v>22</v>
      </c>
      <c r="AL111">
        <v>23</v>
      </c>
      <c r="AM111">
        <v>24</v>
      </c>
      <c r="AN111">
        <v>2</v>
      </c>
      <c r="AO111">
        <v>21</v>
      </c>
      <c r="AP111">
        <v>7</v>
      </c>
      <c r="AQ111">
        <v>16</v>
      </c>
      <c r="AR111">
        <v>9</v>
      </c>
      <c r="AS111">
        <v>8</v>
      </c>
      <c r="BS111" t="s">
        <v>267</v>
      </c>
      <c r="BT111">
        <f>AVERAGE(Stats_2[Shots on Target/90])</f>
        <v>4.1590909090909092</v>
      </c>
      <c r="BU111" t="s">
        <v>382</v>
      </c>
      <c r="BV111">
        <f>(VLOOKUP(BU111,Stats_3[],8,FALSE)/('Table Prediction Calculations'!$BT$107))</f>
        <v>1.0961729129486417</v>
      </c>
      <c r="BW111">
        <f>(VLOOKUP(BU111,Stats_3[],10,FALSE)/('Table Prediction Calculations'!$BT$108))</f>
        <v>0.79668049792531126</v>
      </c>
      <c r="BX111">
        <f>((VLOOKUP(BU111,Stats_6[],3,FALSE)/90)/('Table Prediction Calculations'!$BT$109))</f>
        <v>0.24797536963858802</v>
      </c>
      <c r="BY111">
        <f>((VLOOKUP(BU111,Stats_2[],8,FALSE)/('Table Prediction Calculations'!$BT$110)))</f>
        <v>1.0537726082455392</v>
      </c>
      <c r="BZ111">
        <f>((1/VLOOKUP(BU111,Stats_2[],6,FALSE))/(1/('Table Prediction Calculations'!$BT$111)))</f>
        <v>1.0639534883720931</v>
      </c>
      <c r="CA111">
        <f>((VLOOKUP(BU111,Stats_7[],4,FALSE)/('Table Prediction Calculations'!$BT$112)))</f>
        <v>1.1211024173770876</v>
      </c>
      <c r="CB111">
        <f>((VLOOKUP(BU111,Stats_7[],6,FALSE)/('Table Prediction Calculations'!$BT$113)))</f>
        <v>0.95950515467268238</v>
      </c>
      <c r="CC111">
        <f>((VLOOKUP(BU111,Stats_7[],8,FALSE)/('Table Prediction Calculations'!$BT$114)))</f>
        <v>0.89210526315789473</v>
      </c>
      <c r="CD111">
        <f>((VLOOKUP(BU111,Stats_7[],12,FALSE)/('Table Prediction Calculations'!$BT$115)))</f>
        <v>0.89670851042799282</v>
      </c>
    </row>
    <row r="112" spans="1:84" x14ac:dyDescent="0.25">
      <c r="A112">
        <v>10</v>
      </c>
      <c r="B112" t="s">
        <v>391</v>
      </c>
      <c r="C112">
        <v>0</v>
      </c>
      <c r="D112">
        <v>2</v>
      </c>
      <c r="E112" t="s">
        <v>389</v>
      </c>
      <c r="K112">
        <f>Scores_and_Fixtures[[#This Row],[Wk]]</f>
        <v>10</v>
      </c>
      <c r="L112" t="str">
        <f>Scores_and_Fixtures[[#This Row],[Home]]</f>
        <v>Plymouth Argyle</v>
      </c>
      <c r="M112">
        <f ca="1">IF(ISBLANK(Scores_and_Fixtures[[#This Row],[Home Score]])=FALSE,Scores_and_Fixtures[[#This Row],[Home Score]],_xlfn.BINOM.INV(10000,(VLOOKUP(L112,$CK$4:$CM$27,2,FALSE)*VLOOKUP(O112,$CK$4:$CM$27,3,FALSE)*($CM$2/2))/10000,RAND()))</f>
        <v>0</v>
      </c>
      <c r="N112">
        <f ca="1">IF(ISBLANK(Scores_and_Fixtures[[#This Row],[Away Score]])=FALSE,Scores_and_Fixtures[[#This Row],[Away Score]],_xlfn.BINOM.INV(10000,(VLOOKUP(O112,$CK$4:$CM$27,2,FALSE)*VLOOKUP(L112,$CK$4:$CM$27,3,FALSE)*($CM$2/2))/10000,RAND()))</f>
        <v>2</v>
      </c>
      <c r="O112" t="str">
        <f>Scores_and_Fixtures[[#This Row],[Away]]</f>
        <v>Millwall</v>
      </c>
      <c r="U112">
        <v>11</v>
      </c>
      <c r="V112">
        <v>17</v>
      </c>
      <c r="W112">
        <v>14</v>
      </c>
      <c r="X112">
        <v>10</v>
      </c>
      <c r="Y112">
        <v>13</v>
      </c>
      <c r="Z112">
        <v>18</v>
      </c>
      <c r="AA112">
        <v>20</v>
      </c>
      <c r="AB112">
        <v>5</v>
      </c>
      <c r="AC112">
        <v>2</v>
      </c>
      <c r="AD112">
        <v>3</v>
      </c>
      <c r="AE112">
        <v>1</v>
      </c>
      <c r="AF112">
        <v>15</v>
      </c>
      <c r="AG112">
        <v>16</v>
      </c>
      <c r="AH112">
        <v>12</v>
      </c>
      <c r="AI112">
        <v>11</v>
      </c>
      <c r="AJ112">
        <v>8</v>
      </c>
      <c r="AK112">
        <v>23</v>
      </c>
      <c r="AL112">
        <v>24</v>
      </c>
      <c r="AM112">
        <v>21</v>
      </c>
      <c r="AN112">
        <v>4</v>
      </c>
      <c r="AO112">
        <v>19</v>
      </c>
      <c r="AP112">
        <v>6</v>
      </c>
      <c r="AQ112">
        <v>22</v>
      </c>
      <c r="AR112">
        <v>9</v>
      </c>
      <c r="AS112">
        <v>7</v>
      </c>
      <c r="BS112" t="s">
        <v>268</v>
      </c>
      <c r="BT112">
        <f>AVERAGE(Stats_7[Tackles Attempted/90])</f>
        <v>16.217803030303031</v>
      </c>
      <c r="BU112" t="s">
        <v>383</v>
      </c>
      <c r="BV112">
        <f>(VLOOKUP(BU112,Stats_3[],8,FALSE)/('Table Prediction Calculations'!$BT$107))</f>
        <v>0.82569898869720404</v>
      </c>
      <c r="BW112">
        <f>(VLOOKUP(BU112,Stats_3[],10,FALSE)/('Table Prediction Calculations'!$BT$108))</f>
        <v>0.79668049792531126</v>
      </c>
      <c r="BX112">
        <f>((VLOOKUP(BU112,Stats_6[],3,FALSE)/90)/('Table Prediction Calculations'!$BT$109))</f>
        <v>0.14857217489085647</v>
      </c>
      <c r="BY112">
        <f>((VLOOKUP(BU112,Stats_2[],8,FALSE)/('Table Prediction Calculations'!$BT$110)))</f>
        <v>0.96461847634127029</v>
      </c>
      <c r="BZ112">
        <f>((1/VLOOKUP(BU112,Stats_2[],6,FALSE))/(1/('Table Prediction Calculations'!$BT$111)))</f>
        <v>0.88834951456310696</v>
      </c>
      <c r="CA112">
        <f>((VLOOKUP(BU112,Stats_7[],4,FALSE)/('Table Prediction Calculations'!$BT$112)))</f>
        <v>0.9837673712483942</v>
      </c>
      <c r="CB112">
        <f>((VLOOKUP(BU112,Stats_7[],6,FALSE)/('Table Prediction Calculations'!$BT$113)))</f>
        <v>0.93465291514498039</v>
      </c>
      <c r="CC112">
        <f>((VLOOKUP(BU112,Stats_7[],8,FALSE)/('Table Prediction Calculations'!$BT$114)))</f>
        <v>1.0342105263157895</v>
      </c>
      <c r="CD112">
        <f>((VLOOKUP(BU112,Stats_7[],12,FALSE)/('Table Prediction Calculations'!$BT$115)))</f>
        <v>1.2430562419689632</v>
      </c>
    </row>
    <row r="113" spans="1:82" x14ac:dyDescent="0.25">
      <c r="A113">
        <v>10</v>
      </c>
      <c r="B113" t="s">
        <v>385</v>
      </c>
      <c r="C113">
        <v>3</v>
      </c>
      <c r="D113">
        <v>0</v>
      </c>
      <c r="E113" t="s">
        <v>384</v>
      </c>
      <c r="K113">
        <f>Scores_and_Fixtures[[#This Row],[Wk]]</f>
        <v>10</v>
      </c>
      <c r="L113" t="str">
        <f>Scores_and_Fixtures[[#This Row],[Home]]</f>
        <v>Ipswich Town</v>
      </c>
      <c r="M113">
        <f ca="1">IF(ISBLANK(Scores_and_Fixtures[[#This Row],[Home Score]])=FALSE,Scores_and_Fixtures[[#This Row],[Home Score]],_xlfn.BINOM.INV(10000,(VLOOKUP(L113,$CK$4:$CM$27,2,FALSE)*VLOOKUP(O113,$CK$4:$CM$27,3,FALSE)*($CM$2/2))/10000,RAND()))</f>
        <v>3</v>
      </c>
      <c r="N113">
        <f ca="1">IF(ISBLANK(Scores_and_Fixtures[[#This Row],[Away Score]])=FALSE,Scores_and_Fixtures[[#This Row],[Away Score]],_xlfn.BINOM.INV(10000,(VLOOKUP(O113,$CK$4:$CM$27,2,FALSE)*VLOOKUP(L113,$CK$4:$CM$27,3,FALSE)*($CM$2/2))/10000,RAND()))</f>
        <v>0</v>
      </c>
      <c r="O113" t="str">
        <f>Scores_and_Fixtures[[#This Row],[Away]]</f>
        <v>Hull City</v>
      </c>
      <c r="U113">
        <v>12</v>
      </c>
      <c r="V113">
        <v>17</v>
      </c>
      <c r="W113">
        <v>7</v>
      </c>
      <c r="X113">
        <v>10</v>
      </c>
      <c r="Y113">
        <v>15</v>
      </c>
      <c r="Z113">
        <v>12</v>
      </c>
      <c r="AA113">
        <v>20</v>
      </c>
      <c r="AB113">
        <v>4</v>
      </c>
      <c r="AC113">
        <v>1</v>
      </c>
      <c r="AD113">
        <v>5</v>
      </c>
      <c r="AE113">
        <v>2</v>
      </c>
      <c r="AF113">
        <v>14</v>
      </c>
      <c r="AG113">
        <v>19</v>
      </c>
      <c r="AH113">
        <v>11</v>
      </c>
      <c r="AI113">
        <v>16</v>
      </c>
      <c r="AJ113">
        <v>13</v>
      </c>
      <c r="AK113">
        <v>23</v>
      </c>
      <c r="AL113">
        <v>22</v>
      </c>
      <c r="AM113">
        <v>24</v>
      </c>
      <c r="AN113">
        <v>3</v>
      </c>
      <c r="AO113">
        <v>21</v>
      </c>
      <c r="AP113">
        <v>8</v>
      </c>
      <c r="AQ113">
        <v>18</v>
      </c>
      <c r="AR113">
        <v>9</v>
      </c>
      <c r="AS113">
        <v>6</v>
      </c>
      <c r="BS113" t="s">
        <v>269</v>
      </c>
      <c r="BT113">
        <f>AVERAGE(Stats_7[Tackle Win %])</f>
        <v>0.62792784078948682</v>
      </c>
      <c r="BU113" t="s">
        <v>384</v>
      </c>
      <c r="BV113">
        <f>(VLOOKUP(BU113,Stats_3[],8,FALSE)/('Table Prediction Calculations'!$BT$107))</f>
        <v>1.1318659528058694</v>
      </c>
      <c r="BW113">
        <f>(VLOOKUP(BU113,Stats_3[],10,FALSE)/('Table Prediction Calculations'!$BT$108))</f>
        <v>1.0954356846473028</v>
      </c>
      <c r="BX113">
        <f>((VLOOKUP(BU113,Stats_6[],3,FALSE)/90)/('Table Prediction Calculations'!$BT$109))</f>
        <v>0.32004689070356762</v>
      </c>
      <c r="BY113">
        <f>((VLOOKUP(BU113,Stats_2[],8,FALSE)/('Table Prediction Calculations'!$BT$110)))</f>
        <v>0.96900310577918514</v>
      </c>
      <c r="BZ113">
        <f>((1/VLOOKUP(BU113,Stats_2[],6,FALSE))/(1/('Table Prediction Calculations'!$BT$111)))</f>
        <v>1.14375</v>
      </c>
      <c r="CA113">
        <f>((VLOOKUP(BU113,Stats_7[],4,FALSE)/('Table Prediction Calculations'!$BT$112)))</f>
        <v>0.69788625481723687</v>
      </c>
      <c r="CB113">
        <f>((VLOOKUP(BU113,Stats_7[],6,FALSE)/('Table Prediction Calculations'!$BT$113)))</f>
        <v>0.95296550881520914</v>
      </c>
      <c r="CC113">
        <f>((VLOOKUP(BU113,Stats_7[],8,FALSE)/('Table Prediction Calculations'!$BT$114)))</f>
        <v>0.99473684210526314</v>
      </c>
      <c r="CD113">
        <f>((VLOOKUP(BU113,Stats_7[],12,FALSE)/('Table Prediction Calculations'!$BT$115)))</f>
        <v>0.97499258673519851</v>
      </c>
    </row>
    <row r="114" spans="1:82" x14ac:dyDescent="0.25">
      <c r="A114">
        <v>10</v>
      </c>
      <c r="B114" t="s">
        <v>397</v>
      </c>
      <c r="C114">
        <v>0</v>
      </c>
      <c r="D114">
        <v>1</v>
      </c>
      <c r="E114" t="s">
        <v>396</v>
      </c>
      <c r="K114">
        <f>Scores_and_Fixtures[[#This Row],[Wk]]</f>
        <v>10</v>
      </c>
      <c r="L114" t="str">
        <f>Scores_and_Fixtures[[#This Row],[Home]]</f>
        <v>Stoke City</v>
      </c>
      <c r="M114">
        <f ca="1">IF(ISBLANK(Scores_and_Fixtures[[#This Row],[Home Score]])=FALSE,Scores_and_Fixtures[[#This Row],[Home Score]],_xlfn.BINOM.INV(10000,(VLOOKUP(L114,$CK$4:$CM$27,2,FALSE)*VLOOKUP(O114,$CK$4:$CM$27,3,FALSE)*($CM$2/2))/10000,RAND()))</f>
        <v>0</v>
      </c>
      <c r="N114">
        <f ca="1">IF(ISBLANK(Scores_and_Fixtures[[#This Row],[Away Score]])=FALSE,Scores_and_Fixtures[[#This Row],[Away Score]],_xlfn.BINOM.INV(10000,(VLOOKUP(O114,$CK$4:$CM$27,2,FALSE)*VLOOKUP(L114,$CK$4:$CM$27,3,FALSE)*($CM$2/2))/10000,RAND()))</f>
        <v>1</v>
      </c>
      <c r="O114" t="str">
        <f>Scores_and_Fixtures[[#This Row],[Away]]</f>
        <v>Southampton</v>
      </c>
      <c r="U114">
        <v>13</v>
      </c>
      <c r="V114">
        <v>8</v>
      </c>
      <c r="W114">
        <v>13</v>
      </c>
      <c r="X114">
        <v>9</v>
      </c>
      <c r="Y114">
        <v>7</v>
      </c>
      <c r="Z114">
        <v>15</v>
      </c>
      <c r="AA114">
        <v>21</v>
      </c>
      <c r="AB114">
        <v>6</v>
      </c>
      <c r="AC114">
        <v>2</v>
      </c>
      <c r="AD114">
        <v>4</v>
      </c>
      <c r="AE114">
        <v>1</v>
      </c>
      <c r="AF114">
        <v>16</v>
      </c>
      <c r="AG114">
        <v>18</v>
      </c>
      <c r="AH114">
        <v>12</v>
      </c>
      <c r="AI114">
        <v>17</v>
      </c>
      <c r="AJ114">
        <v>14</v>
      </c>
      <c r="AK114">
        <v>22</v>
      </c>
      <c r="AL114">
        <v>24</v>
      </c>
      <c r="AM114">
        <v>23</v>
      </c>
      <c r="AN114">
        <v>3</v>
      </c>
      <c r="AO114">
        <v>20</v>
      </c>
      <c r="AP114">
        <v>11</v>
      </c>
      <c r="AQ114">
        <v>19</v>
      </c>
      <c r="AR114">
        <v>10</v>
      </c>
      <c r="AS114">
        <v>5</v>
      </c>
      <c r="BS114" t="s">
        <v>270</v>
      </c>
      <c r="BT114">
        <f>AVERAGE(Stats_7[Blocks/90])</f>
        <v>11.515151515151516</v>
      </c>
      <c r="BU114" t="s">
        <v>385</v>
      </c>
      <c r="BV114">
        <f>(VLOOKUP(BU114,Stats_3[],8,FALSE)/('Table Prediction Calculations'!$BT$107))</f>
        <v>1.2905016855046598</v>
      </c>
      <c r="BW114">
        <f>(VLOOKUP(BU114,Stats_3[],10,FALSE)/('Table Prediction Calculations'!$BT$108))</f>
        <v>1.1950207468879668</v>
      </c>
      <c r="BX114">
        <f>((VLOOKUP(BU114,Stats_6[],3,FALSE)/90)/('Table Prediction Calculations'!$BT$109))</f>
        <v>0.25834738939511953</v>
      </c>
      <c r="BY114">
        <f>((VLOOKUP(BU114,Stats_2[],8,FALSE)/('Table Prediction Calculations'!$BT$110)))</f>
        <v>0.96315693319529883</v>
      </c>
      <c r="BZ114">
        <f>((1/VLOOKUP(BU114,Stats_2[],6,FALSE))/(1/('Table Prediction Calculations'!$BT$111)))</f>
        <v>1.1158536585365855</v>
      </c>
      <c r="CA114">
        <f>((VLOOKUP(BU114,Stats_7[],4,FALSE)/('Table Prediction Calculations'!$BT$112)))</f>
        <v>1.0538362723344621</v>
      </c>
      <c r="CB114">
        <f>((VLOOKUP(BU114,Stats_7[],6,FALSE)/('Table Prediction Calculations'!$BT$113)))</f>
        <v>1.0419275538513277</v>
      </c>
      <c r="CC114">
        <f>((VLOOKUP(BU114,Stats_7[],8,FALSE)/('Table Prediction Calculations'!$BT$114)))</f>
        <v>1.0302631578947368</v>
      </c>
      <c r="CD114">
        <f>((VLOOKUP(BU114,Stats_7[],12,FALSE)/('Table Prediction Calculations'!$BT$115)))</f>
        <v>0.88484728674508262</v>
      </c>
    </row>
    <row r="115" spans="1:82" x14ac:dyDescent="0.25">
      <c r="A115">
        <v>10</v>
      </c>
      <c r="B115" t="s">
        <v>401</v>
      </c>
      <c r="C115">
        <v>1</v>
      </c>
      <c r="D115">
        <v>0</v>
      </c>
      <c r="E115" t="s">
        <v>395</v>
      </c>
      <c r="K115">
        <f>Scores_and_Fixtures[[#This Row],[Wk]]</f>
        <v>10</v>
      </c>
      <c r="L115" t="str">
        <f>Scores_and_Fixtures[[#This Row],[Home]]</f>
        <v>West Brom</v>
      </c>
      <c r="M115">
        <f ca="1">IF(ISBLANK(Scores_and_Fixtures[[#This Row],[Home Score]])=FALSE,Scores_and_Fixtures[[#This Row],[Home Score]],_xlfn.BINOM.INV(10000,(VLOOKUP(L115,$CK$4:$CM$27,2,FALSE)*VLOOKUP(O115,$CK$4:$CM$27,3,FALSE)*($CM$2/2))/10000,RAND()))</f>
        <v>1</v>
      </c>
      <c r="N115">
        <f ca="1">IF(ISBLANK(Scores_and_Fixtures[[#This Row],[Away Score]])=FALSE,Scores_and_Fixtures[[#This Row],[Away Score]],_xlfn.BINOM.INV(10000,(VLOOKUP(O115,$CK$4:$CM$27,2,FALSE)*VLOOKUP(L115,$CK$4:$CM$27,3,FALSE)*($CM$2/2))/10000,RAND()))</f>
        <v>0</v>
      </c>
      <c r="O115" t="str">
        <f>Scores_and_Fixtures[[#This Row],[Away]]</f>
        <v>Sheffield Weds</v>
      </c>
      <c r="U115">
        <v>14</v>
      </c>
      <c r="V115">
        <v>18</v>
      </c>
      <c r="W115">
        <v>9</v>
      </c>
      <c r="X115">
        <v>13</v>
      </c>
      <c r="Y115">
        <v>11</v>
      </c>
      <c r="Z115">
        <v>16</v>
      </c>
      <c r="AA115">
        <v>21</v>
      </c>
      <c r="AB115">
        <v>4</v>
      </c>
      <c r="AC115">
        <v>2</v>
      </c>
      <c r="AD115">
        <v>3</v>
      </c>
      <c r="AE115">
        <v>1</v>
      </c>
      <c r="AF115">
        <v>12</v>
      </c>
      <c r="AG115">
        <v>19</v>
      </c>
      <c r="AH115">
        <v>8</v>
      </c>
      <c r="AI115">
        <v>14</v>
      </c>
      <c r="AJ115">
        <v>17</v>
      </c>
      <c r="AK115">
        <v>22</v>
      </c>
      <c r="AL115">
        <v>24</v>
      </c>
      <c r="AM115">
        <v>23</v>
      </c>
      <c r="AN115">
        <v>5</v>
      </c>
      <c r="AO115">
        <v>20</v>
      </c>
      <c r="AP115">
        <v>7</v>
      </c>
      <c r="AQ115">
        <v>15</v>
      </c>
      <c r="AR115">
        <v>10</v>
      </c>
      <c r="AS115">
        <v>6</v>
      </c>
      <c r="BS115" t="s">
        <v>271</v>
      </c>
      <c r="BT115">
        <f>AVERAGE(Stats_7[Clearances/90])</f>
        <v>19.160984848484844</v>
      </c>
      <c r="BU115" t="s">
        <v>386</v>
      </c>
      <c r="BV115">
        <f>(VLOOKUP(BU115,Stats_3[],8,FALSE)/('Table Prediction Calculations'!$BT$107))</f>
        <v>1.2651199682728533</v>
      </c>
      <c r="BW115">
        <f>(VLOOKUP(BU115,Stats_3[],10,FALSE)/('Table Prediction Calculations'!$BT$108))</f>
        <v>0.99585062240663902</v>
      </c>
      <c r="BX115">
        <f>((VLOOKUP(BU115,Stats_6[],3,FALSE)/90)/('Table Prediction Calculations'!$BT$109))</f>
        <v>0.29274324950664421</v>
      </c>
      <c r="BY115">
        <f>((VLOOKUP(BU115,Stats_2[],8,FALSE)/('Table Prediction Calculations'!$BT$110)))</f>
        <v>0.94123378600572449</v>
      </c>
      <c r="BZ115">
        <f>((1/VLOOKUP(BU115,Stats_2[],6,FALSE))/(1/('Table Prediction Calculations'!$BT$111)))</f>
        <v>1.5508474576271187</v>
      </c>
      <c r="CA115">
        <f>((VLOOKUP(BU115,Stats_7[],4,FALSE)/('Table Prediction Calculations'!$BT$112)))</f>
        <v>1.0566390283779048</v>
      </c>
      <c r="CB115">
        <f>((VLOOKUP(BU115,Stats_7[],6,FALSE)/('Table Prediction Calculations'!$BT$113)))</f>
        <v>1.0856304951776066</v>
      </c>
      <c r="CC115">
        <f>((VLOOKUP(BU115,Stats_7[],8,FALSE)/('Table Prediction Calculations'!$BT$114)))</f>
        <v>1.0184210526315789</v>
      </c>
      <c r="CD115">
        <f>((VLOOKUP(BU115,Stats_7[],12,FALSE)/('Table Prediction Calculations'!$BT$115)))</f>
        <v>0.87061381832559082</v>
      </c>
    </row>
    <row r="116" spans="1:82" x14ac:dyDescent="0.25">
      <c r="A116">
        <v>10</v>
      </c>
      <c r="B116" t="s">
        <v>387</v>
      </c>
      <c r="C116">
        <v>3</v>
      </c>
      <c r="D116">
        <v>0</v>
      </c>
      <c r="E116" t="s">
        <v>392</v>
      </c>
      <c r="K116">
        <f>Scores_and_Fixtures[[#This Row],[Wk]]</f>
        <v>10</v>
      </c>
      <c r="L116" t="str">
        <f>Scores_and_Fixtures[[#This Row],[Home]]</f>
        <v>Leicester City</v>
      </c>
      <c r="M116">
        <f ca="1">IF(ISBLANK(Scores_and_Fixtures[[#This Row],[Home Score]])=FALSE,Scores_and_Fixtures[[#This Row],[Home Score]],_xlfn.BINOM.INV(10000,(VLOOKUP(L116,$CK$4:$CM$27,2,FALSE)*VLOOKUP(O116,$CK$4:$CM$27,3,FALSE)*($CM$2/2))/10000,RAND()))</f>
        <v>3</v>
      </c>
      <c r="N116">
        <f ca="1">IF(ISBLANK(Scores_and_Fixtures[[#This Row],[Away Score]])=FALSE,Scores_and_Fixtures[[#This Row],[Away Score]],_xlfn.BINOM.INV(10000,(VLOOKUP(O116,$CK$4:$CM$27,2,FALSE)*VLOOKUP(L116,$CK$4:$CM$27,3,FALSE)*($CM$2/2))/10000,RAND()))</f>
        <v>0</v>
      </c>
      <c r="O116" t="str">
        <f>Scores_and_Fixtures[[#This Row],[Away]]</f>
        <v>Preston</v>
      </c>
      <c r="U116">
        <v>15</v>
      </c>
      <c r="V116">
        <v>20</v>
      </c>
      <c r="W116">
        <v>10</v>
      </c>
      <c r="X116">
        <v>18</v>
      </c>
      <c r="Y116">
        <v>12</v>
      </c>
      <c r="Z116">
        <v>11</v>
      </c>
      <c r="AA116">
        <v>21</v>
      </c>
      <c r="AB116">
        <v>6</v>
      </c>
      <c r="AC116">
        <v>2</v>
      </c>
      <c r="AD116">
        <v>4</v>
      </c>
      <c r="AE116">
        <v>1</v>
      </c>
      <c r="AF116">
        <v>9</v>
      </c>
      <c r="AG116">
        <v>17</v>
      </c>
      <c r="AH116">
        <v>13</v>
      </c>
      <c r="AI116">
        <v>19</v>
      </c>
      <c r="AJ116">
        <v>16</v>
      </c>
      <c r="AK116">
        <v>22</v>
      </c>
      <c r="AL116">
        <v>24</v>
      </c>
      <c r="AM116">
        <v>23</v>
      </c>
      <c r="AN116">
        <v>3</v>
      </c>
      <c r="AO116">
        <v>15</v>
      </c>
      <c r="AP116">
        <v>8</v>
      </c>
      <c r="AQ116">
        <v>14</v>
      </c>
      <c r="AR116">
        <v>7</v>
      </c>
      <c r="AS116">
        <v>5</v>
      </c>
      <c r="BU116" t="s">
        <v>387</v>
      </c>
      <c r="BV116">
        <f>(VLOOKUP(BU116,Stats_3[],8,FALSE)/('Table Prediction Calculations'!$BT$107))</f>
        <v>1.1215546301804482</v>
      </c>
      <c r="BW116">
        <f>(VLOOKUP(BU116,Stats_3[],10,FALSE)/('Table Prediction Calculations'!$BT$108))</f>
        <v>1.2946058091286308</v>
      </c>
      <c r="BX116">
        <f>((VLOOKUP(BU116,Stats_6[],3,FALSE)/90)/('Table Prediction Calculations'!$BT$109))</f>
        <v>0.37395336095170295</v>
      </c>
      <c r="BY116">
        <f>((VLOOKUP(BU116,Stats_2[],8,FALSE)/('Table Prediction Calculations'!$BT$110)))</f>
        <v>1.1765422325071555</v>
      </c>
      <c r="BZ116">
        <f>((1/VLOOKUP(BU116,Stats_2[],6,FALSE))/(1/('Table Prediction Calculations'!$BT$111)))</f>
        <v>1.1158536585365855</v>
      </c>
      <c r="CA116">
        <f>((VLOOKUP(BU116,Stats_7[],4,FALSE)/('Table Prediction Calculations'!$BT$112)))</f>
        <v>1.0902721008992176</v>
      </c>
      <c r="CB116">
        <f>((VLOOKUP(BU116,Stats_7[],6,FALSE)/('Table Prediction Calculations'!$BT$113)))</f>
        <v>1.0316709467941674</v>
      </c>
      <c r="CC116">
        <f>((VLOOKUP(BU116,Stats_7[],8,FALSE)/('Table Prediction Calculations'!$BT$114)))</f>
        <v>0.91578947368421049</v>
      </c>
      <c r="CD116">
        <f>((VLOOKUP(BU116,Stats_7[],12,FALSE)/('Table Prediction Calculations'!$BT$115)))</f>
        <v>0.90382524463773861</v>
      </c>
    </row>
    <row r="117" spans="1:82" x14ac:dyDescent="0.25">
      <c r="A117">
        <v>10</v>
      </c>
      <c r="B117" t="s">
        <v>398</v>
      </c>
      <c r="C117">
        <v>2</v>
      </c>
      <c r="D117">
        <v>0</v>
      </c>
      <c r="E117" t="s">
        <v>400</v>
      </c>
      <c r="K117">
        <f>Scores_and_Fixtures[[#This Row],[Wk]]</f>
        <v>10</v>
      </c>
      <c r="L117" t="str">
        <f>Scores_and_Fixtures[[#This Row],[Home]]</f>
        <v>Sunderland</v>
      </c>
      <c r="M117">
        <f ca="1">IF(ISBLANK(Scores_and_Fixtures[[#This Row],[Home Score]])=FALSE,Scores_and_Fixtures[[#This Row],[Home Score]],_xlfn.BINOM.INV(10000,(VLOOKUP(L117,$CK$4:$CM$27,2,FALSE)*VLOOKUP(O117,$CK$4:$CM$27,3,FALSE)*($CM$2/2))/10000,RAND()))</f>
        <v>2</v>
      </c>
      <c r="N117">
        <f ca="1">IF(ISBLANK(Scores_and_Fixtures[[#This Row],[Away Score]])=FALSE,Scores_and_Fixtures[[#This Row],[Away Score]],_xlfn.BINOM.INV(10000,(VLOOKUP(O117,$CK$4:$CM$27,2,FALSE)*VLOOKUP(L117,$CK$4:$CM$27,3,FALSE)*($CM$2/2))/10000,RAND()))</f>
        <v>0</v>
      </c>
      <c r="O117" t="str">
        <f>Scores_and_Fixtures[[#This Row],[Away]]</f>
        <v>Watford</v>
      </c>
      <c r="U117">
        <v>16</v>
      </c>
      <c r="V117">
        <v>16</v>
      </c>
      <c r="W117">
        <v>13</v>
      </c>
      <c r="X117">
        <v>9</v>
      </c>
      <c r="Y117">
        <v>11</v>
      </c>
      <c r="Z117">
        <v>15</v>
      </c>
      <c r="AA117">
        <v>17</v>
      </c>
      <c r="AB117">
        <v>7</v>
      </c>
      <c r="AC117">
        <v>1</v>
      </c>
      <c r="AD117">
        <v>4</v>
      </c>
      <c r="AE117">
        <v>2</v>
      </c>
      <c r="AF117">
        <v>19</v>
      </c>
      <c r="AG117">
        <v>20</v>
      </c>
      <c r="AH117">
        <v>14</v>
      </c>
      <c r="AI117">
        <v>18</v>
      </c>
      <c r="AJ117">
        <v>12</v>
      </c>
      <c r="AK117">
        <v>22</v>
      </c>
      <c r="AL117">
        <v>23</v>
      </c>
      <c r="AM117">
        <v>24</v>
      </c>
      <c r="AN117">
        <v>3</v>
      </c>
      <c r="AO117">
        <v>21</v>
      </c>
      <c r="AP117">
        <v>8</v>
      </c>
      <c r="AQ117">
        <v>10</v>
      </c>
      <c r="AR117">
        <v>5</v>
      </c>
      <c r="AS117">
        <v>6</v>
      </c>
      <c r="BU117" t="s">
        <v>388</v>
      </c>
      <c r="BV117">
        <f>(VLOOKUP(BU117,Stats_3[],8,FALSE)/('Table Prediction Calculations'!$BT$107))</f>
        <v>1.0850684116597262</v>
      </c>
      <c r="BW117">
        <f>(VLOOKUP(BU117,Stats_3[],10,FALSE)/('Table Prediction Calculations'!$BT$108))</f>
        <v>0.99585062240663902</v>
      </c>
      <c r="BX117">
        <f>((VLOOKUP(BU117,Stats_6[],3,FALSE)/90)/('Table Prediction Calculations'!$BT$109))</f>
        <v>0.2945933935713228</v>
      </c>
      <c r="BY117">
        <f>((VLOOKUP(BU117,Stats_2[],8,FALSE)/('Table Prediction Calculations'!$BT$110)))</f>
        <v>0.92369526825406489</v>
      </c>
      <c r="BZ117">
        <f>((1/VLOOKUP(BU117,Stats_2[],6,FALSE))/(1/('Table Prediction Calculations'!$BT$111)))</f>
        <v>1.0517241379310347</v>
      </c>
      <c r="CA117">
        <f>((VLOOKUP(BU117,Stats_7[],4,FALSE)/('Table Prediction Calculations'!$BT$112)))</f>
        <v>0.8912764218147845</v>
      </c>
      <c r="CB117">
        <f>((VLOOKUP(BU117,Stats_7[],6,FALSE)/('Table Prediction Calculations'!$BT$113)))</f>
        <v>0.97154936196926001</v>
      </c>
      <c r="CC117">
        <f>((VLOOKUP(BU117,Stats_7[],8,FALSE)/('Table Prediction Calculations'!$BT$114)))</f>
        <v>0.91973684210526319</v>
      </c>
      <c r="CD117">
        <f>((VLOOKUP(BU117,Stats_7[],12,FALSE)/('Table Prediction Calculations'!$BT$115)))</f>
        <v>0.85163586043293482</v>
      </c>
    </row>
    <row r="118" spans="1:82" x14ac:dyDescent="0.25">
      <c r="A118">
        <v>10</v>
      </c>
      <c r="B118" t="s">
        <v>386</v>
      </c>
      <c r="C118">
        <v>1</v>
      </c>
      <c r="D118">
        <v>0</v>
      </c>
      <c r="E118" t="s">
        <v>393</v>
      </c>
      <c r="K118">
        <f>Scores_and_Fixtures[[#This Row],[Wk]]</f>
        <v>10</v>
      </c>
      <c r="L118" t="str">
        <f>Scores_and_Fixtures[[#This Row],[Home]]</f>
        <v>Leeds United</v>
      </c>
      <c r="M118">
        <f ca="1">IF(ISBLANK(Scores_and_Fixtures[[#This Row],[Home Score]])=FALSE,Scores_and_Fixtures[[#This Row],[Home Score]],_xlfn.BINOM.INV(10000,(VLOOKUP(L118,$CK$4:$CM$27,2,FALSE)*VLOOKUP(O118,$CK$4:$CM$27,3,FALSE)*($CM$2/2))/10000,RAND()))</f>
        <v>1</v>
      </c>
      <c r="N118">
        <f ca="1">IF(ISBLANK(Scores_and_Fixtures[[#This Row],[Away Score]])=FALSE,Scores_and_Fixtures[[#This Row],[Away Score]],_xlfn.BINOM.INV(10000,(VLOOKUP(O118,$CK$4:$CM$27,2,FALSE)*VLOOKUP(L118,$CK$4:$CM$27,3,FALSE)*($CM$2/2))/10000,RAND()))</f>
        <v>0</v>
      </c>
      <c r="O118" t="str">
        <f>Scores_and_Fixtures[[#This Row],[Away]]</f>
        <v>QPR</v>
      </c>
      <c r="U118">
        <v>17</v>
      </c>
      <c r="V118">
        <v>20</v>
      </c>
      <c r="W118">
        <v>11</v>
      </c>
      <c r="X118">
        <v>13</v>
      </c>
      <c r="Y118">
        <v>8</v>
      </c>
      <c r="Z118">
        <v>15</v>
      </c>
      <c r="AA118">
        <v>19</v>
      </c>
      <c r="AB118">
        <v>6</v>
      </c>
      <c r="AC118">
        <v>2</v>
      </c>
      <c r="AD118">
        <v>3</v>
      </c>
      <c r="AE118">
        <v>1</v>
      </c>
      <c r="AF118">
        <v>18</v>
      </c>
      <c r="AG118">
        <v>17</v>
      </c>
      <c r="AH118">
        <v>14</v>
      </c>
      <c r="AI118">
        <v>12</v>
      </c>
      <c r="AJ118">
        <v>16</v>
      </c>
      <c r="AK118">
        <v>21</v>
      </c>
      <c r="AL118">
        <v>24</v>
      </c>
      <c r="AM118">
        <v>23</v>
      </c>
      <c r="AN118">
        <v>5</v>
      </c>
      <c r="AO118">
        <v>22</v>
      </c>
      <c r="AP118">
        <v>10</v>
      </c>
      <c r="AQ118">
        <v>9</v>
      </c>
      <c r="AR118">
        <v>4</v>
      </c>
      <c r="AS118">
        <v>7</v>
      </c>
      <c r="BU118" t="s">
        <v>389</v>
      </c>
      <c r="BV118">
        <f>(VLOOKUP(BU118,Stats_3[],8,FALSE)/('Table Prediction Calculations'!$BT$107))</f>
        <v>0.93357128693238145</v>
      </c>
      <c r="BW118">
        <f>(VLOOKUP(BU118,Stats_3[],10,FALSE)/('Table Prediction Calculations'!$BT$108))</f>
        <v>0.89626556016597503</v>
      </c>
      <c r="BX118">
        <f>((VLOOKUP(BU118,Stats_6[],3,FALSE)/90)/('Table Prediction Calculations'!$BT$109))</f>
        <v>0.18442572426546128</v>
      </c>
      <c r="BY118">
        <f>((VLOOKUP(BU118,Stats_2[],8,FALSE)/('Table Prediction Calculations'!$BT$110)))</f>
        <v>0.996772425552646</v>
      </c>
      <c r="BZ118">
        <f>((1/VLOOKUP(BU118,Stats_2[],6,FALSE))/(1/('Table Prediction Calculations'!$BT$111)))</f>
        <v>1.0397727272727273</v>
      </c>
      <c r="CA118">
        <f>((VLOOKUP(BU118,Stats_7[],4,FALSE)/('Table Prediction Calculations'!$BT$112)))</f>
        <v>1.0986803690295455</v>
      </c>
      <c r="CB118">
        <f>((VLOOKUP(BU118,Stats_7[],6,FALSE)/('Table Prediction Calculations'!$BT$113)))</f>
        <v>0.96283648766798946</v>
      </c>
      <c r="CC118">
        <f>((VLOOKUP(BU118,Stats_7[],8,FALSE)/('Table Prediction Calculations'!$BT$114)))</f>
        <v>1.0460526315789473</v>
      </c>
      <c r="CD118">
        <f>((VLOOKUP(BU118,Stats_7[],12,FALSE)/('Table Prediction Calculations'!$BT$115)))</f>
        <v>1.074626865671642</v>
      </c>
    </row>
    <row r="119" spans="1:82" x14ac:dyDescent="0.25">
      <c r="A119">
        <v>10</v>
      </c>
      <c r="B119" t="s">
        <v>399</v>
      </c>
      <c r="C119">
        <v>2</v>
      </c>
      <c r="D119">
        <v>1</v>
      </c>
      <c r="E119" t="s">
        <v>390</v>
      </c>
      <c r="K119">
        <f>Scores_and_Fixtures[[#This Row],[Wk]]</f>
        <v>10</v>
      </c>
      <c r="L119" t="str">
        <f>Scores_and_Fixtures[[#This Row],[Home]]</f>
        <v>Swansea City</v>
      </c>
      <c r="M119">
        <f ca="1">IF(ISBLANK(Scores_and_Fixtures[[#This Row],[Home Score]])=FALSE,Scores_and_Fixtures[[#This Row],[Home Score]],_xlfn.BINOM.INV(10000,(VLOOKUP(L119,$CK$4:$CM$27,2,FALSE)*VLOOKUP(O119,$CK$4:$CM$27,3,FALSE)*($CM$2/2))/10000,RAND()))</f>
        <v>2</v>
      </c>
      <c r="N119">
        <f ca="1">IF(ISBLANK(Scores_and_Fixtures[[#This Row],[Away Score]])=FALSE,Scores_and_Fixtures[[#This Row],[Away Score]],_xlfn.BINOM.INV(10000,(VLOOKUP(O119,$CK$4:$CM$27,2,FALSE)*VLOOKUP(L119,$CK$4:$CM$27,3,FALSE)*($CM$2/2))/10000,RAND()))</f>
        <v>1</v>
      </c>
      <c r="O119" t="str">
        <f>Scores_and_Fixtures[[#This Row],[Away]]</f>
        <v>Norwich City</v>
      </c>
      <c r="U119">
        <v>18</v>
      </c>
      <c r="V119">
        <v>10</v>
      </c>
      <c r="W119">
        <v>6</v>
      </c>
      <c r="X119">
        <v>13</v>
      </c>
      <c r="Y119">
        <v>12</v>
      </c>
      <c r="Z119">
        <v>19</v>
      </c>
      <c r="AA119">
        <v>17</v>
      </c>
      <c r="AB119">
        <v>4</v>
      </c>
      <c r="AC119">
        <v>2</v>
      </c>
      <c r="AD119">
        <v>3</v>
      </c>
      <c r="AE119">
        <v>1</v>
      </c>
      <c r="AF119">
        <v>16</v>
      </c>
      <c r="AG119">
        <v>20</v>
      </c>
      <c r="AH119">
        <v>15</v>
      </c>
      <c r="AI119">
        <v>18</v>
      </c>
      <c r="AJ119">
        <v>14</v>
      </c>
      <c r="AK119">
        <v>22</v>
      </c>
      <c r="AL119">
        <v>24</v>
      </c>
      <c r="AM119">
        <v>23</v>
      </c>
      <c r="AN119">
        <v>5</v>
      </c>
      <c r="AO119">
        <v>21</v>
      </c>
      <c r="AP119">
        <v>8</v>
      </c>
      <c r="AQ119">
        <v>11</v>
      </c>
      <c r="AR119">
        <v>7</v>
      </c>
      <c r="AS119">
        <v>9</v>
      </c>
      <c r="BU119" t="s">
        <v>390</v>
      </c>
      <c r="BV119">
        <f>(VLOOKUP(BU119,Stats_3[],8,FALSE)/('Table Prediction Calculations'!$BT$107))</f>
        <v>1.1215546301804482</v>
      </c>
      <c r="BW119">
        <f>(VLOOKUP(BU119,Stats_3[],10,FALSE)/('Table Prediction Calculations'!$BT$108))</f>
        <v>1.0954356846473028</v>
      </c>
      <c r="BX119">
        <f>((VLOOKUP(BU119,Stats_6[],3,FALSE)/90)/('Table Prediction Calculations'!$BT$109))</f>
        <v>0.24189232021381146</v>
      </c>
      <c r="BY119">
        <f>((VLOOKUP(BU119,Stats_2[],8,FALSE)/('Table Prediction Calculations'!$BT$110)))</f>
        <v>0.9880031666768162</v>
      </c>
      <c r="BZ119">
        <f>((1/VLOOKUP(BU119,Stats_2[],6,FALSE))/(1/('Table Prediction Calculations'!$BT$111)))</f>
        <v>0.84722222222222221</v>
      </c>
      <c r="CA119">
        <f>((VLOOKUP(BU119,Stats_7[],4,FALSE)/('Table Prediction Calculations'!$BT$112)))</f>
        <v>1.0174004437697068</v>
      </c>
      <c r="CB119">
        <f>((VLOOKUP(BU119,Stats_7[],6,FALSE)/('Table Prediction Calculations'!$BT$113)))</f>
        <v>0.94323975288742523</v>
      </c>
      <c r="CC119">
        <f>((VLOOKUP(BU119,Stats_7[],8,FALSE)/('Table Prediction Calculations'!$BT$114)))</f>
        <v>1.1210526315789473</v>
      </c>
      <c r="CD119">
        <f>((VLOOKUP(BU119,Stats_7[],12,FALSE)/('Table Prediction Calculations'!$BT$115)))</f>
        <v>1.1410497182959378</v>
      </c>
    </row>
    <row r="120" spans="1:82" x14ac:dyDescent="0.25">
      <c r="A120">
        <v>10</v>
      </c>
      <c r="B120" t="s">
        <v>382</v>
      </c>
      <c r="C120">
        <v>1</v>
      </c>
      <c r="D120">
        <v>0</v>
      </c>
      <c r="E120" t="s">
        <v>379</v>
      </c>
      <c r="K120">
        <f>Scores_and_Fixtures[[#This Row],[Wk]]</f>
        <v>10</v>
      </c>
      <c r="L120" t="str">
        <f>Scores_and_Fixtures[[#This Row],[Home]]</f>
        <v>Coventry City</v>
      </c>
      <c r="M120">
        <f ca="1">IF(ISBLANK(Scores_and_Fixtures[[#This Row],[Home Score]])=FALSE,Scores_and_Fixtures[[#This Row],[Home Score]],_xlfn.BINOM.INV(10000,(VLOOKUP(L120,$CK$4:$CM$27,2,FALSE)*VLOOKUP(O120,$CK$4:$CM$27,3,FALSE)*($CM$2/2))/10000,RAND()))</f>
        <v>1</v>
      </c>
      <c r="N120">
        <f ca="1">IF(ISBLANK(Scores_and_Fixtures[[#This Row],[Away Score]])=FALSE,Scores_and_Fixtures[[#This Row],[Away Score]],_xlfn.BINOM.INV(10000,(VLOOKUP(O120,$CK$4:$CM$27,2,FALSE)*VLOOKUP(L120,$CK$4:$CM$27,3,FALSE)*($CM$2/2))/10000,RAND()))</f>
        <v>0</v>
      </c>
      <c r="O120" t="str">
        <f>Scores_and_Fixtures[[#This Row],[Away]]</f>
        <v>Blackburn</v>
      </c>
      <c r="U120">
        <v>19</v>
      </c>
      <c r="V120">
        <v>15</v>
      </c>
      <c r="W120">
        <v>16</v>
      </c>
      <c r="X120">
        <v>11</v>
      </c>
      <c r="Y120">
        <v>13</v>
      </c>
      <c r="Z120">
        <v>14</v>
      </c>
      <c r="AA120">
        <v>22</v>
      </c>
      <c r="AB120">
        <v>5</v>
      </c>
      <c r="AC120">
        <v>2</v>
      </c>
      <c r="AD120">
        <v>4</v>
      </c>
      <c r="AE120">
        <v>1</v>
      </c>
      <c r="AF120">
        <v>6</v>
      </c>
      <c r="AG120">
        <v>21</v>
      </c>
      <c r="AH120">
        <v>9</v>
      </c>
      <c r="AI120">
        <v>12</v>
      </c>
      <c r="AJ120">
        <v>7</v>
      </c>
      <c r="AK120">
        <v>20</v>
      </c>
      <c r="AL120">
        <v>24</v>
      </c>
      <c r="AM120">
        <v>23</v>
      </c>
      <c r="AN120">
        <v>3</v>
      </c>
      <c r="AO120">
        <v>19</v>
      </c>
      <c r="AP120">
        <v>10</v>
      </c>
      <c r="AQ120">
        <v>17</v>
      </c>
      <c r="AR120">
        <v>18</v>
      </c>
      <c r="AS120">
        <v>8</v>
      </c>
      <c r="BU120" t="s">
        <v>391</v>
      </c>
      <c r="BV120">
        <f>(VLOOKUP(BU120,Stats_3[],8,FALSE)/('Table Prediction Calculations'!$BT$107))</f>
        <v>1.0993456276026174</v>
      </c>
      <c r="BW120">
        <f>(VLOOKUP(BU120,Stats_3[],10,FALSE)/('Table Prediction Calculations'!$BT$108))</f>
        <v>1.0954356846473028</v>
      </c>
      <c r="BX120">
        <f>((VLOOKUP(BU120,Stats_6[],3,FALSE)/90)/('Table Prediction Calculations'!$BT$109))</f>
        <v>0.21484097138934416</v>
      </c>
      <c r="BY120">
        <f>((VLOOKUP(BU120,Stats_2[],8,FALSE)/('Table Prediction Calculations'!$BT$110)))</f>
        <v>1.0303879179099933</v>
      </c>
      <c r="BZ120">
        <f>((1/VLOOKUP(BU120,Stats_2[],6,FALSE))/(1/('Table Prediction Calculations'!$BT$111)))</f>
        <v>0.8169642857142857</v>
      </c>
      <c r="CA120">
        <f>((VLOOKUP(BU120,Stats_7[],4,FALSE)/('Table Prediction Calculations'!$BT$112)))</f>
        <v>0.77916618007707572</v>
      </c>
      <c r="CB120">
        <f>((VLOOKUP(BU120,Stats_7[],6,FALSE)/('Table Prediction Calculations'!$BT$113)))</f>
        <v>1.1571691169520391</v>
      </c>
      <c r="CC120">
        <f>((VLOOKUP(BU120,Stats_7[],8,FALSE)/('Table Prediction Calculations'!$BT$114)))</f>
        <v>1.1644736842105261</v>
      </c>
      <c r="CD120">
        <f>((VLOOKUP(BU120,Stats_7[],12,FALSE)/('Table Prediction Calculations'!$BT$115)))</f>
        <v>1.2003558367104876</v>
      </c>
    </row>
    <row r="121" spans="1:82" x14ac:dyDescent="0.25">
      <c r="A121">
        <v>10</v>
      </c>
      <c r="B121" t="s">
        <v>394</v>
      </c>
      <c r="C121">
        <v>1</v>
      </c>
      <c r="D121">
        <v>2</v>
      </c>
      <c r="E121" t="s">
        <v>380</v>
      </c>
      <c r="K121">
        <f>Scores_and_Fixtures[[#This Row],[Wk]]</f>
        <v>10</v>
      </c>
      <c r="L121" t="str">
        <f>Scores_and_Fixtures[[#This Row],[Home]]</f>
        <v>Rotherham Utd</v>
      </c>
      <c r="M121">
        <f ca="1">IF(ISBLANK(Scores_and_Fixtures[[#This Row],[Home Score]])=FALSE,Scores_and_Fixtures[[#This Row],[Home Score]],_xlfn.BINOM.INV(10000,(VLOOKUP(L121,$CK$4:$CM$27,2,FALSE)*VLOOKUP(O121,$CK$4:$CM$27,3,FALSE)*($CM$2/2))/10000,RAND()))</f>
        <v>1</v>
      </c>
      <c r="N121">
        <f ca="1">IF(ISBLANK(Scores_and_Fixtures[[#This Row],[Away Score]])=FALSE,Scores_and_Fixtures[[#This Row],[Away Score]],_xlfn.BINOM.INV(10000,(VLOOKUP(O121,$CK$4:$CM$27,2,FALSE)*VLOOKUP(L121,$CK$4:$CM$27,3,FALSE)*($CM$2/2))/10000,RAND()))</f>
        <v>2</v>
      </c>
      <c r="O121" t="str">
        <f>Scores_and_Fixtures[[#This Row],[Away]]</f>
        <v>Bristol City</v>
      </c>
      <c r="U121">
        <v>20</v>
      </c>
      <c r="V121">
        <v>16</v>
      </c>
      <c r="W121">
        <v>7</v>
      </c>
      <c r="X121">
        <v>15</v>
      </c>
      <c r="Y121">
        <v>9</v>
      </c>
      <c r="Z121">
        <v>13</v>
      </c>
      <c r="AA121">
        <v>22</v>
      </c>
      <c r="AB121">
        <v>5</v>
      </c>
      <c r="AC121">
        <v>2</v>
      </c>
      <c r="AD121">
        <v>4</v>
      </c>
      <c r="AE121">
        <v>1</v>
      </c>
      <c r="AF121">
        <v>14</v>
      </c>
      <c r="AG121">
        <v>19</v>
      </c>
      <c r="AH121">
        <v>18</v>
      </c>
      <c r="AI121">
        <v>17</v>
      </c>
      <c r="AJ121">
        <v>11</v>
      </c>
      <c r="AK121">
        <v>20</v>
      </c>
      <c r="AL121">
        <v>24</v>
      </c>
      <c r="AM121">
        <v>23</v>
      </c>
      <c r="AN121">
        <v>3</v>
      </c>
      <c r="AO121">
        <v>21</v>
      </c>
      <c r="AP121">
        <v>6</v>
      </c>
      <c r="AQ121">
        <v>10</v>
      </c>
      <c r="AR121">
        <v>12</v>
      </c>
      <c r="AS121">
        <v>8</v>
      </c>
      <c r="BU121" t="s">
        <v>392</v>
      </c>
      <c r="BV121">
        <f>(VLOOKUP(BU121,Stats_3[],8,FALSE)/('Table Prediction Calculations'!$BT$107))</f>
        <v>0.71782669046202663</v>
      </c>
      <c r="BW121">
        <f>(VLOOKUP(BU121,Stats_3[],10,FALSE)/('Table Prediction Calculations'!$BT$108))</f>
        <v>1.2946058091286308</v>
      </c>
      <c r="BX121">
        <f>((VLOOKUP(BU121,Stats_6[],3,FALSE)/90)/('Table Prediction Calculations'!$BT$109))</f>
        <v>0.17688498557760463</v>
      </c>
      <c r="BY121">
        <f>((VLOOKUP(BU121,Stats_2[],8,FALSE)/('Table Prediction Calculations'!$BT$110)))</f>
        <v>0.90907983679434878</v>
      </c>
      <c r="BZ121">
        <f>((1/VLOOKUP(BU121,Stats_2[],6,FALSE))/(1/('Table Prediction Calculations'!$BT$111)))</f>
        <v>0.93367346938775531</v>
      </c>
      <c r="CA121">
        <f>((VLOOKUP(BU121,Stats_7[],4,FALSE)/('Table Prediction Calculations'!$BT$112)))</f>
        <v>1.0706528085951184</v>
      </c>
      <c r="CB121">
        <f>((VLOOKUP(BU121,Stats_7[],6,FALSE)/('Table Prediction Calculations'!$BT$113)))</f>
        <v>0.94218315898427729</v>
      </c>
      <c r="CC121">
        <f>((VLOOKUP(BU121,Stats_7[],8,FALSE)/('Table Prediction Calculations'!$BT$114)))</f>
        <v>1.1842105263157894</v>
      </c>
      <c r="CD121">
        <f>((VLOOKUP(BU121,Stats_7[],12,FALSE)/('Table Prediction Calculations'!$BT$115)))</f>
        <v>1.1600276761885937</v>
      </c>
    </row>
    <row r="122" spans="1:82" x14ac:dyDescent="0.25">
      <c r="A122">
        <v>11</v>
      </c>
      <c r="B122" t="s">
        <v>378</v>
      </c>
      <c r="C122">
        <v>3</v>
      </c>
      <c r="D122">
        <v>1</v>
      </c>
      <c r="E122" t="s">
        <v>401</v>
      </c>
      <c r="K122">
        <f>Scores_and_Fixtures[[#This Row],[Wk]]</f>
        <v>11</v>
      </c>
      <c r="L122" t="str">
        <f>Scores_and_Fixtures[[#This Row],[Home]]</f>
        <v>Birmingham City</v>
      </c>
      <c r="M122">
        <f ca="1">IF(ISBLANK(Scores_and_Fixtures[[#This Row],[Home Score]])=FALSE,Scores_and_Fixtures[[#This Row],[Home Score]],_xlfn.BINOM.INV(10000,(VLOOKUP(L122,$CK$4:$CM$27,2,FALSE)*VLOOKUP(O122,$CK$4:$CM$27,3,FALSE)*($CM$2/2))/10000,RAND()))</f>
        <v>3</v>
      </c>
      <c r="N122">
        <f ca="1">IF(ISBLANK(Scores_and_Fixtures[[#This Row],[Away Score]])=FALSE,Scores_and_Fixtures[[#This Row],[Away Score]],_xlfn.BINOM.INV(10000,(VLOOKUP(O122,$CK$4:$CM$27,2,FALSE)*VLOOKUP(L122,$CK$4:$CM$27,3,FALSE)*($CM$2/2))/10000,RAND()))</f>
        <v>1</v>
      </c>
      <c r="O122" t="str">
        <f>Scores_and_Fixtures[[#This Row],[Away]]</f>
        <v>West Brom</v>
      </c>
      <c r="U122">
        <v>21</v>
      </c>
      <c r="V122">
        <v>18</v>
      </c>
      <c r="W122">
        <v>14</v>
      </c>
      <c r="X122">
        <v>11</v>
      </c>
      <c r="Y122">
        <v>9</v>
      </c>
      <c r="Z122">
        <v>16</v>
      </c>
      <c r="AA122">
        <v>20</v>
      </c>
      <c r="AB122">
        <v>7</v>
      </c>
      <c r="AC122">
        <v>2</v>
      </c>
      <c r="AD122">
        <v>4</v>
      </c>
      <c r="AE122">
        <v>1</v>
      </c>
      <c r="AF122">
        <v>6</v>
      </c>
      <c r="AG122">
        <v>22</v>
      </c>
      <c r="AH122">
        <v>13</v>
      </c>
      <c r="AI122">
        <v>21</v>
      </c>
      <c r="AJ122">
        <v>12</v>
      </c>
      <c r="AK122">
        <v>19</v>
      </c>
      <c r="AL122">
        <v>24</v>
      </c>
      <c r="AM122">
        <v>23</v>
      </c>
      <c r="AN122">
        <v>3</v>
      </c>
      <c r="AO122">
        <v>15</v>
      </c>
      <c r="AP122">
        <v>8</v>
      </c>
      <c r="AQ122">
        <v>17</v>
      </c>
      <c r="AR122">
        <v>10</v>
      </c>
      <c r="AS122">
        <v>5</v>
      </c>
      <c r="BU122" t="s">
        <v>393</v>
      </c>
      <c r="BV122">
        <f>(VLOOKUP(BU122,Stats_3[],8,FALSE)/('Table Prediction Calculations'!$BT$107))</f>
        <v>0.82887170335117977</v>
      </c>
      <c r="BW122">
        <f>(VLOOKUP(BU122,Stats_3[],10,FALSE)/('Table Prediction Calculations'!$BT$108))</f>
        <v>0.69709543568464738</v>
      </c>
      <c r="BX122">
        <f>((VLOOKUP(BU122,Stats_6[],3,FALSE)/90)/('Table Prediction Calculations'!$BT$109))</f>
        <v>0.1941529968479381</v>
      </c>
      <c r="BY122">
        <f>((VLOOKUP(BU122,Stats_2[],8,FALSE)/('Table Prediction Calculations'!$BT$110)))</f>
        <v>0.99384933926070274</v>
      </c>
      <c r="BZ122">
        <f>((1/VLOOKUP(BU122,Stats_2[],6,FALSE))/(1/('Table Prediction Calculations'!$BT$111)))</f>
        <v>0.94329896907216504</v>
      </c>
      <c r="CA122">
        <f>((VLOOKUP(BU122,Stats_7[],4,FALSE)/('Table Prediction Calculations'!$BT$112)))</f>
        <v>0.98096461520495148</v>
      </c>
      <c r="CB122">
        <f>((VLOOKUP(BU122,Stats_7[],6,FALSE)/('Table Prediction Calculations'!$BT$113)))</f>
        <v>1.0419759593125983</v>
      </c>
      <c r="CC122">
        <f>((VLOOKUP(BU122,Stats_7[],8,FALSE)/('Table Prediction Calculations'!$BT$114)))</f>
        <v>0.93947368421052635</v>
      </c>
      <c r="CD122">
        <f>((VLOOKUP(BU122,Stats_7[],12,FALSE)/('Table Prediction Calculations'!$BT$115)))</f>
        <v>1.0034595235741823</v>
      </c>
    </row>
    <row r="123" spans="1:82" x14ac:dyDescent="0.25">
      <c r="A123">
        <v>11</v>
      </c>
      <c r="B123" t="s">
        <v>398</v>
      </c>
      <c r="C123">
        <v>0</v>
      </c>
      <c r="D123">
        <v>4</v>
      </c>
      <c r="E123" t="s">
        <v>388</v>
      </c>
      <c r="K123">
        <f>Scores_and_Fixtures[[#This Row],[Wk]]</f>
        <v>11</v>
      </c>
      <c r="L123" t="str">
        <f>Scores_and_Fixtures[[#This Row],[Home]]</f>
        <v>Sunderland</v>
      </c>
      <c r="M123">
        <f ca="1">IF(ISBLANK(Scores_and_Fixtures[[#This Row],[Home Score]])=FALSE,Scores_and_Fixtures[[#This Row],[Home Score]],_xlfn.BINOM.INV(10000,(VLOOKUP(L123,$CK$4:$CM$27,2,FALSE)*VLOOKUP(O123,$CK$4:$CM$27,3,FALSE)*($CM$2/2))/10000,RAND()))</f>
        <v>0</v>
      </c>
      <c r="N123">
        <f ca="1">IF(ISBLANK(Scores_and_Fixtures[[#This Row],[Away Score]])=FALSE,Scores_and_Fixtures[[#This Row],[Away Score]],_xlfn.BINOM.INV(10000,(VLOOKUP(O123,$CK$4:$CM$27,2,FALSE)*VLOOKUP(L123,$CK$4:$CM$27,3,FALSE)*($CM$2/2))/10000,RAND()))</f>
        <v>4</v>
      </c>
      <c r="O123" t="str">
        <f>Scores_and_Fixtures[[#This Row],[Away]]</f>
        <v>Middlesbrough</v>
      </c>
      <c r="U123">
        <v>22</v>
      </c>
      <c r="V123">
        <v>13</v>
      </c>
      <c r="W123">
        <v>10</v>
      </c>
      <c r="X123">
        <v>18</v>
      </c>
      <c r="Y123">
        <v>8</v>
      </c>
      <c r="Z123">
        <v>17</v>
      </c>
      <c r="AA123">
        <v>20</v>
      </c>
      <c r="AB123">
        <v>5</v>
      </c>
      <c r="AC123">
        <v>2</v>
      </c>
      <c r="AD123">
        <v>3</v>
      </c>
      <c r="AE123">
        <v>1</v>
      </c>
      <c r="AF123">
        <v>11</v>
      </c>
      <c r="AG123">
        <v>16</v>
      </c>
      <c r="AH123">
        <v>9</v>
      </c>
      <c r="AI123">
        <v>19</v>
      </c>
      <c r="AJ123">
        <v>15</v>
      </c>
      <c r="AK123">
        <v>22</v>
      </c>
      <c r="AL123">
        <v>24</v>
      </c>
      <c r="AM123">
        <v>23</v>
      </c>
      <c r="AN123">
        <v>4</v>
      </c>
      <c r="AO123">
        <v>21</v>
      </c>
      <c r="AP123">
        <v>7</v>
      </c>
      <c r="AQ123">
        <v>12</v>
      </c>
      <c r="AR123">
        <v>14</v>
      </c>
      <c r="AS123">
        <v>6</v>
      </c>
      <c r="BU123" t="s">
        <v>394</v>
      </c>
      <c r="BV123">
        <f>(VLOOKUP(BU123,Stats_3[],8,FALSE)/('Table Prediction Calculations'!$BT$107))</f>
        <v>0.60916121356335518</v>
      </c>
      <c r="BW123">
        <f>(VLOOKUP(BU123,Stats_3[],10,FALSE)/('Table Prediction Calculations'!$BT$108))</f>
        <v>1.1950207468879668</v>
      </c>
      <c r="BX123">
        <f>((VLOOKUP(BU123,Stats_6[],3,FALSE)/90)/('Table Prediction Calculations'!$BT$109))</f>
        <v>0.12670683594465496</v>
      </c>
      <c r="BY123">
        <f>((VLOOKUP(BU123,Stats_2[],8,FALSE)/('Table Prediction Calculations'!$BT$110)))</f>
        <v>0.98215699409292978</v>
      </c>
      <c r="BZ123">
        <f>((1/VLOOKUP(BU123,Stats_2[],6,FALSE))/(1/('Table Prediction Calculations'!$BT$111)))</f>
        <v>0.69847328244274809</v>
      </c>
      <c r="CA123">
        <f>((VLOOKUP(BU123,Stats_7[],4,FALSE)/('Table Prediction Calculations'!$BT$112)))</f>
        <v>0.94452878664019613</v>
      </c>
      <c r="CB123">
        <f>((VLOOKUP(BU123,Stats_7[],6,FALSE)/('Table Prediction Calculations'!$BT$113)))</f>
        <v>0.98293250020029332</v>
      </c>
      <c r="CC123">
        <f>((VLOOKUP(BU123,Stats_7[],8,FALSE)/('Table Prediction Calculations'!$BT$114)))</f>
        <v>0.99078947368421044</v>
      </c>
      <c r="CD123">
        <f>((VLOOKUP(BU123,Stats_7[],12,FALSE)/('Table Prediction Calculations'!$BT$115)))</f>
        <v>1.1908668577641595</v>
      </c>
    </row>
    <row r="124" spans="1:82" x14ac:dyDescent="0.25">
      <c r="A124">
        <v>11</v>
      </c>
      <c r="B124" t="s">
        <v>396</v>
      </c>
      <c r="C124">
        <v>1</v>
      </c>
      <c r="D124">
        <v>1</v>
      </c>
      <c r="E124" t="s">
        <v>394</v>
      </c>
      <c r="K124">
        <f>Scores_and_Fixtures[[#This Row],[Wk]]</f>
        <v>11</v>
      </c>
      <c r="L124" t="str">
        <f>Scores_and_Fixtures[[#This Row],[Home]]</f>
        <v>Southampton</v>
      </c>
      <c r="M124">
        <f ca="1">IF(ISBLANK(Scores_and_Fixtures[[#This Row],[Home Score]])=FALSE,Scores_and_Fixtures[[#This Row],[Home Score]],_xlfn.BINOM.INV(10000,(VLOOKUP(L124,$CK$4:$CM$27,2,FALSE)*VLOOKUP(O124,$CK$4:$CM$27,3,FALSE)*($CM$2/2))/10000,RAND()))</f>
        <v>1</v>
      </c>
      <c r="N124">
        <f ca="1">IF(ISBLANK(Scores_and_Fixtures[[#This Row],[Away Score]])=FALSE,Scores_and_Fixtures[[#This Row],[Away Score]],_xlfn.BINOM.INV(10000,(VLOOKUP(O124,$CK$4:$CM$27,2,FALSE)*VLOOKUP(L124,$CK$4:$CM$27,3,FALSE)*($CM$2/2))/10000,RAND()))</f>
        <v>1</v>
      </c>
      <c r="O124" t="str">
        <f>Scores_and_Fixtures[[#This Row],[Away]]</f>
        <v>Rotherham Utd</v>
      </c>
      <c r="U124">
        <v>23</v>
      </c>
      <c r="V124">
        <v>15</v>
      </c>
      <c r="W124">
        <v>7</v>
      </c>
      <c r="X124">
        <v>16</v>
      </c>
      <c r="Y124">
        <v>10</v>
      </c>
      <c r="Z124">
        <v>13</v>
      </c>
      <c r="AA124">
        <v>22</v>
      </c>
      <c r="AB124">
        <v>5</v>
      </c>
      <c r="AC124">
        <v>3</v>
      </c>
      <c r="AD124">
        <v>2</v>
      </c>
      <c r="AE124">
        <v>1</v>
      </c>
      <c r="AF124">
        <v>11</v>
      </c>
      <c r="AG124">
        <v>20</v>
      </c>
      <c r="AH124">
        <v>14</v>
      </c>
      <c r="AI124">
        <v>19</v>
      </c>
      <c r="AJ124">
        <v>12</v>
      </c>
      <c r="AK124">
        <v>21</v>
      </c>
      <c r="AL124">
        <v>24</v>
      </c>
      <c r="AM124">
        <v>23</v>
      </c>
      <c r="AN124">
        <v>4</v>
      </c>
      <c r="AO124">
        <v>17</v>
      </c>
      <c r="AP124">
        <v>9</v>
      </c>
      <c r="AQ124">
        <v>18</v>
      </c>
      <c r="AR124">
        <v>8</v>
      </c>
      <c r="AS124">
        <v>6</v>
      </c>
      <c r="BU124" t="s">
        <v>395</v>
      </c>
      <c r="BV124">
        <f>(VLOOKUP(BU124,Stats_3[],8,FALSE)/('Table Prediction Calculations'!$BT$107))</f>
        <v>0.78921277017648217</v>
      </c>
      <c r="BW124">
        <f>(VLOOKUP(BU124,Stats_3[],10,FALSE)/('Table Prediction Calculations'!$BT$108))</f>
        <v>0.69709543568464738</v>
      </c>
      <c r="BX124">
        <f>((VLOOKUP(BU124,Stats_6[],3,FALSE)/90)/('Table Prediction Calculations'!$BT$109))</f>
        <v>0.18114592342353106</v>
      </c>
      <c r="BY124">
        <f>((VLOOKUP(BU124,Stats_2[],8,FALSE)/('Table Prediction Calculations'!$BT$110)))</f>
        <v>0.94123378600572449</v>
      </c>
      <c r="BZ124">
        <f>((1/VLOOKUP(BU124,Stats_2[],6,FALSE))/(1/('Table Prediction Calculations'!$BT$111)))</f>
        <v>1.0517241379310347</v>
      </c>
      <c r="CA124">
        <f>((VLOOKUP(BU124,Stats_7[],4,FALSE)/('Table Prediction Calculations'!$BT$112)))</f>
        <v>1.0426252481606912</v>
      </c>
      <c r="CB124">
        <f>((VLOOKUP(BU124,Stats_7[],6,FALSE)/('Table Prediction Calculations'!$BT$113)))</f>
        <v>1.023163931498555</v>
      </c>
      <c r="CC124">
        <f>((VLOOKUP(BU124,Stats_7[],8,FALSE)/('Table Prediction Calculations'!$BT$114)))</f>
        <v>1.0657894736842106</v>
      </c>
      <c r="CD124">
        <f>((VLOOKUP(BU124,Stats_7[],12,FALSE)/('Table Prediction Calculations'!$BT$115)))</f>
        <v>0.99871503410101836</v>
      </c>
    </row>
    <row r="125" spans="1:82" x14ac:dyDescent="0.25">
      <c r="A125">
        <v>11</v>
      </c>
      <c r="B125" t="s">
        <v>387</v>
      </c>
      <c r="C125">
        <v>2</v>
      </c>
      <c r="D125">
        <v>0</v>
      </c>
      <c r="E125" t="s">
        <v>397</v>
      </c>
      <c r="K125">
        <f>Scores_and_Fixtures[[#This Row],[Wk]]</f>
        <v>11</v>
      </c>
      <c r="L125" t="str">
        <f>Scores_and_Fixtures[[#This Row],[Home]]</f>
        <v>Leicester City</v>
      </c>
      <c r="M125">
        <f ca="1">IF(ISBLANK(Scores_and_Fixtures[[#This Row],[Home Score]])=FALSE,Scores_and_Fixtures[[#This Row],[Home Score]],_xlfn.BINOM.INV(10000,(VLOOKUP(L125,$CK$4:$CM$27,2,FALSE)*VLOOKUP(O125,$CK$4:$CM$27,3,FALSE)*($CM$2/2))/10000,RAND()))</f>
        <v>2</v>
      </c>
      <c r="N125">
        <f ca="1">IF(ISBLANK(Scores_and_Fixtures[[#This Row],[Away Score]])=FALSE,Scores_and_Fixtures[[#This Row],[Away Score]],_xlfn.BINOM.INV(10000,(VLOOKUP(O125,$CK$4:$CM$27,2,FALSE)*VLOOKUP(L125,$CK$4:$CM$27,3,FALSE)*($CM$2/2))/10000,RAND()))</f>
        <v>0</v>
      </c>
      <c r="O125" t="str">
        <f>Scores_and_Fixtures[[#This Row],[Away]]</f>
        <v>Stoke City</v>
      </c>
      <c r="U125">
        <v>24</v>
      </c>
      <c r="V125">
        <v>16</v>
      </c>
      <c r="W125">
        <v>11</v>
      </c>
      <c r="X125">
        <v>12</v>
      </c>
      <c r="Y125">
        <v>9</v>
      </c>
      <c r="Z125">
        <v>13</v>
      </c>
      <c r="AA125">
        <v>21</v>
      </c>
      <c r="AB125">
        <v>7</v>
      </c>
      <c r="AC125">
        <v>2</v>
      </c>
      <c r="AD125">
        <v>3</v>
      </c>
      <c r="AE125">
        <v>1</v>
      </c>
      <c r="AF125">
        <v>10</v>
      </c>
      <c r="AG125">
        <v>19</v>
      </c>
      <c r="AH125">
        <v>14</v>
      </c>
      <c r="AI125">
        <v>18</v>
      </c>
      <c r="AJ125">
        <v>17</v>
      </c>
      <c r="AK125">
        <v>22</v>
      </c>
      <c r="AL125">
        <v>24</v>
      </c>
      <c r="AM125">
        <v>23</v>
      </c>
      <c r="AN125">
        <v>4</v>
      </c>
      <c r="AO125">
        <v>20</v>
      </c>
      <c r="AP125">
        <v>5</v>
      </c>
      <c r="AQ125">
        <v>15</v>
      </c>
      <c r="AR125">
        <v>8</v>
      </c>
      <c r="AS125">
        <v>6</v>
      </c>
      <c r="BU125" t="s">
        <v>396</v>
      </c>
      <c r="BV125">
        <f>(VLOOKUP(BU125,Stats_3[],8,FALSE)/('Table Prediction Calculations'!$BT$107))</f>
        <v>1.2040452111838191</v>
      </c>
      <c r="BW125">
        <f>(VLOOKUP(BU125,Stats_3[],10,FALSE)/('Table Prediction Calculations'!$BT$108))</f>
        <v>0.99585062240663902</v>
      </c>
      <c r="BX125">
        <f>((VLOOKUP(BU125,Stats_6[],3,FALSE)/90)/('Table Prediction Calculations'!$BT$109))</f>
        <v>0.38382079596332208</v>
      </c>
      <c r="BY125">
        <f>((VLOOKUP(BU125,Stats_2[],8,FALSE)/('Table Prediction Calculations'!$BT$110)))</f>
        <v>0.94415687229766754</v>
      </c>
      <c r="BZ125">
        <f>((1/VLOOKUP(BU125,Stats_2[],6,FALSE))/(1/('Table Prediction Calculations'!$BT$111)))</f>
        <v>1.1582278481012658</v>
      </c>
      <c r="CA125">
        <f>((VLOOKUP(BU125,Stats_7[],4,FALSE)/('Table Prediction Calculations'!$BT$112)))</f>
        <v>0.90529020203199806</v>
      </c>
      <c r="CB125">
        <f>((VLOOKUP(BU125,Stats_7[],6,FALSE)/('Table Prediction Calculations'!$BT$113)))</f>
        <v>0.99595360530237476</v>
      </c>
      <c r="CC125">
        <f>((VLOOKUP(BU125,Stats_7[],8,FALSE)/('Table Prediction Calculations'!$BT$114)))</f>
        <v>0.82499999999999996</v>
      </c>
      <c r="CD125">
        <f>((VLOOKUP(BU125,Stats_7[],12,FALSE)/('Table Prediction Calculations'!$BT$115)))</f>
        <v>0.84214688148660688</v>
      </c>
    </row>
    <row r="126" spans="1:82" x14ac:dyDescent="0.25">
      <c r="A126">
        <v>11</v>
      </c>
      <c r="B126" t="s">
        <v>386</v>
      </c>
      <c r="C126">
        <v>2</v>
      </c>
      <c r="D126">
        <v>1</v>
      </c>
      <c r="E126" t="s">
        <v>380</v>
      </c>
      <c r="K126">
        <f>Scores_and_Fixtures[[#This Row],[Wk]]</f>
        <v>11</v>
      </c>
      <c r="L126" t="str">
        <f>Scores_and_Fixtures[[#This Row],[Home]]</f>
        <v>Leeds United</v>
      </c>
      <c r="M126">
        <f ca="1">IF(ISBLANK(Scores_and_Fixtures[[#This Row],[Home Score]])=FALSE,Scores_and_Fixtures[[#This Row],[Home Score]],_xlfn.BINOM.INV(10000,(VLOOKUP(L126,$CK$4:$CM$27,2,FALSE)*VLOOKUP(O126,$CK$4:$CM$27,3,FALSE)*($CM$2/2))/10000,RAND()))</f>
        <v>2</v>
      </c>
      <c r="N126">
        <f ca="1">IF(ISBLANK(Scores_and_Fixtures[[#This Row],[Away Score]])=FALSE,Scores_and_Fixtures[[#This Row],[Away Score]],_xlfn.BINOM.INV(10000,(VLOOKUP(O126,$CK$4:$CM$27,2,FALSE)*VLOOKUP(L126,$CK$4:$CM$27,3,FALSE)*($CM$2/2))/10000,RAND()))</f>
        <v>1</v>
      </c>
      <c r="O126" t="str">
        <f>Scores_and_Fixtures[[#This Row],[Away]]</f>
        <v>Bristol City</v>
      </c>
      <c r="U126">
        <v>25</v>
      </c>
      <c r="V126">
        <v>15</v>
      </c>
      <c r="W126">
        <v>9</v>
      </c>
      <c r="X126">
        <v>14</v>
      </c>
      <c r="Y126">
        <v>18</v>
      </c>
      <c r="Z126">
        <v>17</v>
      </c>
      <c r="AA126">
        <v>22</v>
      </c>
      <c r="AB126">
        <v>3</v>
      </c>
      <c r="AC126">
        <v>2</v>
      </c>
      <c r="AD126">
        <v>4</v>
      </c>
      <c r="AE126">
        <v>1</v>
      </c>
      <c r="AF126">
        <v>10</v>
      </c>
      <c r="AG126">
        <v>21</v>
      </c>
      <c r="AH126">
        <v>12</v>
      </c>
      <c r="AI126">
        <v>13</v>
      </c>
      <c r="AJ126">
        <v>16</v>
      </c>
      <c r="AK126">
        <v>20</v>
      </c>
      <c r="AL126">
        <v>24</v>
      </c>
      <c r="AM126">
        <v>23</v>
      </c>
      <c r="AN126">
        <v>6</v>
      </c>
      <c r="AO126">
        <v>19</v>
      </c>
      <c r="AP126">
        <v>8</v>
      </c>
      <c r="AQ126">
        <v>11</v>
      </c>
      <c r="AR126">
        <v>5</v>
      </c>
      <c r="AS126">
        <v>7</v>
      </c>
      <c r="BU126" t="s">
        <v>397</v>
      </c>
      <c r="BV126">
        <f>(VLOOKUP(BU126,Stats_3[],8,FALSE)/('Table Prediction Calculations'!$BT$107))</f>
        <v>0.93039857227840572</v>
      </c>
      <c r="BW126">
        <f>(VLOOKUP(BU126,Stats_3[],10,FALSE)/('Table Prediction Calculations'!$BT$108))</f>
        <v>0.69709543568464738</v>
      </c>
      <c r="BX126">
        <f>((VLOOKUP(BU126,Stats_6[],3,FALSE)/90)/('Table Prediction Calculations'!$BT$109))</f>
        <v>0.22235367759137242</v>
      </c>
      <c r="BY126">
        <f>((VLOOKUP(BU126,Stats_2[],8,FALSE)/('Table Prediction Calculations'!$BT$110)))</f>
        <v>1.0566956945374824</v>
      </c>
      <c r="BZ126">
        <f>((1/VLOOKUP(BU126,Stats_2[],6,FALSE))/(1/('Table Prediction Calculations'!$BT$111)))</f>
        <v>0.90594059405940597</v>
      </c>
      <c r="CA126">
        <f>((VLOOKUP(BU126,Stats_7[],4,FALSE)/('Table Prediction Calculations'!$BT$112)))</f>
        <v>1.1098913932033165</v>
      </c>
      <c r="CB126">
        <f>((VLOOKUP(BU126,Stats_7[],6,FALSE)/('Table Prediction Calculations'!$BT$113)))</f>
        <v>1.0295205985003835</v>
      </c>
      <c r="CC126">
        <f>((VLOOKUP(BU126,Stats_7[],8,FALSE)/('Table Prediction Calculations'!$BT$114)))</f>
        <v>0.86052631578947358</v>
      </c>
      <c r="CD126">
        <f>((VLOOKUP(BU126,Stats_7[],12,FALSE)/('Table Prediction Calculations'!$BT$115)))</f>
        <v>0.94415340515963242</v>
      </c>
    </row>
    <row r="127" spans="1:82" x14ac:dyDescent="0.25">
      <c r="A127">
        <v>11</v>
      </c>
      <c r="B127" t="s">
        <v>385</v>
      </c>
      <c r="C127">
        <v>4</v>
      </c>
      <c r="D127">
        <v>2</v>
      </c>
      <c r="E127" t="s">
        <v>392</v>
      </c>
      <c r="K127">
        <f>Scores_and_Fixtures[[#This Row],[Wk]]</f>
        <v>11</v>
      </c>
      <c r="L127" t="str">
        <f>Scores_and_Fixtures[[#This Row],[Home]]</f>
        <v>Ipswich Town</v>
      </c>
      <c r="M127">
        <f ca="1">IF(ISBLANK(Scores_and_Fixtures[[#This Row],[Home Score]])=FALSE,Scores_and_Fixtures[[#This Row],[Home Score]],_xlfn.BINOM.INV(10000,(VLOOKUP(L127,$CK$4:$CM$27,2,FALSE)*VLOOKUP(O127,$CK$4:$CM$27,3,FALSE)*($CM$2/2))/10000,RAND()))</f>
        <v>4</v>
      </c>
      <c r="N127">
        <f ca="1">IF(ISBLANK(Scores_and_Fixtures[[#This Row],[Away Score]])=FALSE,Scores_and_Fixtures[[#This Row],[Away Score]],_xlfn.BINOM.INV(10000,(VLOOKUP(O127,$CK$4:$CM$27,2,FALSE)*VLOOKUP(L127,$CK$4:$CM$27,3,FALSE)*($CM$2/2))/10000,RAND()))</f>
        <v>2</v>
      </c>
      <c r="O127" t="str">
        <f>Scores_and_Fixtures[[#This Row],[Away]]</f>
        <v>Preston</v>
      </c>
      <c r="U127">
        <v>26</v>
      </c>
      <c r="V127">
        <v>17</v>
      </c>
      <c r="W127">
        <v>12</v>
      </c>
      <c r="X127">
        <v>10</v>
      </c>
      <c r="Y127">
        <v>6</v>
      </c>
      <c r="Z127">
        <v>11</v>
      </c>
      <c r="AA127">
        <v>22</v>
      </c>
      <c r="AB127">
        <v>13</v>
      </c>
      <c r="AC127">
        <v>2</v>
      </c>
      <c r="AD127">
        <v>3</v>
      </c>
      <c r="AE127">
        <v>1</v>
      </c>
      <c r="AF127">
        <v>7</v>
      </c>
      <c r="AG127">
        <v>18</v>
      </c>
      <c r="AH127">
        <v>15</v>
      </c>
      <c r="AI127">
        <v>19</v>
      </c>
      <c r="AJ127">
        <v>14</v>
      </c>
      <c r="AK127">
        <v>20</v>
      </c>
      <c r="AL127">
        <v>23</v>
      </c>
      <c r="AM127">
        <v>24</v>
      </c>
      <c r="AN127">
        <v>4</v>
      </c>
      <c r="AO127">
        <v>21</v>
      </c>
      <c r="AP127">
        <v>8</v>
      </c>
      <c r="AQ127">
        <v>16</v>
      </c>
      <c r="AR127">
        <v>9</v>
      </c>
      <c r="AS127">
        <v>5</v>
      </c>
      <c r="BU127" t="s">
        <v>398</v>
      </c>
      <c r="BV127">
        <f>(VLOOKUP(BU127,Stats_3[],8,FALSE)/('Table Prediction Calculations'!$BT$107))</f>
        <v>1.2730517549077931</v>
      </c>
      <c r="BW127">
        <f>(VLOOKUP(BU127,Stats_3[],10,FALSE)/('Table Prediction Calculations'!$BT$108))</f>
        <v>0.69709543568464738</v>
      </c>
      <c r="BX127">
        <f>((VLOOKUP(BU127,Stats_6[],3,FALSE)/90)/('Table Prediction Calculations'!$BT$109))</f>
        <v>0.3000316958220447</v>
      </c>
      <c r="BY127">
        <f>((VLOOKUP(BU127,Stats_2[],8,FALSE)/('Table Prediction Calculations'!$BT$110)))</f>
        <v>1.0070032275744474</v>
      </c>
      <c r="BZ127">
        <f>((1/VLOOKUP(BU127,Stats_2[],6,FALSE))/(1/('Table Prediction Calculations'!$BT$111)))</f>
        <v>1.2364864864864866</v>
      </c>
      <c r="CA127">
        <f>((VLOOKUP(BU127,Stats_7[],4,FALSE)/('Table Prediction Calculations'!$BT$112)))</f>
        <v>1.0117949316828214</v>
      </c>
      <c r="CB127">
        <f>((VLOOKUP(BU127,Stats_7[],6,FALSE)/('Table Prediction Calculations'!$BT$113)))</f>
        <v>0.99258013034955261</v>
      </c>
      <c r="CC127">
        <f>((VLOOKUP(BU127,Stats_7[],8,FALSE)/('Table Prediction Calculations'!$BT$114)))</f>
        <v>0.94342105263157894</v>
      </c>
      <c r="CD127">
        <f>((VLOOKUP(BU127,Stats_7[],12,FALSE)/('Table Prediction Calculations'!$BT$115)))</f>
        <v>0.823168923593951</v>
      </c>
    </row>
    <row r="128" spans="1:82" x14ac:dyDescent="0.25">
      <c r="A128">
        <v>11</v>
      </c>
      <c r="B128" t="s">
        <v>389</v>
      </c>
      <c r="C128">
        <v>2</v>
      </c>
      <c r="D128">
        <v>2</v>
      </c>
      <c r="E128" t="s">
        <v>384</v>
      </c>
      <c r="K128">
        <f>Scores_and_Fixtures[[#This Row],[Wk]]</f>
        <v>11</v>
      </c>
      <c r="L128" t="str">
        <f>Scores_and_Fixtures[[#This Row],[Home]]</f>
        <v>Millwall</v>
      </c>
      <c r="M128">
        <f ca="1">IF(ISBLANK(Scores_and_Fixtures[[#This Row],[Home Score]])=FALSE,Scores_and_Fixtures[[#This Row],[Home Score]],_xlfn.BINOM.INV(10000,(VLOOKUP(L128,$CK$4:$CM$27,2,FALSE)*VLOOKUP(O128,$CK$4:$CM$27,3,FALSE)*($CM$2/2))/10000,RAND()))</f>
        <v>2</v>
      </c>
      <c r="N128">
        <f ca="1">IF(ISBLANK(Scores_and_Fixtures[[#This Row],[Away Score]])=FALSE,Scores_and_Fixtures[[#This Row],[Away Score]],_xlfn.BINOM.INV(10000,(VLOOKUP(O128,$CK$4:$CM$27,2,FALSE)*VLOOKUP(L128,$CK$4:$CM$27,3,FALSE)*($CM$2/2))/10000,RAND()))</f>
        <v>2</v>
      </c>
      <c r="O128" t="str">
        <f>Scores_and_Fixtures[[#This Row],[Away]]</f>
        <v>Hull City</v>
      </c>
      <c r="U128">
        <v>27</v>
      </c>
      <c r="V128">
        <v>21</v>
      </c>
      <c r="W128">
        <v>13</v>
      </c>
      <c r="X128">
        <v>12</v>
      </c>
      <c r="Y128">
        <v>7</v>
      </c>
      <c r="Z128">
        <v>18</v>
      </c>
      <c r="AA128">
        <v>17</v>
      </c>
      <c r="AB128">
        <v>4</v>
      </c>
      <c r="AC128">
        <v>2</v>
      </c>
      <c r="AD128">
        <v>3</v>
      </c>
      <c r="AE128">
        <v>1</v>
      </c>
      <c r="AF128">
        <v>10</v>
      </c>
      <c r="AG128">
        <v>22</v>
      </c>
      <c r="AH128">
        <v>15</v>
      </c>
      <c r="AI128">
        <v>11</v>
      </c>
      <c r="AJ128">
        <v>16</v>
      </c>
      <c r="AK128">
        <v>19</v>
      </c>
      <c r="AL128">
        <v>24</v>
      </c>
      <c r="AM128">
        <v>23</v>
      </c>
      <c r="AN128">
        <v>5</v>
      </c>
      <c r="AO128">
        <v>20</v>
      </c>
      <c r="AP128">
        <v>9</v>
      </c>
      <c r="AQ128">
        <v>14</v>
      </c>
      <c r="AR128">
        <v>8</v>
      </c>
      <c r="AS128">
        <v>6</v>
      </c>
      <c r="BU128" t="s">
        <v>399</v>
      </c>
      <c r="BV128">
        <f>(VLOOKUP(BU128,Stats_3[],8,FALSE)/('Table Prediction Calculations'!$BT$107))</f>
        <v>0.90818956970057496</v>
      </c>
      <c r="BW128">
        <f>(VLOOKUP(BU128,Stats_3[],10,FALSE)/('Table Prediction Calculations'!$BT$108))</f>
        <v>1.0954356846473028</v>
      </c>
      <c r="BX128">
        <f>((VLOOKUP(BU128,Stats_6[],3,FALSE)/90)/('Table Prediction Calculations'!$BT$109))</f>
        <v>0.27239166479517973</v>
      </c>
      <c r="BY128">
        <f>((VLOOKUP(BU128,Stats_2[],8,FALSE)/('Table Prediction Calculations'!$BT$110)))</f>
        <v>1.0786188417270568</v>
      </c>
      <c r="BZ128">
        <f>((1/VLOOKUP(BU128,Stats_2[],6,FALSE))/(1/('Table Prediction Calculations'!$BT$111)))</f>
        <v>0.88834951456310696</v>
      </c>
      <c r="CA128">
        <f>((VLOOKUP(BU128,Stats_7[],4,FALSE)/('Table Prediction Calculations'!$BT$112)))</f>
        <v>0.94172603059675342</v>
      </c>
      <c r="CB128">
        <f>((VLOOKUP(BU128,Stats_7[],6,FALSE)/('Table Prediction Calculations'!$BT$113)))</f>
        <v>0.97637849171395252</v>
      </c>
      <c r="CC128">
        <f>((VLOOKUP(BU128,Stats_7[],8,FALSE)/('Table Prediction Calculations'!$BT$114)))</f>
        <v>0.94342105263157894</v>
      </c>
      <c r="CD128">
        <f>((VLOOKUP(BU128,Stats_7[],12,FALSE)/('Table Prediction Calculations'!$BT$115)))</f>
        <v>1.0224374814668382</v>
      </c>
    </row>
    <row r="129" spans="1:82" x14ac:dyDescent="0.25">
      <c r="A129">
        <v>11</v>
      </c>
      <c r="B129" t="s">
        <v>381</v>
      </c>
      <c r="C129">
        <v>1</v>
      </c>
      <c r="D129">
        <v>1</v>
      </c>
      <c r="E129" t="s">
        <v>400</v>
      </c>
      <c r="K129">
        <f>Scores_and_Fixtures[[#This Row],[Wk]]</f>
        <v>11</v>
      </c>
      <c r="L129" t="str">
        <f>Scores_and_Fixtures[[#This Row],[Home]]</f>
        <v>Cardiff City</v>
      </c>
      <c r="M129">
        <f ca="1">IF(ISBLANK(Scores_and_Fixtures[[#This Row],[Home Score]])=FALSE,Scores_and_Fixtures[[#This Row],[Home Score]],_xlfn.BINOM.INV(10000,(VLOOKUP(L129,$CK$4:$CM$27,2,FALSE)*VLOOKUP(O129,$CK$4:$CM$27,3,FALSE)*($CM$2/2))/10000,RAND()))</f>
        <v>1</v>
      </c>
      <c r="N129">
        <f ca="1">IF(ISBLANK(Scores_and_Fixtures[[#This Row],[Away Score]])=FALSE,Scores_and_Fixtures[[#This Row],[Away Score]],_xlfn.BINOM.INV(10000,(VLOOKUP(O129,$CK$4:$CM$27,2,FALSE)*VLOOKUP(L129,$CK$4:$CM$27,3,FALSE)*($CM$2/2))/10000,RAND()))</f>
        <v>1</v>
      </c>
      <c r="O129" t="str">
        <f>Scores_and_Fixtures[[#This Row],[Away]]</f>
        <v>Watford</v>
      </c>
      <c r="U129">
        <v>28</v>
      </c>
      <c r="V129">
        <v>17</v>
      </c>
      <c r="W129">
        <v>12</v>
      </c>
      <c r="X129">
        <v>16</v>
      </c>
      <c r="Y129">
        <v>9</v>
      </c>
      <c r="Z129">
        <v>11</v>
      </c>
      <c r="AA129">
        <v>20</v>
      </c>
      <c r="AB129">
        <v>7</v>
      </c>
      <c r="AC129">
        <v>2</v>
      </c>
      <c r="AD129">
        <v>4</v>
      </c>
      <c r="AE129">
        <v>1</v>
      </c>
      <c r="AF129">
        <v>13</v>
      </c>
      <c r="AG129">
        <v>18</v>
      </c>
      <c r="AH129">
        <v>8</v>
      </c>
      <c r="AI129">
        <v>15</v>
      </c>
      <c r="AJ129">
        <v>10</v>
      </c>
      <c r="AK129">
        <v>22</v>
      </c>
      <c r="AL129">
        <v>24</v>
      </c>
      <c r="AM129">
        <v>23</v>
      </c>
      <c r="AN129">
        <v>3</v>
      </c>
      <c r="AO129">
        <v>19</v>
      </c>
      <c r="AP129">
        <v>14</v>
      </c>
      <c r="AQ129">
        <v>21</v>
      </c>
      <c r="AR129">
        <v>5</v>
      </c>
      <c r="AS129">
        <v>6</v>
      </c>
      <c r="BU129" t="s">
        <v>400</v>
      </c>
      <c r="BV129">
        <f>(VLOOKUP(BU129,Stats_3[],8,FALSE)/('Table Prediction Calculations'!$BT$107))</f>
        <v>1.0850684116597262</v>
      </c>
      <c r="BW129">
        <f>(VLOOKUP(BU129,Stats_3[],10,FALSE)/('Table Prediction Calculations'!$BT$108))</f>
        <v>1.1950207468879668</v>
      </c>
      <c r="BX129">
        <f>((VLOOKUP(BU129,Stats_6[],3,FALSE)/90)/('Table Prediction Calculations'!$BT$109))</f>
        <v>0.26661697271451623</v>
      </c>
      <c r="BY129">
        <f>((VLOOKUP(BU129,Stats_2[],8,FALSE)/('Table Prediction Calculations'!$BT$110)))</f>
        <v>1.0523110650995675</v>
      </c>
      <c r="BZ129">
        <f>((1/VLOOKUP(BU129,Stats_2[],6,FALSE))/(1/('Table Prediction Calculations'!$BT$111)))</f>
        <v>0.9838709677419355</v>
      </c>
      <c r="CA129">
        <f>((VLOOKUP(BU129,Stats_7[],4,FALSE)/('Table Prediction Calculations'!$BT$112)))</f>
        <v>1.0174004437697068</v>
      </c>
      <c r="CB129">
        <f>((VLOOKUP(BU129,Stats_7[],6,FALSE)/('Table Prediction Calculations'!$BT$113)))</f>
        <v>1.0660802788448585</v>
      </c>
      <c r="CC129">
        <f>((VLOOKUP(BU129,Stats_7[],8,FALSE)/('Table Prediction Calculations'!$BT$114)))</f>
        <v>0.97499999999999987</v>
      </c>
      <c r="CD129">
        <f>((VLOOKUP(BU129,Stats_7[],12,FALSE)/('Table Prediction Calculations'!$BT$115)))</f>
        <v>0.83265790254027894</v>
      </c>
    </row>
    <row r="130" spans="1:82" x14ac:dyDescent="0.25">
      <c r="A130">
        <v>11</v>
      </c>
      <c r="B130" t="s">
        <v>393</v>
      </c>
      <c r="C130">
        <v>0</v>
      </c>
      <c r="D130">
        <v>4</v>
      </c>
      <c r="E130" t="s">
        <v>379</v>
      </c>
      <c r="K130">
        <f>Scores_and_Fixtures[[#This Row],[Wk]]</f>
        <v>11</v>
      </c>
      <c r="L130" t="str">
        <f>Scores_and_Fixtures[[#This Row],[Home]]</f>
        <v>QPR</v>
      </c>
      <c r="M130">
        <f ca="1">IF(ISBLANK(Scores_and_Fixtures[[#This Row],[Home Score]])=FALSE,Scores_and_Fixtures[[#This Row],[Home Score]],_xlfn.BINOM.INV(10000,(VLOOKUP(L130,$CK$4:$CM$27,2,FALSE)*VLOOKUP(O130,$CK$4:$CM$27,3,FALSE)*($CM$2/2))/10000,RAND()))</f>
        <v>0</v>
      </c>
      <c r="N130">
        <f ca="1">IF(ISBLANK(Scores_and_Fixtures[[#This Row],[Away Score]])=FALSE,Scores_and_Fixtures[[#This Row],[Away Score]],_xlfn.BINOM.INV(10000,(VLOOKUP(O130,$CK$4:$CM$27,2,FALSE)*VLOOKUP(L130,$CK$4:$CM$27,3,FALSE)*($CM$2/2))/10000,RAND()))</f>
        <v>4</v>
      </c>
      <c r="O130" t="str">
        <f>Scores_and_Fixtures[[#This Row],[Away]]</f>
        <v>Blackburn</v>
      </c>
      <c r="U130">
        <v>29</v>
      </c>
      <c r="V130">
        <v>7</v>
      </c>
      <c r="W130">
        <v>11</v>
      </c>
      <c r="X130">
        <v>18</v>
      </c>
      <c r="Y130">
        <v>8</v>
      </c>
      <c r="Z130">
        <v>16</v>
      </c>
      <c r="AA130">
        <v>22</v>
      </c>
      <c r="AB130">
        <v>12</v>
      </c>
      <c r="AC130">
        <v>2</v>
      </c>
      <c r="AD130">
        <v>3</v>
      </c>
      <c r="AE130">
        <v>1</v>
      </c>
      <c r="AF130">
        <v>13</v>
      </c>
      <c r="AG130">
        <v>20</v>
      </c>
      <c r="AH130">
        <v>14</v>
      </c>
      <c r="AI130">
        <v>15</v>
      </c>
      <c r="AJ130">
        <v>9</v>
      </c>
      <c r="AK130">
        <v>19</v>
      </c>
      <c r="AL130">
        <v>23</v>
      </c>
      <c r="AM130">
        <v>24</v>
      </c>
      <c r="AN130">
        <v>4</v>
      </c>
      <c r="AO130">
        <v>21</v>
      </c>
      <c r="AP130">
        <v>6</v>
      </c>
      <c r="AQ130">
        <v>17</v>
      </c>
      <c r="AR130">
        <v>10</v>
      </c>
      <c r="AS130">
        <v>5</v>
      </c>
      <c r="BU130" t="s">
        <v>401</v>
      </c>
      <c r="BV130">
        <f>(VLOOKUP(BU130,Stats_3[],8,FALSE)/('Table Prediction Calculations'!$BT$107))</f>
        <v>0.89391235375768385</v>
      </c>
      <c r="BW130">
        <f>(VLOOKUP(BU130,Stats_3[],10,FALSE)/('Table Prediction Calculations'!$BT$108))</f>
        <v>1.2946058091286308</v>
      </c>
      <c r="BX130">
        <f>((VLOOKUP(BU130,Stats_6[],3,FALSE)/90)/('Table Prediction Calculations'!$BT$109))</f>
        <v>0.2463214529747087</v>
      </c>
      <c r="BY130">
        <f>((VLOOKUP(BU130,Stats_2[],8,FALSE)/('Table Prediction Calculations'!$BT$110)))</f>
        <v>0.95731076061141218</v>
      </c>
      <c r="BZ130">
        <f>((1/VLOOKUP(BU130,Stats_2[],6,FALSE))/(1/('Table Prediction Calculations'!$BT$111)))</f>
        <v>1.577586206896552</v>
      </c>
      <c r="CA130">
        <f>((VLOOKUP(BU130,Stats_7[],4,FALSE)/('Table Prediction Calculations'!$BT$112)))</f>
        <v>0.86324886138035728</v>
      </c>
      <c r="CB130">
        <f>((VLOOKUP(BU130,Stats_7[],6,FALSE)/('Table Prediction Calculations'!$BT$113)))</f>
        <v>0.95655792215577051</v>
      </c>
      <c r="CC130">
        <f>((VLOOKUP(BU130,Stats_7[],8,FALSE)/('Table Prediction Calculations'!$BT$114)))</f>
        <v>0.85263157894736841</v>
      </c>
      <c r="CD130">
        <f>((VLOOKUP(BU130,Stats_7[],12,FALSE)/('Table Prediction Calculations'!$BT$115)))</f>
        <v>0.95364238410596047</v>
      </c>
    </row>
    <row r="131" spans="1:82" x14ac:dyDescent="0.25">
      <c r="A131">
        <v>11</v>
      </c>
      <c r="B131" t="s">
        <v>382</v>
      </c>
      <c r="C131">
        <v>1</v>
      </c>
      <c r="D131">
        <v>1</v>
      </c>
      <c r="E131" t="s">
        <v>390</v>
      </c>
      <c r="K131">
        <f>Scores_and_Fixtures[[#This Row],[Wk]]</f>
        <v>11</v>
      </c>
      <c r="L131" t="str">
        <f>Scores_and_Fixtures[[#This Row],[Home]]</f>
        <v>Coventry City</v>
      </c>
      <c r="M131">
        <f ca="1">IF(ISBLANK(Scores_and_Fixtures[[#This Row],[Home Score]])=FALSE,Scores_and_Fixtures[[#This Row],[Home Score]],_xlfn.BINOM.INV(10000,(VLOOKUP(L131,$CK$4:$CM$27,2,FALSE)*VLOOKUP(O131,$CK$4:$CM$27,3,FALSE)*($CM$2/2))/10000,RAND()))</f>
        <v>1</v>
      </c>
      <c r="N131">
        <f ca="1">IF(ISBLANK(Scores_and_Fixtures[[#This Row],[Away Score]])=FALSE,Scores_and_Fixtures[[#This Row],[Away Score]],_xlfn.BINOM.INV(10000,(VLOOKUP(O131,$CK$4:$CM$27,2,FALSE)*VLOOKUP(L131,$CK$4:$CM$27,3,FALSE)*($CM$2/2))/10000,RAND()))</f>
        <v>1</v>
      </c>
      <c r="O131" t="str">
        <f>Scores_and_Fixtures[[#This Row],[Away]]</f>
        <v>Norwich City</v>
      </c>
      <c r="U131">
        <v>30</v>
      </c>
      <c r="V131">
        <v>17</v>
      </c>
      <c r="W131">
        <v>8</v>
      </c>
      <c r="X131">
        <v>10</v>
      </c>
      <c r="Y131">
        <v>12</v>
      </c>
      <c r="Z131">
        <v>14</v>
      </c>
      <c r="AA131">
        <v>21</v>
      </c>
      <c r="AB131">
        <v>5</v>
      </c>
      <c r="AC131">
        <v>2</v>
      </c>
      <c r="AD131">
        <v>4</v>
      </c>
      <c r="AE131">
        <v>1</v>
      </c>
      <c r="AF131">
        <v>7</v>
      </c>
      <c r="AG131">
        <v>19</v>
      </c>
      <c r="AH131">
        <v>13</v>
      </c>
      <c r="AI131">
        <v>16</v>
      </c>
      <c r="AJ131">
        <v>15</v>
      </c>
      <c r="AK131">
        <v>22</v>
      </c>
      <c r="AL131">
        <v>24</v>
      </c>
      <c r="AM131">
        <v>23</v>
      </c>
      <c r="AN131">
        <v>3</v>
      </c>
      <c r="AO131">
        <v>20</v>
      </c>
      <c r="AP131">
        <v>11</v>
      </c>
      <c r="AQ131">
        <v>18</v>
      </c>
      <c r="AR131">
        <v>9</v>
      </c>
      <c r="AS131">
        <v>6</v>
      </c>
    </row>
    <row r="132" spans="1:82" x14ac:dyDescent="0.25">
      <c r="A132">
        <v>11</v>
      </c>
      <c r="B132" t="s">
        <v>395</v>
      </c>
      <c r="C132">
        <v>0</v>
      </c>
      <c r="D132">
        <v>0</v>
      </c>
      <c r="E132" t="s">
        <v>383</v>
      </c>
      <c r="K132">
        <f>Scores_and_Fixtures[[#This Row],[Wk]]</f>
        <v>11</v>
      </c>
      <c r="L132" t="str">
        <f>Scores_and_Fixtures[[#This Row],[Home]]</f>
        <v>Sheffield Weds</v>
      </c>
      <c r="M132">
        <f ca="1">IF(ISBLANK(Scores_and_Fixtures[[#This Row],[Home Score]])=FALSE,Scores_and_Fixtures[[#This Row],[Home Score]],_xlfn.BINOM.INV(10000,(VLOOKUP(L132,$CK$4:$CM$27,2,FALSE)*VLOOKUP(O132,$CK$4:$CM$27,3,FALSE)*($CM$2/2))/10000,RAND()))</f>
        <v>0</v>
      </c>
      <c r="N132">
        <f ca="1">IF(ISBLANK(Scores_and_Fixtures[[#This Row],[Away Score]])=FALSE,Scores_and_Fixtures[[#This Row],[Away Score]],_xlfn.BINOM.INV(10000,(VLOOKUP(O132,$CK$4:$CM$27,2,FALSE)*VLOOKUP(L132,$CK$4:$CM$27,3,FALSE)*($CM$2/2))/10000,RAND()))</f>
        <v>0</v>
      </c>
      <c r="O132" t="str">
        <f>Scores_and_Fixtures[[#This Row],[Away]]</f>
        <v>Huddersfield</v>
      </c>
      <c r="U132">
        <v>31</v>
      </c>
      <c r="V132">
        <v>19</v>
      </c>
      <c r="W132">
        <v>15</v>
      </c>
      <c r="X132">
        <v>17</v>
      </c>
      <c r="Y132">
        <v>14</v>
      </c>
      <c r="Z132">
        <v>13</v>
      </c>
      <c r="AA132">
        <v>21</v>
      </c>
      <c r="AB132">
        <v>4</v>
      </c>
      <c r="AC132">
        <v>2</v>
      </c>
      <c r="AD132">
        <v>3</v>
      </c>
      <c r="AE132">
        <v>1</v>
      </c>
      <c r="AF132">
        <v>9</v>
      </c>
      <c r="AG132">
        <v>20</v>
      </c>
      <c r="AH132">
        <v>12</v>
      </c>
      <c r="AI132">
        <v>16</v>
      </c>
      <c r="AJ132">
        <v>11</v>
      </c>
      <c r="AK132">
        <v>22</v>
      </c>
      <c r="AL132">
        <v>24</v>
      </c>
      <c r="AM132">
        <v>23</v>
      </c>
      <c r="AN132">
        <v>5</v>
      </c>
      <c r="AO132">
        <v>18</v>
      </c>
      <c r="AP132">
        <v>8</v>
      </c>
      <c r="AQ132">
        <v>10</v>
      </c>
      <c r="AR132">
        <v>7</v>
      </c>
      <c r="AS132">
        <v>6</v>
      </c>
    </row>
    <row r="133" spans="1:82" x14ac:dyDescent="0.25">
      <c r="A133">
        <v>11</v>
      </c>
      <c r="B133" t="s">
        <v>391</v>
      </c>
      <c r="C133">
        <v>1</v>
      </c>
      <c r="D133">
        <v>3</v>
      </c>
      <c r="E133" t="s">
        <v>399</v>
      </c>
      <c r="K133">
        <f>Scores_and_Fixtures[[#This Row],[Wk]]</f>
        <v>11</v>
      </c>
      <c r="L133" t="str">
        <f>Scores_and_Fixtures[[#This Row],[Home]]</f>
        <v>Plymouth Argyle</v>
      </c>
      <c r="M133">
        <f ca="1">IF(ISBLANK(Scores_and_Fixtures[[#This Row],[Home Score]])=FALSE,Scores_and_Fixtures[[#This Row],[Home Score]],_xlfn.BINOM.INV(10000,(VLOOKUP(L133,$CK$4:$CM$27,2,FALSE)*VLOOKUP(O133,$CK$4:$CM$27,3,FALSE)*($CM$2/2))/10000,RAND()))</f>
        <v>1</v>
      </c>
      <c r="N133">
        <f ca="1">IF(ISBLANK(Scores_and_Fixtures[[#This Row],[Away Score]])=FALSE,Scores_and_Fixtures[[#This Row],[Away Score]],_xlfn.BINOM.INV(10000,(VLOOKUP(O133,$CK$4:$CM$27,2,FALSE)*VLOOKUP(L133,$CK$4:$CM$27,3,FALSE)*($CM$2/2))/10000,RAND()))</f>
        <v>3</v>
      </c>
      <c r="O133" t="str">
        <f>Scores_and_Fixtures[[#This Row],[Away]]</f>
        <v>Swansea City</v>
      </c>
      <c r="U133">
        <v>32</v>
      </c>
      <c r="V133">
        <v>18</v>
      </c>
      <c r="W133">
        <v>12</v>
      </c>
      <c r="X133">
        <v>16</v>
      </c>
      <c r="Y133">
        <v>13</v>
      </c>
      <c r="Z133">
        <v>17</v>
      </c>
      <c r="AA133">
        <v>19</v>
      </c>
      <c r="AB133">
        <v>9</v>
      </c>
      <c r="AC133">
        <v>2</v>
      </c>
      <c r="AD133">
        <v>4</v>
      </c>
      <c r="AE133">
        <v>1</v>
      </c>
      <c r="AF133">
        <v>8</v>
      </c>
      <c r="AG133">
        <v>21</v>
      </c>
      <c r="AH133">
        <v>11</v>
      </c>
      <c r="AI133">
        <v>15</v>
      </c>
      <c r="AJ133">
        <v>10</v>
      </c>
      <c r="AK133">
        <v>22</v>
      </c>
      <c r="AL133">
        <v>24</v>
      </c>
      <c r="AM133">
        <v>23</v>
      </c>
      <c r="AN133">
        <v>3</v>
      </c>
      <c r="AO133">
        <v>20</v>
      </c>
      <c r="AP133">
        <v>6</v>
      </c>
      <c r="AQ133">
        <v>14</v>
      </c>
      <c r="AR133">
        <v>5</v>
      </c>
      <c r="AS133">
        <v>7</v>
      </c>
    </row>
    <row r="134" spans="1:82" x14ac:dyDescent="0.25">
      <c r="A134">
        <v>12</v>
      </c>
      <c r="B134" t="s">
        <v>392</v>
      </c>
      <c r="C134">
        <v>1</v>
      </c>
      <c r="D134">
        <v>1</v>
      </c>
      <c r="E134" t="s">
        <v>389</v>
      </c>
      <c r="K134">
        <f>Scores_and_Fixtures[[#This Row],[Wk]]</f>
        <v>12</v>
      </c>
      <c r="L134" t="str">
        <f>Scores_and_Fixtures[[#This Row],[Home]]</f>
        <v>Preston</v>
      </c>
      <c r="M134">
        <f ca="1">IF(ISBLANK(Scores_and_Fixtures[[#This Row],[Home Score]])=FALSE,Scores_and_Fixtures[[#This Row],[Home Score]],_xlfn.BINOM.INV(10000,(VLOOKUP(L134,$CK$4:$CM$27,2,FALSE)*VLOOKUP(O134,$CK$4:$CM$27,3,FALSE)*($CM$2/2))/10000,RAND()))</f>
        <v>1</v>
      </c>
      <c r="N134">
        <f ca="1">IF(ISBLANK(Scores_and_Fixtures[[#This Row],[Away Score]])=FALSE,Scores_and_Fixtures[[#This Row],[Away Score]],_xlfn.BINOM.INV(10000,(VLOOKUP(O134,$CK$4:$CM$27,2,FALSE)*VLOOKUP(L134,$CK$4:$CM$27,3,FALSE)*($CM$2/2))/10000,RAND()))</f>
        <v>1</v>
      </c>
      <c r="O134" t="str">
        <f>Scores_and_Fixtures[[#This Row],[Away]]</f>
        <v>Millwall</v>
      </c>
      <c r="U134">
        <v>33</v>
      </c>
      <c r="V134">
        <v>17</v>
      </c>
      <c r="W134">
        <v>15</v>
      </c>
      <c r="X134">
        <v>11</v>
      </c>
      <c r="Y134">
        <v>10</v>
      </c>
      <c r="Z134">
        <v>13</v>
      </c>
      <c r="AA134">
        <v>21</v>
      </c>
      <c r="AB134">
        <v>5</v>
      </c>
      <c r="AC134">
        <v>2</v>
      </c>
      <c r="AD134">
        <v>4</v>
      </c>
      <c r="AE134">
        <v>1</v>
      </c>
      <c r="AF134">
        <v>14</v>
      </c>
      <c r="AG134">
        <v>20</v>
      </c>
      <c r="AH134">
        <v>12</v>
      </c>
      <c r="AI134">
        <v>16</v>
      </c>
      <c r="AJ134">
        <v>8</v>
      </c>
      <c r="AK134">
        <v>19</v>
      </c>
      <c r="AL134">
        <v>23</v>
      </c>
      <c r="AM134">
        <v>24</v>
      </c>
      <c r="AN134">
        <v>3</v>
      </c>
      <c r="AO134">
        <v>22</v>
      </c>
      <c r="AP134">
        <v>9</v>
      </c>
      <c r="AQ134">
        <v>18</v>
      </c>
      <c r="AR134">
        <v>7</v>
      </c>
      <c r="AS134">
        <v>6</v>
      </c>
    </row>
    <row r="135" spans="1:82" x14ac:dyDescent="0.25">
      <c r="A135">
        <v>12</v>
      </c>
      <c r="B135" t="s">
        <v>397</v>
      </c>
      <c r="C135">
        <v>2</v>
      </c>
      <c r="D135">
        <v>1</v>
      </c>
      <c r="E135" t="s">
        <v>398</v>
      </c>
      <c r="K135">
        <f>Scores_and_Fixtures[[#This Row],[Wk]]</f>
        <v>12</v>
      </c>
      <c r="L135" t="str">
        <f>Scores_and_Fixtures[[#This Row],[Home]]</f>
        <v>Stoke City</v>
      </c>
      <c r="M135">
        <f ca="1">IF(ISBLANK(Scores_and_Fixtures[[#This Row],[Home Score]])=FALSE,Scores_and_Fixtures[[#This Row],[Home Score]],_xlfn.BINOM.INV(10000,(VLOOKUP(L135,$CK$4:$CM$27,2,FALSE)*VLOOKUP(O135,$CK$4:$CM$27,3,FALSE)*($CM$2/2))/10000,RAND()))</f>
        <v>2</v>
      </c>
      <c r="N135">
        <f ca="1">IF(ISBLANK(Scores_and_Fixtures[[#This Row],[Away Score]])=FALSE,Scores_and_Fixtures[[#This Row],[Away Score]],_xlfn.BINOM.INV(10000,(VLOOKUP(O135,$CK$4:$CM$27,2,FALSE)*VLOOKUP(L135,$CK$4:$CM$27,3,FALSE)*($CM$2/2))/10000,RAND()))</f>
        <v>1</v>
      </c>
      <c r="O135" t="str">
        <f>Scores_and_Fixtures[[#This Row],[Away]]</f>
        <v>Sunderland</v>
      </c>
      <c r="U135">
        <v>34</v>
      </c>
      <c r="V135">
        <v>16</v>
      </c>
      <c r="W135">
        <v>9</v>
      </c>
      <c r="X135">
        <v>11</v>
      </c>
      <c r="Y135">
        <v>15</v>
      </c>
      <c r="Z135">
        <v>12</v>
      </c>
      <c r="AA135">
        <v>22</v>
      </c>
      <c r="AB135">
        <v>10</v>
      </c>
      <c r="AC135">
        <v>3</v>
      </c>
      <c r="AD135">
        <v>4</v>
      </c>
      <c r="AE135">
        <v>1</v>
      </c>
      <c r="AF135">
        <v>8</v>
      </c>
      <c r="AG135">
        <v>17</v>
      </c>
      <c r="AH135">
        <v>14</v>
      </c>
      <c r="AI135">
        <v>18</v>
      </c>
      <c r="AJ135">
        <v>13</v>
      </c>
      <c r="AK135">
        <v>19</v>
      </c>
      <c r="AL135">
        <v>24</v>
      </c>
      <c r="AM135">
        <v>23</v>
      </c>
      <c r="AN135">
        <v>2</v>
      </c>
      <c r="AO135">
        <v>21</v>
      </c>
      <c r="AP135">
        <v>5</v>
      </c>
      <c r="AQ135">
        <v>20</v>
      </c>
      <c r="AR135">
        <v>7</v>
      </c>
      <c r="AS135">
        <v>6</v>
      </c>
    </row>
    <row r="136" spans="1:82" x14ac:dyDescent="0.25">
      <c r="A136">
        <v>12</v>
      </c>
      <c r="B136" t="s">
        <v>401</v>
      </c>
      <c r="C136">
        <v>0</v>
      </c>
      <c r="D136">
        <v>0</v>
      </c>
      <c r="E136" t="s">
        <v>391</v>
      </c>
      <c r="K136">
        <f>Scores_and_Fixtures[[#This Row],[Wk]]</f>
        <v>12</v>
      </c>
      <c r="L136" t="str">
        <f>Scores_and_Fixtures[[#This Row],[Home]]</f>
        <v>West Brom</v>
      </c>
      <c r="M136">
        <f ca="1">IF(ISBLANK(Scores_and_Fixtures[[#This Row],[Home Score]])=FALSE,Scores_and_Fixtures[[#This Row],[Home Score]],_xlfn.BINOM.INV(10000,(VLOOKUP(L136,$CK$4:$CM$27,2,FALSE)*VLOOKUP(O136,$CK$4:$CM$27,3,FALSE)*($CM$2/2))/10000,RAND()))</f>
        <v>0</v>
      </c>
      <c r="N136">
        <f ca="1">IF(ISBLANK(Scores_and_Fixtures[[#This Row],[Away Score]])=FALSE,Scores_and_Fixtures[[#This Row],[Away Score]],_xlfn.BINOM.INV(10000,(VLOOKUP(O136,$CK$4:$CM$27,2,FALSE)*VLOOKUP(L136,$CK$4:$CM$27,3,FALSE)*($CM$2/2))/10000,RAND()))</f>
        <v>0</v>
      </c>
      <c r="O136" t="str">
        <f>Scores_and_Fixtures[[#This Row],[Away]]</f>
        <v>Plymouth Argyle</v>
      </c>
      <c r="U136">
        <v>35</v>
      </c>
      <c r="V136">
        <v>15</v>
      </c>
      <c r="W136">
        <v>10</v>
      </c>
      <c r="X136">
        <v>11</v>
      </c>
      <c r="Y136">
        <v>13</v>
      </c>
      <c r="Z136">
        <v>16</v>
      </c>
      <c r="AA136">
        <v>22</v>
      </c>
      <c r="AB136">
        <v>5</v>
      </c>
      <c r="AC136">
        <v>2</v>
      </c>
      <c r="AD136">
        <v>3</v>
      </c>
      <c r="AE136">
        <v>1</v>
      </c>
      <c r="AF136">
        <v>9</v>
      </c>
      <c r="AG136">
        <v>20</v>
      </c>
      <c r="AH136">
        <v>14</v>
      </c>
      <c r="AI136">
        <v>17</v>
      </c>
      <c r="AJ136">
        <v>12</v>
      </c>
      <c r="AK136">
        <v>18</v>
      </c>
      <c r="AL136">
        <v>24</v>
      </c>
      <c r="AM136">
        <v>23</v>
      </c>
      <c r="AN136">
        <v>4</v>
      </c>
      <c r="AO136">
        <v>21</v>
      </c>
      <c r="AP136">
        <v>8</v>
      </c>
      <c r="AQ136">
        <v>19</v>
      </c>
      <c r="AR136">
        <v>6</v>
      </c>
      <c r="AS136">
        <v>7</v>
      </c>
    </row>
    <row r="137" spans="1:82" x14ac:dyDescent="0.25">
      <c r="A137">
        <v>12</v>
      </c>
      <c r="B137" t="s">
        <v>400</v>
      </c>
      <c r="C137">
        <v>1</v>
      </c>
      <c r="D137">
        <v>0</v>
      </c>
      <c r="E137" t="s">
        <v>395</v>
      </c>
      <c r="K137">
        <f>Scores_and_Fixtures[[#This Row],[Wk]]</f>
        <v>12</v>
      </c>
      <c r="L137" t="str">
        <f>Scores_and_Fixtures[[#This Row],[Home]]</f>
        <v>Watford</v>
      </c>
      <c r="M137">
        <f ca="1">IF(ISBLANK(Scores_and_Fixtures[[#This Row],[Home Score]])=FALSE,Scores_and_Fixtures[[#This Row],[Home Score]],_xlfn.BINOM.INV(10000,(VLOOKUP(L137,$CK$4:$CM$27,2,FALSE)*VLOOKUP(O137,$CK$4:$CM$27,3,FALSE)*($CM$2/2))/10000,RAND()))</f>
        <v>1</v>
      </c>
      <c r="N137">
        <f ca="1">IF(ISBLANK(Scores_and_Fixtures[[#This Row],[Away Score]])=FALSE,Scores_and_Fixtures[[#This Row],[Away Score]],_xlfn.BINOM.INV(10000,(VLOOKUP(O137,$CK$4:$CM$27,2,FALSE)*VLOOKUP(L137,$CK$4:$CM$27,3,FALSE)*($CM$2/2))/10000,RAND()))</f>
        <v>0</v>
      </c>
      <c r="O137" t="str">
        <f>Scores_and_Fixtures[[#This Row],[Away]]</f>
        <v>Sheffield Weds</v>
      </c>
      <c r="U137">
        <v>36</v>
      </c>
      <c r="V137">
        <v>19</v>
      </c>
      <c r="W137">
        <v>14</v>
      </c>
      <c r="X137">
        <v>16</v>
      </c>
      <c r="Y137">
        <v>9</v>
      </c>
      <c r="Z137">
        <v>11</v>
      </c>
      <c r="AA137">
        <v>21</v>
      </c>
      <c r="AB137">
        <v>8</v>
      </c>
      <c r="AC137">
        <v>2</v>
      </c>
      <c r="AD137">
        <v>3</v>
      </c>
      <c r="AE137">
        <v>1</v>
      </c>
      <c r="AF137">
        <v>13</v>
      </c>
      <c r="AG137">
        <v>10</v>
      </c>
      <c r="AH137">
        <v>7</v>
      </c>
      <c r="AI137">
        <v>12</v>
      </c>
      <c r="AJ137">
        <v>17</v>
      </c>
      <c r="AK137">
        <v>22</v>
      </c>
      <c r="AL137">
        <v>24</v>
      </c>
      <c r="AM137">
        <v>23</v>
      </c>
      <c r="AN137">
        <v>4</v>
      </c>
      <c r="AO137">
        <v>20</v>
      </c>
      <c r="AP137">
        <v>15</v>
      </c>
      <c r="AQ137">
        <v>18</v>
      </c>
      <c r="AR137">
        <v>6</v>
      </c>
      <c r="AS137">
        <v>5</v>
      </c>
    </row>
    <row r="138" spans="1:82" x14ac:dyDescent="0.25">
      <c r="A138">
        <v>12</v>
      </c>
      <c r="B138" t="s">
        <v>380</v>
      </c>
      <c r="C138">
        <v>1</v>
      </c>
      <c r="D138">
        <v>0</v>
      </c>
      <c r="E138" t="s">
        <v>382</v>
      </c>
      <c r="K138">
        <f>Scores_and_Fixtures[[#This Row],[Wk]]</f>
        <v>12</v>
      </c>
      <c r="L138" t="str">
        <f>Scores_and_Fixtures[[#This Row],[Home]]</f>
        <v>Bristol City</v>
      </c>
      <c r="M138">
        <f ca="1">IF(ISBLANK(Scores_and_Fixtures[[#This Row],[Home Score]])=FALSE,Scores_and_Fixtures[[#This Row],[Home Score]],_xlfn.BINOM.INV(10000,(VLOOKUP(L138,$CK$4:$CM$27,2,FALSE)*VLOOKUP(O138,$CK$4:$CM$27,3,FALSE)*($CM$2/2))/10000,RAND()))</f>
        <v>1</v>
      </c>
      <c r="N138">
        <f ca="1">IF(ISBLANK(Scores_and_Fixtures[[#This Row],[Away Score]])=FALSE,Scores_and_Fixtures[[#This Row],[Away Score]],_xlfn.BINOM.INV(10000,(VLOOKUP(O138,$CK$4:$CM$27,2,FALSE)*VLOOKUP(L138,$CK$4:$CM$27,3,FALSE)*($CM$2/2))/10000,RAND()))</f>
        <v>0</v>
      </c>
      <c r="O138" t="str">
        <f>Scores_and_Fixtures[[#This Row],[Away]]</f>
        <v>Coventry City</v>
      </c>
      <c r="U138">
        <v>37</v>
      </c>
      <c r="V138">
        <v>15</v>
      </c>
      <c r="W138">
        <v>8</v>
      </c>
      <c r="X138">
        <v>18</v>
      </c>
      <c r="Y138">
        <v>14</v>
      </c>
      <c r="Z138">
        <v>16</v>
      </c>
      <c r="AA138">
        <v>19</v>
      </c>
      <c r="AB138">
        <v>6</v>
      </c>
      <c r="AC138">
        <v>2</v>
      </c>
      <c r="AD138">
        <v>5</v>
      </c>
      <c r="AE138">
        <v>1</v>
      </c>
      <c r="AF138">
        <v>11</v>
      </c>
      <c r="AG138">
        <v>22</v>
      </c>
      <c r="AH138">
        <v>9</v>
      </c>
      <c r="AI138">
        <v>12</v>
      </c>
      <c r="AJ138">
        <v>13</v>
      </c>
      <c r="AK138">
        <v>21</v>
      </c>
      <c r="AL138">
        <v>24</v>
      </c>
      <c r="AM138">
        <v>23</v>
      </c>
      <c r="AN138">
        <v>3</v>
      </c>
      <c r="AO138">
        <v>20</v>
      </c>
      <c r="AP138">
        <v>7</v>
      </c>
      <c r="AQ138">
        <v>17</v>
      </c>
      <c r="AR138">
        <v>10</v>
      </c>
      <c r="AS138">
        <v>4</v>
      </c>
    </row>
    <row r="139" spans="1:82" x14ac:dyDescent="0.25">
      <c r="A139">
        <v>12</v>
      </c>
      <c r="B139" t="s">
        <v>388</v>
      </c>
      <c r="C139">
        <v>1</v>
      </c>
      <c r="D139">
        <v>0</v>
      </c>
      <c r="E139" t="s">
        <v>378</v>
      </c>
      <c r="K139">
        <f>Scores_and_Fixtures[[#This Row],[Wk]]</f>
        <v>12</v>
      </c>
      <c r="L139" t="str">
        <f>Scores_and_Fixtures[[#This Row],[Home]]</f>
        <v>Middlesbrough</v>
      </c>
      <c r="M139">
        <f ca="1">IF(ISBLANK(Scores_and_Fixtures[[#This Row],[Home Score]])=FALSE,Scores_and_Fixtures[[#This Row],[Home Score]],_xlfn.BINOM.INV(10000,(VLOOKUP(L139,$CK$4:$CM$27,2,FALSE)*VLOOKUP(O139,$CK$4:$CM$27,3,FALSE)*($CM$2/2))/10000,RAND()))</f>
        <v>1</v>
      </c>
      <c r="N139">
        <f ca="1">IF(ISBLANK(Scores_and_Fixtures[[#This Row],[Away Score]])=FALSE,Scores_and_Fixtures[[#This Row],[Away Score]],_xlfn.BINOM.INV(10000,(VLOOKUP(O139,$CK$4:$CM$27,2,FALSE)*VLOOKUP(L139,$CK$4:$CM$27,3,FALSE)*($CM$2/2))/10000,RAND()))</f>
        <v>0</v>
      </c>
      <c r="O139" t="str">
        <f>Scores_and_Fixtures[[#This Row],[Away]]</f>
        <v>Birmingham City</v>
      </c>
      <c r="U139">
        <v>38</v>
      </c>
      <c r="V139">
        <v>15</v>
      </c>
      <c r="W139">
        <v>9</v>
      </c>
      <c r="X139">
        <v>13</v>
      </c>
      <c r="Y139">
        <v>8</v>
      </c>
      <c r="Z139">
        <v>18</v>
      </c>
      <c r="AA139">
        <v>20</v>
      </c>
      <c r="AB139">
        <v>5</v>
      </c>
      <c r="AC139">
        <v>2</v>
      </c>
      <c r="AD139">
        <v>4</v>
      </c>
      <c r="AE139">
        <v>1</v>
      </c>
      <c r="AF139">
        <v>12</v>
      </c>
      <c r="AG139">
        <v>21</v>
      </c>
      <c r="AH139">
        <v>14</v>
      </c>
      <c r="AI139">
        <v>11</v>
      </c>
      <c r="AJ139">
        <v>17</v>
      </c>
      <c r="AK139">
        <v>22</v>
      </c>
      <c r="AL139">
        <v>24</v>
      </c>
      <c r="AM139">
        <v>23</v>
      </c>
      <c r="AN139">
        <v>3</v>
      </c>
      <c r="AO139">
        <v>16</v>
      </c>
      <c r="AP139">
        <v>10</v>
      </c>
      <c r="AQ139">
        <v>19</v>
      </c>
      <c r="AR139">
        <v>6</v>
      </c>
      <c r="AS139">
        <v>7</v>
      </c>
    </row>
    <row r="140" spans="1:82" x14ac:dyDescent="0.25">
      <c r="A140">
        <v>12</v>
      </c>
      <c r="B140" t="s">
        <v>390</v>
      </c>
      <c r="C140">
        <v>2</v>
      </c>
      <c r="D140">
        <v>3</v>
      </c>
      <c r="E140" t="s">
        <v>386</v>
      </c>
      <c r="K140">
        <f>Scores_and_Fixtures[[#This Row],[Wk]]</f>
        <v>12</v>
      </c>
      <c r="L140" t="str">
        <f>Scores_and_Fixtures[[#This Row],[Home]]</f>
        <v>Norwich City</v>
      </c>
      <c r="M140">
        <f ca="1">IF(ISBLANK(Scores_and_Fixtures[[#This Row],[Home Score]])=FALSE,Scores_and_Fixtures[[#This Row],[Home Score]],_xlfn.BINOM.INV(10000,(VLOOKUP(L140,$CK$4:$CM$27,2,FALSE)*VLOOKUP(O140,$CK$4:$CM$27,3,FALSE)*($CM$2/2))/10000,RAND()))</f>
        <v>2</v>
      </c>
      <c r="N140">
        <f ca="1">IF(ISBLANK(Scores_and_Fixtures[[#This Row],[Away Score]])=FALSE,Scores_and_Fixtures[[#This Row],[Away Score]],_xlfn.BINOM.INV(10000,(VLOOKUP(O140,$CK$4:$CM$27,2,FALSE)*VLOOKUP(L140,$CK$4:$CM$27,3,FALSE)*($CM$2/2))/10000,RAND()))</f>
        <v>3</v>
      </c>
      <c r="O140" t="str">
        <f>Scores_and_Fixtures[[#This Row],[Away]]</f>
        <v>Leeds United</v>
      </c>
      <c r="U140">
        <v>39</v>
      </c>
      <c r="V140">
        <v>12</v>
      </c>
      <c r="W140">
        <v>15</v>
      </c>
      <c r="X140">
        <v>18</v>
      </c>
      <c r="Y140">
        <v>14</v>
      </c>
      <c r="Z140">
        <v>13</v>
      </c>
      <c r="AA140">
        <v>23</v>
      </c>
      <c r="AB140">
        <v>3</v>
      </c>
      <c r="AC140">
        <v>2</v>
      </c>
      <c r="AD140">
        <v>6</v>
      </c>
      <c r="AE140">
        <v>1</v>
      </c>
      <c r="AF140">
        <v>10</v>
      </c>
      <c r="AG140">
        <v>20</v>
      </c>
      <c r="AH140">
        <v>11</v>
      </c>
      <c r="AI140">
        <v>17</v>
      </c>
      <c r="AJ140">
        <v>7</v>
      </c>
      <c r="AK140">
        <v>21</v>
      </c>
      <c r="AL140">
        <v>24</v>
      </c>
      <c r="AM140">
        <v>22</v>
      </c>
      <c r="AN140">
        <v>5</v>
      </c>
      <c r="AO140">
        <v>19</v>
      </c>
      <c r="AP140">
        <v>8</v>
      </c>
      <c r="AQ140">
        <v>16</v>
      </c>
      <c r="AR140">
        <v>9</v>
      </c>
      <c r="AS140">
        <v>4</v>
      </c>
    </row>
    <row r="141" spans="1:82" x14ac:dyDescent="0.25">
      <c r="A141">
        <v>12</v>
      </c>
      <c r="B141" t="s">
        <v>384</v>
      </c>
      <c r="C141">
        <v>1</v>
      </c>
      <c r="D141">
        <v>2</v>
      </c>
      <c r="E141" t="s">
        <v>396</v>
      </c>
      <c r="K141">
        <f>Scores_and_Fixtures[[#This Row],[Wk]]</f>
        <v>12</v>
      </c>
      <c r="L141" t="str">
        <f>Scores_and_Fixtures[[#This Row],[Home]]</f>
        <v>Hull City</v>
      </c>
      <c r="M141">
        <f ca="1">IF(ISBLANK(Scores_and_Fixtures[[#This Row],[Home Score]])=FALSE,Scores_and_Fixtures[[#This Row],[Home Score]],_xlfn.BINOM.INV(10000,(VLOOKUP(L141,$CK$4:$CM$27,2,FALSE)*VLOOKUP(O141,$CK$4:$CM$27,3,FALSE)*($CM$2/2))/10000,RAND()))</f>
        <v>1</v>
      </c>
      <c r="N141">
        <f ca="1">IF(ISBLANK(Scores_and_Fixtures[[#This Row],[Away Score]])=FALSE,Scores_and_Fixtures[[#This Row],[Away Score]],_xlfn.BINOM.INV(10000,(VLOOKUP(O141,$CK$4:$CM$27,2,FALSE)*VLOOKUP(L141,$CK$4:$CM$27,3,FALSE)*($CM$2/2))/10000,RAND()))</f>
        <v>2</v>
      </c>
      <c r="O141" t="str">
        <f>Scores_and_Fixtures[[#This Row],[Away]]</f>
        <v>Southampton</v>
      </c>
      <c r="U141">
        <v>40</v>
      </c>
      <c r="V141">
        <v>14</v>
      </c>
      <c r="W141">
        <v>10</v>
      </c>
      <c r="X141">
        <v>13</v>
      </c>
      <c r="Y141">
        <v>8</v>
      </c>
      <c r="Z141">
        <v>16</v>
      </c>
      <c r="AA141">
        <v>21</v>
      </c>
      <c r="AB141">
        <v>9</v>
      </c>
      <c r="AC141">
        <v>2</v>
      </c>
      <c r="AD141">
        <v>3</v>
      </c>
      <c r="AE141">
        <v>1</v>
      </c>
      <c r="AF141">
        <v>18</v>
      </c>
      <c r="AG141">
        <v>12</v>
      </c>
      <c r="AH141">
        <v>15</v>
      </c>
      <c r="AI141">
        <v>17</v>
      </c>
      <c r="AJ141">
        <v>11</v>
      </c>
      <c r="AK141">
        <v>22</v>
      </c>
      <c r="AL141">
        <v>24</v>
      </c>
      <c r="AM141">
        <v>23</v>
      </c>
      <c r="AN141">
        <v>4</v>
      </c>
      <c r="AO141">
        <v>20</v>
      </c>
      <c r="AP141">
        <v>6</v>
      </c>
      <c r="AQ141">
        <v>19</v>
      </c>
      <c r="AR141">
        <v>5</v>
      </c>
      <c r="AS141">
        <v>7</v>
      </c>
    </row>
    <row r="142" spans="1:82" x14ac:dyDescent="0.25">
      <c r="A142">
        <v>12</v>
      </c>
      <c r="B142" t="s">
        <v>379</v>
      </c>
      <c r="C142">
        <v>1</v>
      </c>
      <c r="D142">
        <v>0</v>
      </c>
      <c r="E142" t="s">
        <v>381</v>
      </c>
      <c r="K142">
        <f>Scores_and_Fixtures[[#This Row],[Wk]]</f>
        <v>12</v>
      </c>
      <c r="L142" t="str">
        <f>Scores_and_Fixtures[[#This Row],[Home]]</f>
        <v>Blackburn</v>
      </c>
      <c r="M142">
        <f ca="1">IF(ISBLANK(Scores_and_Fixtures[[#This Row],[Home Score]])=FALSE,Scores_and_Fixtures[[#This Row],[Home Score]],_xlfn.BINOM.INV(10000,(VLOOKUP(L142,$CK$4:$CM$27,2,FALSE)*VLOOKUP(O142,$CK$4:$CM$27,3,FALSE)*($CM$2/2))/10000,RAND()))</f>
        <v>1</v>
      </c>
      <c r="N142">
        <f ca="1">IF(ISBLANK(Scores_and_Fixtures[[#This Row],[Away Score]])=FALSE,Scores_and_Fixtures[[#This Row],[Away Score]],_xlfn.BINOM.INV(10000,(VLOOKUP(O142,$CK$4:$CM$27,2,FALSE)*VLOOKUP(L142,$CK$4:$CM$27,3,FALSE)*($CM$2/2))/10000,RAND()))</f>
        <v>0</v>
      </c>
      <c r="O142" t="str">
        <f>Scores_and_Fixtures[[#This Row],[Away]]</f>
        <v>Cardiff City</v>
      </c>
      <c r="U142">
        <v>41</v>
      </c>
      <c r="V142">
        <v>12</v>
      </c>
      <c r="W142">
        <v>10</v>
      </c>
      <c r="X142">
        <v>21</v>
      </c>
      <c r="Y142">
        <v>15</v>
      </c>
      <c r="Z142">
        <v>11</v>
      </c>
      <c r="AA142">
        <v>20</v>
      </c>
      <c r="AB142">
        <v>5</v>
      </c>
      <c r="AC142">
        <v>2</v>
      </c>
      <c r="AD142">
        <v>3</v>
      </c>
      <c r="AE142">
        <v>1</v>
      </c>
      <c r="AF142">
        <v>9</v>
      </c>
      <c r="AG142">
        <v>14</v>
      </c>
      <c r="AH142">
        <v>13</v>
      </c>
      <c r="AI142">
        <v>16</v>
      </c>
      <c r="AJ142">
        <v>18</v>
      </c>
      <c r="AK142">
        <v>22</v>
      </c>
      <c r="AL142">
        <v>24</v>
      </c>
      <c r="AM142">
        <v>23</v>
      </c>
      <c r="AN142">
        <v>4</v>
      </c>
      <c r="AO142">
        <v>19</v>
      </c>
      <c r="AP142">
        <v>6</v>
      </c>
      <c r="AQ142">
        <v>17</v>
      </c>
      <c r="AR142">
        <v>8</v>
      </c>
      <c r="AS142">
        <v>7</v>
      </c>
    </row>
    <row r="143" spans="1:82" x14ac:dyDescent="0.25">
      <c r="A143">
        <v>12</v>
      </c>
      <c r="B143" t="s">
        <v>399</v>
      </c>
      <c r="C143">
        <v>1</v>
      </c>
      <c r="D143">
        <v>3</v>
      </c>
      <c r="E143" t="s">
        <v>387</v>
      </c>
      <c r="K143">
        <f>Scores_and_Fixtures[[#This Row],[Wk]]</f>
        <v>12</v>
      </c>
      <c r="L143" t="str">
        <f>Scores_and_Fixtures[[#This Row],[Home]]</f>
        <v>Swansea City</v>
      </c>
      <c r="M143">
        <f ca="1">IF(ISBLANK(Scores_and_Fixtures[[#This Row],[Home Score]])=FALSE,Scores_and_Fixtures[[#This Row],[Home Score]],_xlfn.BINOM.INV(10000,(VLOOKUP(L143,$CK$4:$CM$27,2,FALSE)*VLOOKUP(O143,$CK$4:$CM$27,3,FALSE)*($CM$2/2))/10000,RAND()))</f>
        <v>1</v>
      </c>
      <c r="N143">
        <f ca="1">IF(ISBLANK(Scores_and_Fixtures[[#This Row],[Away Score]])=FALSE,Scores_and_Fixtures[[#This Row],[Away Score]],_xlfn.BINOM.INV(10000,(VLOOKUP(O143,$CK$4:$CM$27,2,FALSE)*VLOOKUP(L143,$CK$4:$CM$27,3,FALSE)*($CM$2/2))/10000,RAND()))</f>
        <v>3</v>
      </c>
      <c r="O143" t="str">
        <f>Scores_and_Fixtures[[#This Row],[Away]]</f>
        <v>Leicester City</v>
      </c>
      <c r="U143">
        <v>42</v>
      </c>
      <c r="V143">
        <v>14</v>
      </c>
      <c r="W143">
        <v>15</v>
      </c>
      <c r="X143">
        <v>13</v>
      </c>
      <c r="Y143">
        <v>12</v>
      </c>
      <c r="Z143">
        <v>19</v>
      </c>
      <c r="AA143">
        <v>20</v>
      </c>
      <c r="AB143">
        <v>4</v>
      </c>
      <c r="AC143">
        <v>2</v>
      </c>
      <c r="AD143">
        <v>3</v>
      </c>
      <c r="AE143">
        <v>1</v>
      </c>
      <c r="AF143">
        <v>8</v>
      </c>
      <c r="AG143">
        <v>17</v>
      </c>
      <c r="AH143">
        <v>6</v>
      </c>
      <c r="AI143">
        <v>16</v>
      </c>
      <c r="AJ143">
        <v>10</v>
      </c>
      <c r="AK143">
        <v>22</v>
      </c>
      <c r="AL143">
        <v>24</v>
      </c>
      <c r="AM143">
        <v>23</v>
      </c>
      <c r="AN143">
        <v>5</v>
      </c>
      <c r="AO143">
        <v>21</v>
      </c>
      <c r="AP143">
        <v>11</v>
      </c>
      <c r="AQ143">
        <v>18</v>
      </c>
      <c r="AR143">
        <v>9</v>
      </c>
      <c r="AS143">
        <v>7</v>
      </c>
    </row>
    <row r="144" spans="1:82" x14ac:dyDescent="0.25">
      <c r="A144">
        <v>12</v>
      </c>
      <c r="B144" t="s">
        <v>383</v>
      </c>
      <c r="C144">
        <v>2</v>
      </c>
      <c r="D144">
        <v>1</v>
      </c>
      <c r="E144" t="s">
        <v>393</v>
      </c>
      <c r="K144">
        <f>Scores_and_Fixtures[[#This Row],[Wk]]</f>
        <v>12</v>
      </c>
      <c r="L144" t="str">
        <f>Scores_and_Fixtures[[#This Row],[Home]]</f>
        <v>Huddersfield</v>
      </c>
      <c r="M144">
        <f ca="1">IF(ISBLANK(Scores_and_Fixtures[[#This Row],[Home Score]])=FALSE,Scores_and_Fixtures[[#This Row],[Home Score]],_xlfn.BINOM.INV(10000,(VLOOKUP(L144,$CK$4:$CM$27,2,FALSE)*VLOOKUP(O144,$CK$4:$CM$27,3,FALSE)*($CM$2/2))/10000,RAND()))</f>
        <v>2</v>
      </c>
      <c r="N144">
        <f ca="1">IF(ISBLANK(Scores_and_Fixtures[[#This Row],[Away Score]])=FALSE,Scores_and_Fixtures[[#This Row],[Away Score]],_xlfn.BINOM.INV(10000,(VLOOKUP(O144,$CK$4:$CM$27,2,FALSE)*VLOOKUP(L144,$CK$4:$CM$27,3,FALSE)*($CM$2/2))/10000,RAND()))</f>
        <v>1</v>
      </c>
      <c r="O144" t="str">
        <f>Scores_and_Fixtures[[#This Row],[Away]]</f>
        <v>QPR</v>
      </c>
      <c r="U144">
        <v>43</v>
      </c>
      <c r="V144">
        <v>13</v>
      </c>
      <c r="W144">
        <v>9</v>
      </c>
      <c r="X144">
        <v>17</v>
      </c>
      <c r="Y144">
        <v>12</v>
      </c>
      <c r="Z144">
        <v>15</v>
      </c>
      <c r="AA144">
        <v>22</v>
      </c>
      <c r="AB144">
        <v>6</v>
      </c>
      <c r="AC144">
        <v>2</v>
      </c>
      <c r="AD144">
        <v>4</v>
      </c>
      <c r="AE144">
        <v>1</v>
      </c>
      <c r="AF144">
        <v>10</v>
      </c>
      <c r="AG144">
        <v>20</v>
      </c>
      <c r="AH144">
        <v>14</v>
      </c>
      <c r="AI144">
        <v>11</v>
      </c>
      <c r="AJ144">
        <v>18</v>
      </c>
      <c r="AK144">
        <v>21</v>
      </c>
      <c r="AL144">
        <v>24</v>
      </c>
      <c r="AM144">
        <v>23</v>
      </c>
      <c r="AN144">
        <v>3</v>
      </c>
      <c r="AO144">
        <v>19</v>
      </c>
      <c r="AP144">
        <v>7</v>
      </c>
      <c r="AQ144">
        <v>16</v>
      </c>
      <c r="AR144">
        <v>8</v>
      </c>
      <c r="AS144">
        <v>5</v>
      </c>
    </row>
    <row r="145" spans="1:45" x14ac:dyDescent="0.25">
      <c r="A145">
        <v>13</v>
      </c>
      <c r="B145" t="s">
        <v>390</v>
      </c>
      <c r="C145">
        <v>1</v>
      </c>
      <c r="D145">
        <v>2</v>
      </c>
      <c r="E145" t="s">
        <v>388</v>
      </c>
      <c r="K145">
        <f>Scores_and_Fixtures[[#This Row],[Wk]]</f>
        <v>13</v>
      </c>
      <c r="L145" t="str">
        <f>Scores_and_Fixtures[[#This Row],[Home]]</f>
        <v>Norwich City</v>
      </c>
      <c r="M145">
        <f ca="1">IF(ISBLANK(Scores_and_Fixtures[[#This Row],[Home Score]])=FALSE,Scores_and_Fixtures[[#This Row],[Home Score]],_xlfn.BINOM.INV(10000,(VLOOKUP(L145,$CK$4:$CM$27,2,FALSE)*VLOOKUP(O145,$CK$4:$CM$27,3,FALSE)*($CM$2/2))/10000,RAND()))</f>
        <v>1</v>
      </c>
      <c r="N145">
        <f ca="1">IF(ISBLANK(Scores_and_Fixtures[[#This Row],[Away Score]])=FALSE,Scores_and_Fixtures[[#This Row],[Away Score]],_xlfn.BINOM.INV(10000,(VLOOKUP(O145,$CK$4:$CM$27,2,FALSE)*VLOOKUP(L145,$CK$4:$CM$27,3,FALSE)*($CM$2/2))/10000,RAND()))</f>
        <v>2</v>
      </c>
      <c r="O145" t="str">
        <f>Scores_and_Fixtures[[#This Row],[Away]]</f>
        <v>Middlesbrough</v>
      </c>
      <c r="U145">
        <v>44</v>
      </c>
      <c r="V145">
        <v>18</v>
      </c>
      <c r="W145">
        <v>12</v>
      </c>
      <c r="X145">
        <v>15</v>
      </c>
      <c r="Y145">
        <v>10</v>
      </c>
      <c r="Z145">
        <v>14</v>
      </c>
      <c r="AA145">
        <v>20</v>
      </c>
      <c r="AB145">
        <v>5</v>
      </c>
      <c r="AC145">
        <v>2</v>
      </c>
      <c r="AD145">
        <v>4</v>
      </c>
      <c r="AE145">
        <v>1</v>
      </c>
      <c r="AF145">
        <v>13</v>
      </c>
      <c r="AG145">
        <v>17</v>
      </c>
      <c r="AH145">
        <v>8</v>
      </c>
      <c r="AI145">
        <v>16</v>
      </c>
      <c r="AJ145">
        <v>9</v>
      </c>
      <c r="AK145">
        <v>22</v>
      </c>
      <c r="AL145">
        <v>24</v>
      </c>
      <c r="AM145">
        <v>23</v>
      </c>
      <c r="AN145">
        <v>3</v>
      </c>
      <c r="AO145">
        <v>21</v>
      </c>
      <c r="AP145">
        <v>11</v>
      </c>
      <c r="AQ145">
        <v>19</v>
      </c>
      <c r="AR145">
        <v>6</v>
      </c>
      <c r="AS145">
        <v>7</v>
      </c>
    </row>
    <row r="146" spans="1:45" x14ac:dyDescent="0.25">
      <c r="A146">
        <v>13</v>
      </c>
      <c r="B146" t="s">
        <v>383</v>
      </c>
      <c r="C146">
        <v>0</v>
      </c>
      <c r="D146">
        <v>4</v>
      </c>
      <c r="E146" t="s">
        <v>381</v>
      </c>
      <c r="K146">
        <f>Scores_and_Fixtures[[#This Row],[Wk]]</f>
        <v>13</v>
      </c>
      <c r="L146" t="str">
        <f>Scores_and_Fixtures[[#This Row],[Home]]</f>
        <v>Huddersfield</v>
      </c>
      <c r="M146">
        <f ca="1">IF(ISBLANK(Scores_and_Fixtures[[#This Row],[Home Score]])=FALSE,Scores_and_Fixtures[[#This Row],[Home Score]],_xlfn.BINOM.INV(10000,(VLOOKUP(L146,$CK$4:$CM$27,2,FALSE)*VLOOKUP(O146,$CK$4:$CM$27,3,FALSE)*($CM$2/2))/10000,RAND()))</f>
        <v>0</v>
      </c>
      <c r="N146">
        <f ca="1">IF(ISBLANK(Scores_and_Fixtures[[#This Row],[Away Score]])=FALSE,Scores_and_Fixtures[[#This Row],[Away Score]],_xlfn.BINOM.INV(10000,(VLOOKUP(O146,$CK$4:$CM$27,2,FALSE)*VLOOKUP(L146,$CK$4:$CM$27,3,FALSE)*($CM$2/2))/10000,RAND()))</f>
        <v>4</v>
      </c>
      <c r="O146" t="str">
        <f>Scores_and_Fixtures[[#This Row],[Away]]</f>
        <v>Cardiff City</v>
      </c>
      <c r="U146">
        <v>45</v>
      </c>
      <c r="V146">
        <v>16</v>
      </c>
      <c r="W146">
        <v>5</v>
      </c>
      <c r="X146">
        <v>14</v>
      </c>
      <c r="Y146">
        <v>12</v>
      </c>
      <c r="Z146">
        <v>9</v>
      </c>
      <c r="AA146">
        <v>21</v>
      </c>
      <c r="AB146">
        <v>7</v>
      </c>
      <c r="AC146">
        <v>2</v>
      </c>
      <c r="AD146">
        <v>3</v>
      </c>
      <c r="AE146">
        <v>1</v>
      </c>
      <c r="AF146">
        <v>15</v>
      </c>
      <c r="AG146">
        <v>19</v>
      </c>
      <c r="AH146">
        <v>10</v>
      </c>
      <c r="AI146">
        <v>13</v>
      </c>
      <c r="AJ146">
        <v>18</v>
      </c>
      <c r="AK146">
        <v>22</v>
      </c>
      <c r="AL146">
        <v>24</v>
      </c>
      <c r="AM146">
        <v>23</v>
      </c>
      <c r="AN146">
        <v>4</v>
      </c>
      <c r="AO146">
        <v>20</v>
      </c>
      <c r="AP146">
        <v>6</v>
      </c>
      <c r="AQ146">
        <v>17</v>
      </c>
      <c r="AR146">
        <v>11</v>
      </c>
      <c r="AS146">
        <v>8</v>
      </c>
    </row>
    <row r="147" spans="1:45" x14ac:dyDescent="0.25">
      <c r="A147">
        <v>13</v>
      </c>
      <c r="B147" t="s">
        <v>399</v>
      </c>
      <c r="C147">
        <v>0</v>
      </c>
      <c r="D147">
        <v>1</v>
      </c>
      <c r="E147" t="s">
        <v>400</v>
      </c>
      <c r="K147">
        <f>Scores_and_Fixtures[[#This Row],[Wk]]</f>
        <v>13</v>
      </c>
      <c r="L147" t="str">
        <f>Scores_and_Fixtures[[#This Row],[Home]]</f>
        <v>Swansea City</v>
      </c>
      <c r="M147">
        <f ca="1">IF(ISBLANK(Scores_and_Fixtures[[#This Row],[Home Score]])=FALSE,Scores_and_Fixtures[[#This Row],[Home Score]],_xlfn.BINOM.INV(10000,(VLOOKUP(L147,$CK$4:$CM$27,2,FALSE)*VLOOKUP(O147,$CK$4:$CM$27,3,FALSE)*($CM$2/2))/10000,RAND()))</f>
        <v>0</v>
      </c>
      <c r="N147">
        <f ca="1">IF(ISBLANK(Scores_and_Fixtures[[#This Row],[Away Score]])=FALSE,Scores_and_Fixtures[[#This Row],[Away Score]],_xlfn.BINOM.INV(10000,(VLOOKUP(O147,$CK$4:$CM$27,2,FALSE)*VLOOKUP(L147,$CK$4:$CM$27,3,FALSE)*($CM$2/2))/10000,RAND()))</f>
        <v>1</v>
      </c>
      <c r="O147" t="str">
        <f>Scores_and_Fixtures[[#This Row],[Away]]</f>
        <v>Watford</v>
      </c>
      <c r="U147">
        <v>46</v>
      </c>
      <c r="V147">
        <v>17</v>
      </c>
      <c r="W147">
        <v>12</v>
      </c>
      <c r="X147">
        <v>11</v>
      </c>
      <c r="Y147">
        <v>10</v>
      </c>
      <c r="Z147">
        <v>9</v>
      </c>
      <c r="AA147">
        <v>20</v>
      </c>
      <c r="AB147">
        <v>6</v>
      </c>
      <c r="AC147">
        <v>2</v>
      </c>
      <c r="AD147">
        <v>4</v>
      </c>
      <c r="AE147">
        <v>1</v>
      </c>
      <c r="AF147">
        <v>14</v>
      </c>
      <c r="AG147">
        <v>22</v>
      </c>
      <c r="AH147">
        <v>16</v>
      </c>
      <c r="AI147">
        <v>15</v>
      </c>
      <c r="AJ147">
        <v>13</v>
      </c>
      <c r="AK147">
        <v>19</v>
      </c>
      <c r="AL147">
        <v>24</v>
      </c>
      <c r="AM147">
        <v>23</v>
      </c>
      <c r="AN147">
        <v>3</v>
      </c>
      <c r="AO147">
        <v>21</v>
      </c>
      <c r="AP147">
        <v>7</v>
      </c>
      <c r="AQ147">
        <v>18</v>
      </c>
      <c r="AR147">
        <v>8</v>
      </c>
      <c r="AS147">
        <v>5</v>
      </c>
    </row>
    <row r="148" spans="1:45" x14ac:dyDescent="0.25">
      <c r="A148">
        <v>13</v>
      </c>
      <c r="B148" t="s">
        <v>389</v>
      </c>
      <c r="C148">
        <v>1</v>
      </c>
      <c r="D148">
        <v>2</v>
      </c>
      <c r="E148" t="s">
        <v>379</v>
      </c>
      <c r="K148">
        <f>Scores_and_Fixtures[[#This Row],[Wk]]</f>
        <v>13</v>
      </c>
      <c r="L148" t="str">
        <f>Scores_and_Fixtures[[#This Row],[Home]]</f>
        <v>Millwall</v>
      </c>
      <c r="M148">
        <f ca="1">IF(ISBLANK(Scores_and_Fixtures[[#This Row],[Home Score]])=FALSE,Scores_and_Fixtures[[#This Row],[Home Score]],_xlfn.BINOM.INV(10000,(VLOOKUP(L148,$CK$4:$CM$27,2,FALSE)*VLOOKUP(O148,$CK$4:$CM$27,3,FALSE)*($CM$2/2))/10000,RAND()))</f>
        <v>1</v>
      </c>
      <c r="N148">
        <f ca="1">IF(ISBLANK(Scores_and_Fixtures[[#This Row],[Away Score]])=FALSE,Scores_and_Fixtures[[#This Row],[Away Score]],_xlfn.BINOM.INV(10000,(VLOOKUP(O148,$CK$4:$CM$27,2,FALSE)*VLOOKUP(L148,$CK$4:$CM$27,3,FALSE)*($CM$2/2))/10000,RAND()))</f>
        <v>2</v>
      </c>
      <c r="O148" t="str">
        <f>Scores_and_Fixtures[[#This Row],[Away]]</f>
        <v>Blackburn</v>
      </c>
      <c r="U148">
        <v>47</v>
      </c>
      <c r="V148">
        <v>13</v>
      </c>
      <c r="W148">
        <v>11</v>
      </c>
      <c r="X148">
        <v>14</v>
      </c>
      <c r="Y148">
        <v>12</v>
      </c>
      <c r="Z148">
        <v>17</v>
      </c>
      <c r="AA148">
        <v>20</v>
      </c>
      <c r="AB148">
        <v>6</v>
      </c>
      <c r="AC148">
        <v>2</v>
      </c>
      <c r="AD148">
        <v>3</v>
      </c>
      <c r="AE148">
        <v>1</v>
      </c>
      <c r="AF148">
        <v>9</v>
      </c>
      <c r="AG148">
        <v>16</v>
      </c>
      <c r="AH148">
        <v>10</v>
      </c>
      <c r="AI148">
        <v>18</v>
      </c>
      <c r="AJ148">
        <v>15</v>
      </c>
      <c r="AK148">
        <v>22</v>
      </c>
      <c r="AL148">
        <v>24</v>
      </c>
      <c r="AM148">
        <v>23</v>
      </c>
      <c r="AN148">
        <v>4</v>
      </c>
      <c r="AO148">
        <v>21</v>
      </c>
      <c r="AP148">
        <v>7</v>
      </c>
      <c r="AQ148">
        <v>19</v>
      </c>
      <c r="AR148">
        <v>8</v>
      </c>
      <c r="AS148">
        <v>5</v>
      </c>
    </row>
    <row r="149" spans="1:45" x14ac:dyDescent="0.25">
      <c r="A149">
        <v>13</v>
      </c>
      <c r="B149" t="s">
        <v>387</v>
      </c>
      <c r="C149">
        <v>1</v>
      </c>
      <c r="D149">
        <v>0</v>
      </c>
      <c r="E149" t="s">
        <v>398</v>
      </c>
      <c r="K149">
        <f>Scores_and_Fixtures[[#This Row],[Wk]]</f>
        <v>13</v>
      </c>
      <c r="L149" t="str">
        <f>Scores_and_Fixtures[[#This Row],[Home]]</f>
        <v>Leicester City</v>
      </c>
      <c r="M149">
        <f ca="1">IF(ISBLANK(Scores_and_Fixtures[[#This Row],[Home Score]])=FALSE,Scores_and_Fixtures[[#This Row],[Home Score]],_xlfn.BINOM.INV(10000,(VLOOKUP(L149,$CK$4:$CM$27,2,FALSE)*VLOOKUP(O149,$CK$4:$CM$27,3,FALSE)*($CM$2/2))/10000,RAND()))</f>
        <v>1</v>
      </c>
      <c r="N149">
        <f ca="1">IF(ISBLANK(Scores_and_Fixtures[[#This Row],[Away Score]])=FALSE,Scores_and_Fixtures[[#This Row],[Away Score]],_xlfn.BINOM.INV(10000,(VLOOKUP(O149,$CK$4:$CM$27,2,FALSE)*VLOOKUP(L149,$CK$4:$CM$27,3,FALSE)*($CM$2/2))/10000,RAND()))</f>
        <v>0</v>
      </c>
      <c r="O149" t="str">
        <f>Scores_and_Fixtures[[#This Row],[Away]]</f>
        <v>Sunderland</v>
      </c>
      <c r="U149">
        <v>48</v>
      </c>
      <c r="V149">
        <v>17</v>
      </c>
      <c r="W149">
        <v>9</v>
      </c>
      <c r="X149">
        <v>10</v>
      </c>
      <c r="Y149">
        <v>13</v>
      </c>
      <c r="Z149">
        <v>14</v>
      </c>
      <c r="AA149">
        <v>19</v>
      </c>
      <c r="AB149">
        <v>5</v>
      </c>
      <c r="AC149">
        <v>3</v>
      </c>
      <c r="AD149">
        <v>2</v>
      </c>
      <c r="AE149">
        <v>1</v>
      </c>
      <c r="AF149">
        <v>11</v>
      </c>
      <c r="AG149">
        <v>21</v>
      </c>
      <c r="AH149">
        <v>15</v>
      </c>
      <c r="AI149">
        <v>18</v>
      </c>
      <c r="AJ149">
        <v>16</v>
      </c>
      <c r="AK149">
        <v>22</v>
      </c>
      <c r="AL149">
        <v>23</v>
      </c>
      <c r="AM149">
        <v>24</v>
      </c>
      <c r="AN149">
        <v>6</v>
      </c>
      <c r="AO149">
        <v>20</v>
      </c>
      <c r="AP149">
        <v>8</v>
      </c>
      <c r="AQ149">
        <v>12</v>
      </c>
      <c r="AR149">
        <v>4</v>
      </c>
      <c r="AS149">
        <v>7</v>
      </c>
    </row>
    <row r="150" spans="1:45" x14ac:dyDescent="0.25">
      <c r="A150">
        <v>13</v>
      </c>
      <c r="B150" t="s">
        <v>401</v>
      </c>
      <c r="C150">
        <v>2</v>
      </c>
      <c r="D150">
        <v>0</v>
      </c>
      <c r="E150" t="s">
        <v>393</v>
      </c>
      <c r="K150">
        <f>Scores_and_Fixtures[[#This Row],[Wk]]</f>
        <v>13</v>
      </c>
      <c r="L150" t="str">
        <f>Scores_and_Fixtures[[#This Row],[Home]]</f>
        <v>West Brom</v>
      </c>
      <c r="M150">
        <f ca="1">IF(ISBLANK(Scores_and_Fixtures[[#This Row],[Home Score]])=FALSE,Scores_and_Fixtures[[#This Row],[Home Score]],_xlfn.BINOM.INV(10000,(VLOOKUP(L150,$CK$4:$CM$27,2,FALSE)*VLOOKUP(O150,$CK$4:$CM$27,3,FALSE)*($CM$2/2))/10000,RAND()))</f>
        <v>2</v>
      </c>
      <c r="N150">
        <f ca="1">IF(ISBLANK(Scores_and_Fixtures[[#This Row],[Away Score]])=FALSE,Scores_and_Fixtures[[#This Row],[Away Score]],_xlfn.BINOM.INV(10000,(VLOOKUP(O150,$CK$4:$CM$27,2,FALSE)*VLOOKUP(L150,$CK$4:$CM$27,3,FALSE)*($CM$2/2))/10000,RAND()))</f>
        <v>0</v>
      </c>
      <c r="O150" t="str">
        <f>Scores_and_Fixtures[[#This Row],[Away]]</f>
        <v>QPR</v>
      </c>
      <c r="U150">
        <v>49</v>
      </c>
      <c r="V150">
        <v>12</v>
      </c>
      <c r="W150">
        <v>8</v>
      </c>
      <c r="X150">
        <v>16</v>
      </c>
      <c r="Y150">
        <v>14</v>
      </c>
      <c r="Z150">
        <v>13</v>
      </c>
      <c r="AA150">
        <v>21</v>
      </c>
      <c r="AB150">
        <v>7</v>
      </c>
      <c r="AC150">
        <v>2</v>
      </c>
      <c r="AD150">
        <v>5</v>
      </c>
      <c r="AE150">
        <v>1</v>
      </c>
      <c r="AF150">
        <v>15</v>
      </c>
      <c r="AG150">
        <v>17</v>
      </c>
      <c r="AH150">
        <v>10</v>
      </c>
      <c r="AI150">
        <v>19</v>
      </c>
      <c r="AJ150">
        <v>18</v>
      </c>
      <c r="AK150">
        <v>22</v>
      </c>
      <c r="AL150">
        <v>23</v>
      </c>
      <c r="AM150">
        <v>24</v>
      </c>
      <c r="AN150">
        <v>3</v>
      </c>
      <c r="AO150">
        <v>20</v>
      </c>
      <c r="AP150">
        <v>4</v>
      </c>
      <c r="AQ150">
        <v>11</v>
      </c>
      <c r="AR150">
        <v>9</v>
      </c>
      <c r="AS150">
        <v>6</v>
      </c>
    </row>
    <row r="151" spans="1:45" x14ac:dyDescent="0.25">
      <c r="A151">
        <v>13</v>
      </c>
      <c r="B151" t="s">
        <v>380</v>
      </c>
      <c r="C151">
        <v>0</v>
      </c>
      <c r="D151">
        <v>1</v>
      </c>
      <c r="E151" t="s">
        <v>385</v>
      </c>
      <c r="K151">
        <f>Scores_and_Fixtures[[#This Row],[Wk]]</f>
        <v>13</v>
      </c>
      <c r="L151" t="str">
        <f>Scores_and_Fixtures[[#This Row],[Home]]</f>
        <v>Bristol City</v>
      </c>
      <c r="M151">
        <f ca="1">IF(ISBLANK(Scores_and_Fixtures[[#This Row],[Home Score]])=FALSE,Scores_and_Fixtures[[#This Row],[Home Score]],_xlfn.BINOM.INV(10000,(VLOOKUP(L151,$CK$4:$CM$27,2,FALSE)*VLOOKUP(O151,$CK$4:$CM$27,3,FALSE)*($CM$2/2))/10000,RAND()))</f>
        <v>0</v>
      </c>
      <c r="N151">
        <f ca="1">IF(ISBLANK(Scores_and_Fixtures[[#This Row],[Away Score]])=FALSE,Scores_and_Fixtures[[#This Row],[Away Score]],_xlfn.BINOM.INV(10000,(VLOOKUP(O151,$CK$4:$CM$27,2,FALSE)*VLOOKUP(L151,$CK$4:$CM$27,3,FALSE)*($CM$2/2))/10000,RAND()))</f>
        <v>1</v>
      </c>
      <c r="O151" t="str">
        <f>Scores_and_Fixtures[[#This Row],[Away]]</f>
        <v>Ipswich Town</v>
      </c>
      <c r="U151">
        <v>50</v>
      </c>
      <c r="V151">
        <v>16</v>
      </c>
      <c r="W151">
        <v>10</v>
      </c>
      <c r="X151">
        <v>15</v>
      </c>
      <c r="Y151">
        <v>9</v>
      </c>
      <c r="Z151">
        <v>12</v>
      </c>
      <c r="AA151">
        <v>20</v>
      </c>
      <c r="AB151">
        <v>11</v>
      </c>
      <c r="AC151">
        <v>3</v>
      </c>
      <c r="AD151">
        <v>2</v>
      </c>
      <c r="AE151">
        <v>1</v>
      </c>
      <c r="AF151">
        <v>8</v>
      </c>
      <c r="AG151">
        <v>14</v>
      </c>
      <c r="AH151">
        <v>13</v>
      </c>
      <c r="AI151">
        <v>19</v>
      </c>
      <c r="AJ151">
        <v>18</v>
      </c>
      <c r="AK151">
        <v>22</v>
      </c>
      <c r="AL151">
        <v>23</v>
      </c>
      <c r="AM151">
        <v>24</v>
      </c>
      <c r="AN151">
        <v>5</v>
      </c>
      <c r="AO151">
        <v>21</v>
      </c>
      <c r="AP151">
        <v>7</v>
      </c>
      <c r="AQ151">
        <v>17</v>
      </c>
      <c r="AR151">
        <v>6</v>
      </c>
      <c r="AS151">
        <v>4</v>
      </c>
    </row>
    <row r="152" spans="1:45" x14ac:dyDescent="0.25">
      <c r="A152">
        <v>13</v>
      </c>
      <c r="B152" t="s">
        <v>392</v>
      </c>
      <c r="C152">
        <v>2</v>
      </c>
      <c r="D152">
        <v>2</v>
      </c>
      <c r="E152" t="s">
        <v>396</v>
      </c>
      <c r="K152">
        <f>Scores_and_Fixtures[[#This Row],[Wk]]</f>
        <v>13</v>
      </c>
      <c r="L152" t="str">
        <f>Scores_and_Fixtures[[#This Row],[Home]]</f>
        <v>Preston</v>
      </c>
      <c r="M152">
        <f ca="1">IF(ISBLANK(Scores_and_Fixtures[[#This Row],[Home Score]])=FALSE,Scores_and_Fixtures[[#This Row],[Home Score]],_xlfn.BINOM.INV(10000,(VLOOKUP(L152,$CK$4:$CM$27,2,FALSE)*VLOOKUP(O152,$CK$4:$CM$27,3,FALSE)*($CM$2/2))/10000,RAND()))</f>
        <v>2</v>
      </c>
      <c r="N152">
        <f ca="1">IF(ISBLANK(Scores_and_Fixtures[[#This Row],[Away Score]])=FALSE,Scores_and_Fixtures[[#This Row],[Away Score]],_xlfn.BINOM.INV(10000,(VLOOKUP(O152,$CK$4:$CM$27,2,FALSE)*VLOOKUP(L152,$CK$4:$CM$27,3,FALSE)*($CM$2/2))/10000,RAND()))</f>
        <v>2</v>
      </c>
      <c r="O152" t="str">
        <f>Scores_and_Fixtures[[#This Row],[Away]]</f>
        <v>Southampton</v>
      </c>
      <c r="U152">
        <v>51</v>
      </c>
      <c r="V152">
        <v>21</v>
      </c>
      <c r="W152">
        <v>10</v>
      </c>
      <c r="X152">
        <v>9</v>
      </c>
      <c r="Y152">
        <v>16</v>
      </c>
      <c r="Z152">
        <v>13</v>
      </c>
      <c r="AA152">
        <v>20</v>
      </c>
      <c r="AB152">
        <v>5</v>
      </c>
      <c r="AC152">
        <v>2</v>
      </c>
      <c r="AD152">
        <v>3</v>
      </c>
      <c r="AE152">
        <v>1</v>
      </c>
      <c r="AF152">
        <v>11</v>
      </c>
      <c r="AG152">
        <v>14</v>
      </c>
      <c r="AH152">
        <v>15</v>
      </c>
      <c r="AI152">
        <v>17</v>
      </c>
      <c r="AJ152">
        <v>12</v>
      </c>
      <c r="AK152">
        <v>22</v>
      </c>
      <c r="AL152">
        <v>24</v>
      </c>
      <c r="AM152">
        <v>23</v>
      </c>
      <c r="AN152">
        <v>6</v>
      </c>
      <c r="AO152">
        <v>18</v>
      </c>
      <c r="AP152">
        <v>7</v>
      </c>
      <c r="AQ152">
        <v>19</v>
      </c>
      <c r="AR152">
        <v>8</v>
      </c>
      <c r="AS152">
        <v>4</v>
      </c>
    </row>
    <row r="153" spans="1:45" x14ac:dyDescent="0.25">
      <c r="A153">
        <v>13</v>
      </c>
      <c r="B153" t="s">
        <v>391</v>
      </c>
      <c r="C153">
        <v>3</v>
      </c>
      <c r="D153">
        <v>0</v>
      </c>
      <c r="E153" t="s">
        <v>395</v>
      </c>
      <c r="K153">
        <f>Scores_and_Fixtures[[#This Row],[Wk]]</f>
        <v>13</v>
      </c>
      <c r="L153" t="str">
        <f>Scores_and_Fixtures[[#This Row],[Home]]</f>
        <v>Plymouth Argyle</v>
      </c>
      <c r="M153">
        <f ca="1">IF(ISBLANK(Scores_and_Fixtures[[#This Row],[Home Score]])=FALSE,Scores_and_Fixtures[[#This Row],[Home Score]],_xlfn.BINOM.INV(10000,(VLOOKUP(L153,$CK$4:$CM$27,2,FALSE)*VLOOKUP(O153,$CK$4:$CM$27,3,FALSE)*($CM$2/2))/10000,RAND()))</f>
        <v>3</v>
      </c>
      <c r="N153">
        <f ca="1">IF(ISBLANK(Scores_and_Fixtures[[#This Row],[Away Score]])=FALSE,Scores_and_Fixtures[[#This Row],[Away Score]],_xlfn.BINOM.INV(10000,(VLOOKUP(O153,$CK$4:$CM$27,2,FALSE)*VLOOKUP(L153,$CK$4:$CM$27,3,FALSE)*($CM$2/2))/10000,RAND()))</f>
        <v>0</v>
      </c>
      <c r="O153" t="str">
        <f>Scores_and_Fixtures[[#This Row],[Away]]</f>
        <v>Sheffield Weds</v>
      </c>
      <c r="U153">
        <v>52</v>
      </c>
      <c r="V153">
        <v>19</v>
      </c>
      <c r="W153">
        <v>10</v>
      </c>
      <c r="X153">
        <v>12</v>
      </c>
      <c r="Y153">
        <v>5</v>
      </c>
      <c r="Z153">
        <v>8</v>
      </c>
      <c r="AA153">
        <v>22</v>
      </c>
      <c r="AB153">
        <v>6</v>
      </c>
      <c r="AC153">
        <v>1</v>
      </c>
      <c r="AD153">
        <v>4</v>
      </c>
      <c r="AE153">
        <v>3</v>
      </c>
      <c r="AF153">
        <v>14</v>
      </c>
      <c r="AG153">
        <v>21</v>
      </c>
      <c r="AH153">
        <v>16</v>
      </c>
      <c r="AI153">
        <v>13</v>
      </c>
      <c r="AJ153">
        <v>15</v>
      </c>
      <c r="AK153">
        <v>20</v>
      </c>
      <c r="AL153">
        <v>24</v>
      </c>
      <c r="AM153">
        <v>23</v>
      </c>
      <c r="AN153">
        <v>2</v>
      </c>
      <c r="AO153">
        <v>18</v>
      </c>
      <c r="AP153">
        <v>11</v>
      </c>
      <c r="AQ153">
        <v>17</v>
      </c>
      <c r="AR153">
        <v>9</v>
      </c>
      <c r="AS153">
        <v>7</v>
      </c>
    </row>
    <row r="154" spans="1:45" x14ac:dyDescent="0.25">
      <c r="A154">
        <v>13</v>
      </c>
      <c r="B154" t="s">
        <v>378</v>
      </c>
      <c r="C154">
        <v>0</v>
      </c>
      <c r="D154">
        <v>2</v>
      </c>
      <c r="E154" t="s">
        <v>384</v>
      </c>
      <c r="K154">
        <f>Scores_and_Fixtures[[#This Row],[Wk]]</f>
        <v>13</v>
      </c>
      <c r="L154" t="str">
        <f>Scores_and_Fixtures[[#This Row],[Home]]</f>
        <v>Birmingham City</v>
      </c>
      <c r="M154">
        <f ca="1">IF(ISBLANK(Scores_and_Fixtures[[#This Row],[Home Score]])=FALSE,Scores_and_Fixtures[[#This Row],[Home Score]],_xlfn.BINOM.INV(10000,(VLOOKUP(L154,$CK$4:$CM$27,2,FALSE)*VLOOKUP(O154,$CK$4:$CM$27,3,FALSE)*($CM$2/2))/10000,RAND()))</f>
        <v>0</v>
      </c>
      <c r="N154">
        <f ca="1">IF(ISBLANK(Scores_and_Fixtures[[#This Row],[Away Score]])=FALSE,Scores_and_Fixtures[[#This Row],[Away Score]],_xlfn.BINOM.INV(10000,(VLOOKUP(O154,$CK$4:$CM$27,2,FALSE)*VLOOKUP(L154,$CK$4:$CM$27,3,FALSE)*($CM$2/2))/10000,RAND()))</f>
        <v>2</v>
      </c>
      <c r="O154" t="str">
        <f>Scores_and_Fixtures[[#This Row],[Away]]</f>
        <v>Hull City</v>
      </c>
      <c r="U154">
        <v>53</v>
      </c>
      <c r="V154">
        <v>15</v>
      </c>
      <c r="W154">
        <v>6</v>
      </c>
      <c r="X154">
        <v>17</v>
      </c>
      <c r="Y154">
        <v>14</v>
      </c>
      <c r="Z154">
        <v>11</v>
      </c>
      <c r="AA154">
        <v>20</v>
      </c>
      <c r="AB154">
        <v>5</v>
      </c>
      <c r="AC154">
        <v>3</v>
      </c>
      <c r="AD154">
        <v>2</v>
      </c>
      <c r="AE154">
        <v>1</v>
      </c>
      <c r="AF154">
        <v>12</v>
      </c>
      <c r="AG154">
        <v>21</v>
      </c>
      <c r="AH154">
        <v>13</v>
      </c>
      <c r="AI154">
        <v>18</v>
      </c>
      <c r="AJ154">
        <v>8</v>
      </c>
      <c r="AK154">
        <v>22</v>
      </c>
      <c r="AL154">
        <v>24</v>
      </c>
      <c r="AM154">
        <v>23</v>
      </c>
      <c r="AN154">
        <v>4</v>
      </c>
      <c r="AO154">
        <v>19</v>
      </c>
      <c r="AP154">
        <v>10</v>
      </c>
      <c r="AQ154">
        <v>16</v>
      </c>
      <c r="AR154">
        <v>7</v>
      </c>
      <c r="AS154">
        <v>9</v>
      </c>
    </row>
    <row r="155" spans="1:45" x14ac:dyDescent="0.25">
      <c r="A155">
        <v>13</v>
      </c>
      <c r="B155" t="s">
        <v>394</v>
      </c>
      <c r="C155">
        <v>2</v>
      </c>
      <c r="D155">
        <v>0</v>
      </c>
      <c r="E155" t="s">
        <v>382</v>
      </c>
      <c r="K155">
        <f>Scores_and_Fixtures[[#This Row],[Wk]]</f>
        <v>13</v>
      </c>
      <c r="L155" t="str">
        <f>Scores_and_Fixtures[[#This Row],[Home]]</f>
        <v>Rotherham Utd</v>
      </c>
      <c r="M155">
        <f ca="1">IF(ISBLANK(Scores_and_Fixtures[[#This Row],[Home Score]])=FALSE,Scores_and_Fixtures[[#This Row],[Home Score]],_xlfn.BINOM.INV(10000,(VLOOKUP(L155,$CK$4:$CM$27,2,FALSE)*VLOOKUP(O155,$CK$4:$CM$27,3,FALSE)*($CM$2/2))/10000,RAND()))</f>
        <v>2</v>
      </c>
      <c r="N155">
        <f ca="1">IF(ISBLANK(Scores_and_Fixtures[[#This Row],[Away Score]])=FALSE,Scores_and_Fixtures[[#This Row],[Away Score]],_xlfn.BINOM.INV(10000,(VLOOKUP(O155,$CK$4:$CM$27,2,FALSE)*VLOOKUP(L155,$CK$4:$CM$27,3,FALSE)*($CM$2/2))/10000,RAND()))</f>
        <v>0</v>
      </c>
      <c r="O155" t="str">
        <f>Scores_and_Fixtures[[#This Row],[Away]]</f>
        <v>Coventry City</v>
      </c>
      <c r="U155">
        <v>54</v>
      </c>
      <c r="V155">
        <v>17</v>
      </c>
      <c r="W155">
        <v>10</v>
      </c>
      <c r="X155">
        <v>12</v>
      </c>
      <c r="Y155">
        <v>13</v>
      </c>
      <c r="Z155">
        <v>19</v>
      </c>
      <c r="AA155">
        <v>21</v>
      </c>
      <c r="AB155">
        <v>5</v>
      </c>
      <c r="AC155">
        <v>2</v>
      </c>
      <c r="AD155">
        <v>3</v>
      </c>
      <c r="AE155">
        <v>1</v>
      </c>
      <c r="AF155">
        <v>14</v>
      </c>
      <c r="AG155">
        <v>18</v>
      </c>
      <c r="AH155">
        <v>8</v>
      </c>
      <c r="AI155">
        <v>16</v>
      </c>
      <c r="AJ155">
        <v>11</v>
      </c>
      <c r="AK155">
        <v>23</v>
      </c>
      <c r="AL155">
        <v>24</v>
      </c>
      <c r="AM155">
        <v>22</v>
      </c>
      <c r="AN155">
        <v>4</v>
      </c>
      <c r="AO155">
        <v>20</v>
      </c>
      <c r="AP155">
        <v>6</v>
      </c>
      <c r="AQ155">
        <v>9</v>
      </c>
      <c r="AR155">
        <v>15</v>
      </c>
      <c r="AS155">
        <v>7</v>
      </c>
    </row>
    <row r="156" spans="1:45" x14ac:dyDescent="0.25">
      <c r="A156">
        <v>13</v>
      </c>
      <c r="B156" t="s">
        <v>397</v>
      </c>
      <c r="C156">
        <v>1</v>
      </c>
      <c r="D156">
        <v>0</v>
      </c>
      <c r="E156" t="s">
        <v>386</v>
      </c>
      <c r="K156">
        <f>Scores_and_Fixtures[[#This Row],[Wk]]</f>
        <v>13</v>
      </c>
      <c r="L156" t="str">
        <f>Scores_and_Fixtures[[#This Row],[Home]]</f>
        <v>Stoke City</v>
      </c>
      <c r="M156">
        <f ca="1">IF(ISBLANK(Scores_and_Fixtures[[#This Row],[Home Score]])=FALSE,Scores_and_Fixtures[[#This Row],[Home Score]],_xlfn.BINOM.INV(10000,(VLOOKUP(L156,$CK$4:$CM$27,2,FALSE)*VLOOKUP(O156,$CK$4:$CM$27,3,FALSE)*($CM$2/2))/10000,RAND()))</f>
        <v>1</v>
      </c>
      <c r="N156">
        <f ca="1">IF(ISBLANK(Scores_and_Fixtures[[#This Row],[Away Score]])=FALSE,Scores_and_Fixtures[[#This Row],[Away Score]],_xlfn.BINOM.INV(10000,(VLOOKUP(O156,$CK$4:$CM$27,2,FALSE)*VLOOKUP(L156,$CK$4:$CM$27,3,FALSE)*($CM$2/2))/10000,RAND()))</f>
        <v>0</v>
      </c>
      <c r="O156" t="str">
        <f>Scores_and_Fixtures[[#This Row],[Away]]</f>
        <v>Leeds United</v>
      </c>
      <c r="U156">
        <v>55</v>
      </c>
      <c r="V156">
        <v>15</v>
      </c>
      <c r="W156">
        <v>13</v>
      </c>
      <c r="X156">
        <v>12</v>
      </c>
      <c r="Y156">
        <v>7</v>
      </c>
      <c r="Z156">
        <v>16</v>
      </c>
      <c r="AA156">
        <v>22</v>
      </c>
      <c r="AB156">
        <v>5</v>
      </c>
      <c r="AC156">
        <v>3</v>
      </c>
      <c r="AD156">
        <v>4</v>
      </c>
      <c r="AE156">
        <v>1</v>
      </c>
      <c r="AF156">
        <v>6</v>
      </c>
      <c r="AG156">
        <v>21</v>
      </c>
      <c r="AH156">
        <v>9</v>
      </c>
      <c r="AI156">
        <v>17</v>
      </c>
      <c r="AJ156">
        <v>14</v>
      </c>
      <c r="AK156">
        <v>20</v>
      </c>
      <c r="AL156">
        <v>24</v>
      </c>
      <c r="AM156">
        <v>23</v>
      </c>
      <c r="AN156">
        <v>2</v>
      </c>
      <c r="AO156">
        <v>19</v>
      </c>
      <c r="AP156">
        <v>10</v>
      </c>
      <c r="AQ156">
        <v>18</v>
      </c>
      <c r="AR156">
        <v>8</v>
      </c>
      <c r="AS156">
        <v>11</v>
      </c>
    </row>
    <row r="157" spans="1:45" x14ac:dyDescent="0.25">
      <c r="A157">
        <v>14</v>
      </c>
      <c r="B157" t="s">
        <v>386</v>
      </c>
      <c r="C157">
        <v>4</v>
      </c>
      <c r="D157">
        <v>1</v>
      </c>
      <c r="E157" t="s">
        <v>383</v>
      </c>
      <c r="K157">
        <f>Scores_and_Fixtures[[#This Row],[Wk]]</f>
        <v>14</v>
      </c>
      <c r="L157" t="str">
        <f>Scores_and_Fixtures[[#This Row],[Home]]</f>
        <v>Leeds United</v>
      </c>
      <c r="M157">
        <f ca="1">IF(ISBLANK(Scores_and_Fixtures[[#This Row],[Home Score]])=FALSE,Scores_and_Fixtures[[#This Row],[Home Score]],_xlfn.BINOM.INV(10000,(VLOOKUP(L157,$CK$4:$CM$27,2,FALSE)*VLOOKUP(O157,$CK$4:$CM$27,3,FALSE)*($CM$2/2))/10000,RAND()))</f>
        <v>4</v>
      </c>
      <c r="N157">
        <f ca="1">IF(ISBLANK(Scores_and_Fixtures[[#This Row],[Away Score]])=FALSE,Scores_and_Fixtures[[#This Row],[Away Score]],_xlfn.BINOM.INV(10000,(VLOOKUP(O157,$CK$4:$CM$27,2,FALSE)*VLOOKUP(L157,$CK$4:$CM$27,3,FALSE)*($CM$2/2))/10000,RAND()))</f>
        <v>1</v>
      </c>
      <c r="O157" t="str">
        <f>Scores_and_Fixtures[[#This Row],[Away]]</f>
        <v>Huddersfield</v>
      </c>
      <c r="U157">
        <v>56</v>
      </c>
      <c r="V157">
        <v>21</v>
      </c>
      <c r="W157">
        <v>12</v>
      </c>
      <c r="X157">
        <v>16</v>
      </c>
      <c r="Y157">
        <v>10</v>
      </c>
      <c r="Z157">
        <v>13</v>
      </c>
      <c r="AA157">
        <v>20</v>
      </c>
      <c r="AB157">
        <v>5</v>
      </c>
      <c r="AC157">
        <v>3</v>
      </c>
      <c r="AD157">
        <v>2</v>
      </c>
      <c r="AE157">
        <v>1</v>
      </c>
      <c r="AF157">
        <v>7</v>
      </c>
      <c r="AG157">
        <v>17</v>
      </c>
      <c r="AH157">
        <v>15</v>
      </c>
      <c r="AI157">
        <v>11</v>
      </c>
      <c r="AJ157">
        <v>14</v>
      </c>
      <c r="AK157">
        <v>22</v>
      </c>
      <c r="AL157">
        <v>24</v>
      </c>
      <c r="AM157">
        <v>23</v>
      </c>
      <c r="AN157">
        <v>4</v>
      </c>
      <c r="AO157">
        <v>18</v>
      </c>
      <c r="AP157">
        <v>9</v>
      </c>
      <c r="AQ157">
        <v>19</v>
      </c>
      <c r="AR157">
        <v>8</v>
      </c>
      <c r="AS157">
        <v>6</v>
      </c>
    </row>
    <row r="158" spans="1:45" x14ac:dyDescent="0.25">
      <c r="A158">
        <v>14</v>
      </c>
      <c r="B158" t="s">
        <v>396</v>
      </c>
      <c r="C158">
        <v>3</v>
      </c>
      <c r="D158">
        <v>1</v>
      </c>
      <c r="E158" t="s">
        <v>378</v>
      </c>
      <c r="K158">
        <f>Scores_and_Fixtures[[#This Row],[Wk]]</f>
        <v>14</v>
      </c>
      <c r="L158" t="str">
        <f>Scores_and_Fixtures[[#This Row],[Home]]</f>
        <v>Southampton</v>
      </c>
      <c r="M158">
        <f ca="1">IF(ISBLANK(Scores_and_Fixtures[[#This Row],[Home Score]])=FALSE,Scores_and_Fixtures[[#This Row],[Home Score]],_xlfn.BINOM.INV(10000,(VLOOKUP(L158,$CK$4:$CM$27,2,FALSE)*VLOOKUP(O158,$CK$4:$CM$27,3,FALSE)*($CM$2/2))/10000,RAND()))</f>
        <v>3</v>
      </c>
      <c r="N158">
        <f ca="1">IF(ISBLANK(Scores_and_Fixtures[[#This Row],[Away Score]])=FALSE,Scores_and_Fixtures[[#This Row],[Away Score]],_xlfn.BINOM.INV(10000,(VLOOKUP(O158,$CK$4:$CM$27,2,FALSE)*VLOOKUP(L158,$CK$4:$CM$27,3,FALSE)*($CM$2/2))/10000,RAND()))</f>
        <v>1</v>
      </c>
      <c r="O158" t="str">
        <f>Scores_and_Fixtures[[#This Row],[Away]]</f>
        <v>Birmingham City</v>
      </c>
      <c r="U158">
        <v>57</v>
      </c>
      <c r="V158">
        <v>13</v>
      </c>
      <c r="W158">
        <v>10</v>
      </c>
      <c r="X158">
        <v>17</v>
      </c>
      <c r="Y158">
        <v>8</v>
      </c>
      <c r="Z158">
        <v>12</v>
      </c>
      <c r="AA158">
        <v>19</v>
      </c>
      <c r="AB158">
        <v>6</v>
      </c>
      <c r="AC158">
        <v>2</v>
      </c>
      <c r="AD158">
        <v>5</v>
      </c>
      <c r="AE158">
        <v>1</v>
      </c>
      <c r="AF158">
        <v>18</v>
      </c>
      <c r="AG158">
        <v>21</v>
      </c>
      <c r="AH158">
        <v>4</v>
      </c>
      <c r="AI158">
        <v>15</v>
      </c>
      <c r="AJ158">
        <v>16</v>
      </c>
      <c r="AK158">
        <v>22</v>
      </c>
      <c r="AL158">
        <v>23</v>
      </c>
      <c r="AM158">
        <v>24</v>
      </c>
      <c r="AN158">
        <v>3</v>
      </c>
      <c r="AO158">
        <v>20</v>
      </c>
      <c r="AP158">
        <v>11</v>
      </c>
      <c r="AQ158">
        <v>14</v>
      </c>
      <c r="AR158">
        <v>9</v>
      </c>
      <c r="AS158">
        <v>7</v>
      </c>
    </row>
    <row r="159" spans="1:45" x14ac:dyDescent="0.25">
      <c r="A159">
        <v>14</v>
      </c>
      <c r="B159" t="s">
        <v>385</v>
      </c>
      <c r="C159">
        <v>3</v>
      </c>
      <c r="D159">
        <v>2</v>
      </c>
      <c r="E159" t="s">
        <v>391</v>
      </c>
      <c r="K159">
        <f>Scores_and_Fixtures[[#This Row],[Wk]]</f>
        <v>14</v>
      </c>
      <c r="L159" t="str">
        <f>Scores_and_Fixtures[[#This Row],[Home]]</f>
        <v>Ipswich Town</v>
      </c>
      <c r="M159">
        <f ca="1">IF(ISBLANK(Scores_and_Fixtures[[#This Row],[Home Score]])=FALSE,Scores_and_Fixtures[[#This Row],[Home Score]],_xlfn.BINOM.INV(10000,(VLOOKUP(L159,$CK$4:$CM$27,2,FALSE)*VLOOKUP(O159,$CK$4:$CM$27,3,FALSE)*($CM$2/2))/10000,RAND()))</f>
        <v>3</v>
      </c>
      <c r="N159">
        <f ca="1">IF(ISBLANK(Scores_and_Fixtures[[#This Row],[Away Score]])=FALSE,Scores_and_Fixtures[[#This Row],[Away Score]],_xlfn.BINOM.INV(10000,(VLOOKUP(O159,$CK$4:$CM$27,2,FALSE)*VLOOKUP(L159,$CK$4:$CM$27,3,FALSE)*($CM$2/2))/10000,RAND()))</f>
        <v>2</v>
      </c>
      <c r="O159" t="str">
        <f>Scores_and_Fixtures[[#This Row],[Away]]</f>
        <v>Plymouth Argyle</v>
      </c>
      <c r="U159">
        <v>58</v>
      </c>
      <c r="V159">
        <v>14</v>
      </c>
      <c r="W159">
        <v>8</v>
      </c>
      <c r="X159">
        <v>12</v>
      </c>
      <c r="Y159">
        <v>13</v>
      </c>
      <c r="Z159">
        <v>15</v>
      </c>
      <c r="AA159">
        <v>21</v>
      </c>
      <c r="AB159">
        <v>3</v>
      </c>
      <c r="AC159">
        <v>2</v>
      </c>
      <c r="AD159">
        <v>4</v>
      </c>
      <c r="AE159">
        <v>1</v>
      </c>
      <c r="AF159">
        <v>10</v>
      </c>
      <c r="AG159">
        <v>19</v>
      </c>
      <c r="AH159">
        <v>11</v>
      </c>
      <c r="AI159">
        <v>18</v>
      </c>
      <c r="AJ159">
        <v>6</v>
      </c>
      <c r="AK159">
        <v>22</v>
      </c>
      <c r="AL159">
        <v>24</v>
      </c>
      <c r="AM159">
        <v>23</v>
      </c>
      <c r="AN159">
        <v>5</v>
      </c>
      <c r="AO159">
        <v>20</v>
      </c>
      <c r="AP159">
        <v>17</v>
      </c>
      <c r="AQ159">
        <v>16</v>
      </c>
      <c r="AR159">
        <v>9</v>
      </c>
      <c r="AS159">
        <v>7</v>
      </c>
    </row>
    <row r="160" spans="1:45" x14ac:dyDescent="0.25">
      <c r="A160">
        <v>14</v>
      </c>
      <c r="B160" t="s">
        <v>398</v>
      </c>
      <c r="C160">
        <v>3</v>
      </c>
      <c r="D160">
        <v>1</v>
      </c>
      <c r="E160" t="s">
        <v>390</v>
      </c>
      <c r="K160">
        <f>Scores_and_Fixtures[[#This Row],[Wk]]</f>
        <v>14</v>
      </c>
      <c r="L160" t="str">
        <f>Scores_and_Fixtures[[#This Row],[Home]]</f>
        <v>Sunderland</v>
      </c>
      <c r="M160">
        <f ca="1">IF(ISBLANK(Scores_and_Fixtures[[#This Row],[Home Score]])=FALSE,Scores_and_Fixtures[[#This Row],[Home Score]],_xlfn.BINOM.INV(10000,(VLOOKUP(L160,$CK$4:$CM$27,2,FALSE)*VLOOKUP(O160,$CK$4:$CM$27,3,FALSE)*($CM$2/2))/10000,RAND()))</f>
        <v>3</v>
      </c>
      <c r="N160">
        <f ca="1">IF(ISBLANK(Scores_and_Fixtures[[#This Row],[Away Score]])=FALSE,Scores_and_Fixtures[[#This Row],[Away Score]],_xlfn.BINOM.INV(10000,(VLOOKUP(O160,$CK$4:$CM$27,2,FALSE)*VLOOKUP(L160,$CK$4:$CM$27,3,FALSE)*($CM$2/2))/10000,RAND()))</f>
        <v>1</v>
      </c>
      <c r="O160" t="str">
        <f>Scores_and_Fixtures[[#This Row],[Away]]</f>
        <v>Norwich City</v>
      </c>
      <c r="U160">
        <v>59</v>
      </c>
      <c r="V160">
        <v>19</v>
      </c>
      <c r="W160">
        <v>11</v>
      </c>
      <c r="X160">
        <v>15</v>
      </c>
      <c r="Y160">
        <v>12</v>
      </c>
      <c r="Z160">
        <v>17</v>
      </c>
      <c r="AA160">
        <v>23</v>
      </c>
      <c r="AB160">
        <v>8</v>
      </c>
      <c r="AC160">
        <v>2</v>
      </c>
      <c r="AD160">
        <v>4</v>
      </c>
      <c r="AE160">
        <v>1</v>
      </c>
      <c r="AF160">
        <v>10</v>
      </c>
      <c r="AG160">
        <v>20</v>
      </c>
      <c r="AH160">
        <v>9</v>
      </c>
      <c r="AI160">
        <v>14</v>
      </c>
      <c r="AJ160">
        <v>7</v>
      </c>
      <c r="AK160">
        <v>21</v>
      </c>
      <c r="AL160">
        <v>24</v>
      </c>
      <c r="AM160">
        <v>22</v>
      </c>
      <c r="AN160">
        <v>3</v>
      </c>
      <c r="AO160">
        <v>18</v>
      </c>
      <c r="AP160">
        <v>13</v>
      </c>
      <c r="AQ160">
        <v>16</v>
      </c>
      <c r="AR160">
        <v>5</v>
      </c>
      <c r="AS160">
        <v>6</v>
      </c>
    </row>
    <row r="161" spans="1:45" x14ac:dyDescent="0.25">
      <c r="A161">
        <v>14</v>
      </c>
      <c r="B161" t="s">
        <v>400</v>
      </c>
      <c r="C161">
        <v>2</v>
      </c>
      <c r="D161">
        <v>2</v>
      </c>
      <c r="E161" t="s">
        <v>389</v>
      </c>
      <c r="K161">
        <f>Scores_and_Fixtures[[#This Row],[Wk]]</f>
        <v>14</v>
      </c>
      <c r="L161" t="str">
        <f>Scores_and_Fixtures[[#This Row],[Home]]</f>
        <v>Watford</v>
      </c>
      <c r="M161">
        <f ca="1">IF(ISBLANK(Scores_and_Fixtures[[#This Row],[Home Score]])=FALSE,Scores_and_Fixtures[[#This Row],[Home Score]],_xlfn.BINOM.INV(10000,(VLOOKUP(L161,$CK$4:$CM$27,2,FALSE)*VLOOKUP(O161,$CK$4:$CM$27,3,FALSE)*($CM$2/2))/10000,RAND()))</f>
        <v>2</v>
      </c>
      <c r="N161">
        <f ca="1">IF(ISBLANK(Scores_and_Fixtures[[#This Row],[Away Score]])=FALSE,Scores_and_Fixtures[[#This Row],[Away Score]],_xlfn.BINOM.INV(10000,(VLOOKUP(O161,$CK$4:$CM$27,2,FALSE)*VLOOKUP(L161,$CK$4:$CM$27,3,FALSE)*($CM$2/2))/10000,RAND()))</f>
        <v>2</v>
      </c>
      <c r="O161" t="str">
        <f>Scores_and_Fixtures[[#This Row],[Away]]</f>
        <v>Millwall</v>
      </c>
      <c r="U161">
        <v>60</v>
      </c>
      <c r="V161">
        <v>19</v>
      </c>
      <c r="W161">
        <v>5</v>
      </c>
      <c r="X161">
        <v>9</v>
      </c>
      <c r="Y161">
        <v>11</v>
      </c>
      <c r="Z161">
        <v>18</v>
      </c>
      <c r="AA161">
        <v>22</v>
      </c>
      <c r="AB161">
        <v>7</v>
      </c>
      <c r="AC161">
        <v>2</v>
      </c>
      <c r="AD161">
        <v>4</v>
      </c>
      <c r="AE161">
        <v>1</v>
      </c>
      <c r="AF161">
        <v>12</v>
      </c>
      <c r="AG161">
        <v>14</v>
      </c>
      <c r="AH161">
        <v>15</v>
      </c>
      <c r="AI161">
        <v>16</v>
      </c>
      <c r="AJ161">
        <v>10</v>
      </c>
      <c r="AK161">
        <v>20</v>
      </c>
      <c r="AL161">
        <v>24</v>
      </c>
      <c r="AM161">
        <v>23</v>
      </c>
      <c r="AN161">
        <v>3</v>
      </c>
      <c r="AO161">
        <v>21</v>
      </c>
      <c r="AP161">
        <v>8</v>
      </c>
      <c r="AQ161">
        <v>17</v>
      </c>
      <c r="AR161">
        <v>13</v>
      </c>
      <c r="AS161">
        <v>6</v>
      </c>
    </row>
    <row r="162" spans="1:45" x14ac:dyDescent="0.25">
      <c r="A162">
        <v>14</v>
      </c>
      <c r="B162" t="s">
        <v>381</v>
      </c>
      <c r="C162">
        <v>2</v>
      </c>
      <c r="D162">
        <v>0</v>
      </c>
      <c r="E162" t="s">
        <v>380</v>
      </c>
      <c r="K162">
        <f>Scores_and_Fixtures[[#This Row],[Wk]]</f>
        <v>14</v>
      </c>
      <c r="L162" t="str">
        <f>Scores_and_Fixtures[[#This Row],[Home]]</f>
        <v>Cardiff City</v>
      </c>
      <c r="M162">
        <f ca="1">IF(ISBLANK(Scores_and_Fixtures[[#This Row],[Home Score]])=FALSE,Scores_and_Fixtures[[#This Row],[Home Score]],_xlfn.BINOM.INV(10000,(VLOOKUP(L162,$CK$4:$CM$27,2,FALSE)*VLOOKUP(O162,$CK$4:$CM$27,3,FALSE)*($CM$2/2))/10000,RAND()))</f>
        <v>2</v>
      </c>
      <c r="N162">
        <f ca="1">IF(ISBLANK(Scores_and_Fixtures[[#This Row],[Away Score]])=FALSE,Scores_and_Fixtures[[#This Row],[Away Score]],_xlfn.BINOM.INV(10000,(VLOOKUP(O162,$CK$4:$CM$27,2,FALSE)*VLOOKUP(L162,$CK$4:$CM$27,3,FALSE)*($CM$2/2))/10000,RAND()))</f>
        <v>0</v>
      </c>
      <c r="O162" t="str">
        <f>Scores_and_Fixtures[[#This Row],[Away]]</f>
        <v>Bristol City</v>
      </c>
      <c r="U162">
        <v>61</v>
      </c>
      <c r="V162">
        <v>13</v>
      </c>
      <c r="W162">
        <v>9</v>
      </c>
      <c r="X162">
        <v>12</v>
      </c>
      <c r="Y162">
        <v>18</v>
      </c>
      <c r="Z162">
        <v>17</v>
      </c>
      <c r="AA162">
        <v>20</v>
      </c>
      <c r="AB162">
        <v>5</v>
      </c>
      <c r="AC162">
        <v>1</v>
      </c>
      <c r="AD162">
        <v>3</v>
      </c>
      <c r="AE162">
        <v>2</v>
      </c>
      <c r="AF162">
        <v>7</v>
      </c>
      <c r="AG162">
        <v>19</v>
      </c>
      <c r="AH162">
        <v>11</v>
      </c>
      <c r="AI162">
        <v>16</v>
      </c>
      <c r="AJ162">
        <v>14</v>
      </c>
      <c r="AK162">
        <v>22</v>
      </c>
      <c r="AL162">
        <v>24</v>
      </c>
      <c r="AM162">
        <v>23</v>
      </c>
      <c r="AN162">
        <v>4</v>
      </c>
      <c r="AO162">
        <v>21</v>
      </c>
      <c r="AP162">
        <v>10</v>
      </c>
      <c r="AQ162">
        <v>15</v>
      </c>
      <c r="AR162">
        <v>6</v>
      </c>
      <c r="AS162">
        <v>8</v>
      </c>
    </row>
    <row r="163" spans="1:45" x14ac:dyDescent="0.25">
      <c r="A163">
        <v>14</v>
      </c>
      <c r="B163" t="s">
        <v>393</v>
      </c>
      <c r="C163">
        <v>1</v>
      </c>
      <c r="D163">
        <v>2</v>
      </c>
      <c r="E163" t="s">
        <v>387</v>
      </c>
      <c r="K163">
        <f>Scores_and_Fixtures[[#This Row],[Wk]]</f>
        <v>14</v>
      </c>
      <c r="L163" t="str">
        <f>Scores_and_Fixtures[[#This Row],[Home]]</f>
        <v>QPR</v>
      </c>
      <c r="M163">
        <f ca="1">IF(ISBLANK(Scores_and_Fixtures[[#This Row],[Home Score]])=FALSE,Scores_and_Fixtures[[#This Row],[Home Score]],_xlfn.BINOM.INV(10000,(VLOOKUP(L163,$CK$4:$CM$27,2,FALSE)*VLOOKUP(O163,$CK$4:$CM$27,3,FALSE)*($CM$2/2))/10000,RAND()))</f>
        <v>1</v>
      </c>
      <c r="N163">
        <f ca="1">IF(ISBLANK(Scores_and_Fixtures[[#This Row],[Away Score]])=FALSE,Scores_and_Fixtures[[#This Row],[Away Score]],_xlfn.BINOM.INV(10000,(VLOOKUP(O163,$CK$4:$CM$27,2,FALSE)*VLOOKUP(L163,$CK$4:$CM$27,3,FALSE)*($CM$2/2))/10000,RAND()))</f>
        <v>2</v>
      </c>
      <c r="O163" t="str">
        <f>Scores_and_Fixtures[[#This Row],[Away]]</f>
        <v>Leicester City</v>
      </c>
      <c r="U163">
        <v>62</v>
      </c>
      <c r="V163">
        <v>19</v>
      </c>
      <c r="W163">
        <v>12</v>
      </c>
      <c r="X163">
        <v>16</v>
      </c>
      <c r="Y163">
        <v>15</v>
      </c>
      <c r="Z163">
        <v>13</v>
      </c>
      <c r="AA163">
        <v>22</v>
      </c>
      <c r="AB163">
        <v>4</v>
      </c>
      <c r="AC163">
        <v>2</v>
      </c>
      <c r="AD163">
        <v>3</v>
      </c>
      <c r="AE163">
        <v>1</v>
      </c>
      <c r="AF163">
        <v>8</v>
      </c>
      <c r="AG163">
        <v>17</v>
      </c>
      <c r="AH163">
        <v>10</v>
      </c>
      <c r="AI163">
        <v>11</v>
      </c>
      <c r="AJ163">
        <v>18</v>
      </c>
      <c r="AK163">
        <v>20</v>
      </c>
      <c r="AL163">
        <v>24</v>
      </c>
      <c r="AM163">
        <v>23</v>
      </c>
      <c r="AN163">
        <v>5</v>
      </c>
      <c r="AO163">
        <v>21</v>
      </c>
      <c r="AP163">
        <v>6</v>
      </c>
      <c r="AQ163">
        <v>14</v>
      </c>
      <c r="AR163">
        <v>9</v>
      </c>
      <c r="AS163">
        <v>7</v>
      </c>
    </row>
    <row r="164" spans="1:45" x14ac:dyDescent="0.25">
      <c r="A164">
        <v>14</v>
      </c>
      <c r="B164" t="s">
        <v>384</v>
      </c>
      <c r="C164">
        <v>1</v>
      </c>
      <c r="D164">
        <v>0</v>
      </c>
      <c r="E164" t="s">
        <v>392</v>
      </c>
      <c r="K164">
        <f>Scores_and_Fixtures[[#This Row],[Wk]]</f>
        <v>14</v>
      </c>
      <c r="L164" t="str">
        <f>Scores_and_Fixtures[[#This Row],[Home]]</f>
        <v>Hull City</v>
      </c>
      <c r="M164">
        <f ca="1">IF(ISBLANK(Scores_and_Fixtures[[#This Row],[Home Score]])=FALSE,Scores_and_Fixtures[[#This Row],[Home Score]],_xlfn.BINOM.INV(10000,(VLOOKUP(L164,$CK$4:$CM$27,2,FALSE)*VLOOKUP(O164,$CK$4:$CM$27,3,FALSE)*($CM$2/2))/10000,RAND()))</f>
        <v>1</v>
      </c>
      <c r="N164">
        <f ca="1">IF(ISBLANK(Scores_and_Fixtures[[#This Row],[Away Score]])=FALSE,Scores_and_Fixtures[[#This Row],[Away Score]],_xlfn.BINOM.INV(10000,(VLOOKUP(O164,$CK$4:$CM$27,2,FALSE)*VLOOKUP(L164,$CK$4:$CM$27,3,FALSE)*($CM$2/2))/10000,RAND()))</f>
        <v>0</v>
      </c>
      <c r="O164" t="str">
        <f>Scores_and_Fixtures[[#This Row],[Away]]</f>
        <v>Preston</v>
      </c>
      <c r="U164">
        <v>63</v>
      </c>
      <c r="V164">
        <v>14</v>
      </c>
      <c r="W164">
        <v>7</v>
      </c>
      <c r="X164">
        <v>16</v>
      </c>
      <c r="Y164">
        <v>9</v>
      </c>
      <c r="Z164">
        <v>17</v>
      </c>
      <c r="AA164">
        <v>22</v>
      </c>
      <c r="AB164">
        <v>6</v>
      </c>
      <c r="AC164">
        <v>2</v>
      </c>
      <c r="AD164">
        <v>3</v>
      </c>
      <c r="AE164">
        <v>1</v>
      </c>
      <c r="AF164">
        <v>10</v>
      </c>
      <c r="AG164">
        <v>15</v>
      </c>
      <c r="AH164">
        <v>11</v>
      </c>
      <c r="AI164">
        <v>13</v>
      </c>
      <c r="AJ164">
        <v>12</v>
      </c>
      <c r="AK164">
        <v>20</v>
      </c>
      <c r="AL164">
        <v>24</v>
      </c>
      <c r="AM164">
        <v>23</v>
      </c>
      <c r="AN164">
        <v>4</v>
      </c>
      <c r="AO164">
        <v>21</v>
      </c>
      <c r="AP164">
        <v>8</v>
      </c>
      <c r="AQ164">
        <v>18</v>
      </c>
      <c r="AR164">
        <v>19</v>
      </c>
      <c r="AS164">
        <v>5</v>
      </c>
    </row>
    <row r="165" spans="1:45" x14ac:dyDescent="0.25">
      <c r="A165">
        <v>14</v>
      </c>
      <c r="B165" t="s">
        <v>379</v>
      </c>
      <c r="C165">
        <v>0</v>
      </c>
      <c r="D165">
        <v>1</v>
      </c>
      <c r="E165" t="s">
        <v>399</v>
      </c>
      <c r="K165">
        <f>Scores_and_Fixtures[[#This Row],[Wk]]</f>
        <v>14</v>
      </c>
      <c r="L165" t="str">
        <f>Scores_and_Fixtures[[#This Row],[Home]]</f>
        <v>Blackburn</v>
      </c>
      <c r="M165">
        <f ca="1">IF(ISBLANK(Scores_and_Fixtures[[#This Row],[Home Score]])=FALSE,Scores_and_Fixtures[[#This Row],[Home Score]],_xlfn.BINOM.INV(10000,(VLOOKUP(L165,$CK$4:$CM$27,2,FALSE)*VLOOKUP(O165,$CK$4:$CM$27,3,FALSE)*($CM$2/2))/10000,RAND()))</f>
        <v>0</v>
      </c>
      <c r="N165">
        <f ca="1">IF(ISBLANK(Scores_and_Fixtures[[#This Row],[Away Score]])=FALSE,Scores_and_Fixtures[[#This Row],[Away Score]],_xlfn.BINOM.INV(10000,(VLOOKUP(O165,$CK$4:$CM$27,2,FALSE)*VLOOKUP(L165,$CK$4:$CM$27,3,FALSE)*($CM$2/2))/10000,RAND()))</f>
        <v>1</v>
      </c>
      <c r="O165" t="str">
        <f>Scores_and_Fixtures[[#This Row],[Away]]</f>
        <v>Swansea City</v>
      </c>
      <c r="U165">
        <v>64</v>
      </c>
      <c r="V165">
        <v>13</v>
      </c>
      <c r="W165">
        <v>8</v>
      </c>
      <c r="X165">
        <v>17</v>
      </c>
      <c r="Y165">
        <v>14</v>
      </c>
      <c r="Z165">
        <v>12</v>
      </c>
      <c r="AA165">
        <v>21</v>
      </c>
      <c r="AB165">
        <v>7</v>
      </c>
      <c r="AC165">
        <v>2</v>
      </c>
      <c r="AD165">
        <v>4</v>
      </c>
      <c r="AE165">
        <v>1</v>
      </c>
      <c r="AF165">
        <v>10</v>
      </c>
      <c r="AG165">
        <v>15</v>
      </c>
      <c r="AH165">
        <v>11</v>
      </c>
      <c r="AI165">
        <v>19</v>
      </c>
      <c r="AJ165">
        <v>18</v>
      </c>
      <c r="AK165">
        <v>22</v>
      </c>
      <c r="AL165">
        <v>24</v>
      </c>
      <c r="AM165">
        <v>23</v>
      </c>
      <c r="AN165">
        <v>3</v>
      </c>
      <c r="AO165">
        <v>20</v>
      </c>
      <c r="AP165">
        <v>9</v>
      </c>
      <c r="AQ165">
        <v>16</v>
      </c>
      <c r="AR165">
        <v>5</v>
      </c>
      <c r="AS165">
        <v>6</v>
      </c>
    </row>
    <row r="166" spans="1:45" x14ac:dyDescent="0.25">
      <c r="A166">
        <v>14</v>
      </c>
      <c r="B166" t="s">
        <v>388</v>
      </c>
      <c r="C166">
        <v>0</v>
      </c>
      <c r="D166">
        <v>2</v>
      </c>
      <c r="E166" t="s">
        <v>397</v>
      </c>
      <c r="K166">
        <f>Scores_and_Fixtures[[#This Row],[Wk]]</f>
        <v>14</v>
      </c>
      <c r="L166" t="str">
        <f>Scores_and_Fixtures[[#This Row],[Home]]</f>
        <v>Middlesbrough</v>
      </c>
      <c r="M166">
        <f ca="1">IF(ISBLANK(Scores_and_Fixtures[[#This Row],[Home Score]])=FALSE,Scores_and_Fixtures[[#This Row],[Home Score]],_xlfn.BINOM.INV(10000,(VLOOKUP(L166,$CK$4:$CM$27,2,FALSE)*VLOOKUP(O166,$CK$4:$CM$27,3,FALSE)*($CM$2/2))/10000,RAND()))</f>
        <v>0</v>
      </c>
      <c r="N166">
        <f ca="1">IF(ISBLANK(Scores_and_Fixtures[[#This Row],[Away Score]])=FALSE,Scores_and_Fixtures[[#This Row],[Away Score]],_xlfn.BINOM.INV(10000,(VLOOKUP(O166,$CK$4:$CM$27,2,FALSE)*VLOOKUP(L166,$CK$4:$CM$27,3,FALSE)*($CM$2/2))/10000,RAND()))</f>
        <v>2</v>
      </c>
      <c r="O166" t="str">
        <f>Scores_and_Fixtures[[#This Row],[Away]]</f>
        <v>Stoke City</v>
      </c>
      <c r="U166">
        <v>65</v>
      </c>
      <c r="V166">
        <v>20</v>
      </c>
      <c r="W166">
        <v>7</v>
      </c>
      <c r="X166">
        <v>9</v>
      </c>
      <c r="Y166">
        <v>13</v>
      </c>
      <c r="Z166">
        <v>14</v>
      </c>
      <c r="AA166">
        <v>22</v>
      </c>
      <c r="AB166">
        <v>8</v>
      </c>
      <c r="AC166">
        <v>2</v>
      </c>
      <c r="AD166">
        <v>4</v>
      </c>
      <c r="AE166">
        <v>1</v>
      </c>
      <c r="AF166">
        <v>12</v>
      </c>
      <c r="AG166">
        <v>17</v>
      </c>
      <c r="AH166">
        <v>11</v>
      </c>
      <c r="AI166">
        <v>15</v>
      </c>
      <c r="AJ166">
        <v>16</v>
      </c>
      <c r="AK166">
        <v>21</v>
      </c>
      <c r="AL166">
        <v>23</v>
      </c>
      <c r="AM166">
        <v>24</v>
      </c>
      <c r="AN166">
        <v>3</v>
      </c>
      <c r="AO166">
        <v>19</v>
      </c>
      <c r="AP166">
        <v>5</v>
      </c>
      <c r="AQ166">
        <v>18</v>
      </c>
      <c r="AR166">
        <v>10</v>
      </c>
      <c r="AS166">
        <v>6</v>
      </c>
    </row>
    <row r="167" spans="1:45" x14ac:dyDescent="0.25">
      <c r="A167">
        <v>14</v>
      </c>
      <c r="B167" t="s">
        <v>395</v>
      </c>
      <c r="C167">
        <v>2</v>
      </c>
      <c r="D167">
        <v>0</v>
      </c>
      <c r="E167" t="s">
        <v>394</v>
      </c>
      <c r="K167">
        <f>Scores_and_Fixtures[[#This Row],[Wk]]</f>
        <v>14</v>
      </c>
      <c r="L167" t="str">
        <f>Scores_and_Fixtures[[#This Row],[Home]]</f>
        <v>Sheffield Weds</v>
      </c>
      <c r="M167">
        <f ca="1">IF(ISBLANK(Scores_and_Fixtures[[#This Row],[Home Score]])=FALSE,Scores_and_Fixtures[[#This Row],[Home Score]],_xlfn.BINOM.INV(10000,(VLOOKUP(L167,$CK$4:$CM$27,2,FALSE)*VLOOKUP(O167,$CK$4:$CM$27,3,FALSE)*($CM$2/2))/10000,RAND()))</f>
        <v>2</v>
      </c>
      <c r="N167">
        <f ca="1">IF(ISBLANK(Scores_and_Fixtures[[#This Row],[Away Score]])=FALSE,Scores_and_Fixtures[[#This Row],[Away Score]],_xlfn.BINOM.INV(10000,(VLOOKUP(O167,$CK$4:$CM$27,2,FALSE)*VLOOKUP(L167,$CK$4:$CM$27,3,FALSE)*($CM$2/2))/10000,RAND()))</f>
        <v>0</v>
      </c>
      <c r="O167" t="str">
        <f>Scores_and_Fixtures[[#This Row],[Away]]</f>
        <v>Rotherham Utd</v>
      </c>
      <c r="U167">
        <v>66</v>
      </c>
      <c r="V167">
        <v>20</v>
      </c>
      <c r="W167">
        <v>5</v>
      </c>
      <c r="X167">
        <v>11</v>
      </c>
      <c r="Y167">
        <v>10</v>
      </c>
      <c r="Z167">
        <v>12</v>
      </c>
      <c r="AA167">
        <v>21</v>
      </c>
      <c r="AB167">
        <v>7</v>
      </c>
      <c r="AC167">
        <v>2</v>
      </c>
      <c r="AD167">
        <v>4</v>
      </c>
      <c r="AE167">
        <v>1</v>
      </c>
      <c r="AF167">
        <v>9</v>
      </c>
      <c r="AG167">
        <v>17</v>
      </c>
      <c r="AH167">
        <v>15</v>
      </c>
      <c r="AI167">
        <v>14</v>
      </c>
      <c r="AJ167">
        <v>16</v>
      </c>
      <c r="AK167">
        <v>22</v>
      </c>
      <c r="AL167">
        <v>24</v>
      </c>
      <c r="AM167">
        <v>23</v>
      </c>
      <c r="AN167">
        <v>3</v>
      </c>
      <c r="AO167">
        <v>19</v>
      </c>
      <c r="AP167">
        <v>13</v>
      </c>
      <c r="AQ167">
        <v>18</v>
      </c>
      <c r="AR167">
        <v>8</v>
      </c>
      <c r="AS167">
        <v>6</v>
      </c>
    </row>
    <row r="168" spans="1:45" x14ac:dyDescent="0.25">
      <c r="A168">
        <v>14</v>
      </c>
      <c r="B168" t="s">
        <v>382</v>
      </c>
      <c r="C168">
        <v>0</v>
      </c>
      <c r="D168">
        <v>2</v>
      </c>
      <c r="E168" t="s">
        <v>401</v>
      </c>
      <c r="K168">
        <f>Scores_and_Fixtures[[#This Row],[Wk]]</f>
        <v>14</v>
      </c>
      <c r="L168" t="str">
        <f>Scores_and_Fixtures[[#This Row],[Home]]</f>
        <v>Coventry City</v>
      </c>
      <c r="M168">
        <f ca="1">IF(ISBLANK(Scores_and_Fixtures[[#This Row],[Home Score]])=FALSE,Scores_and_Fixtures[[#This Row],[Home Score]],_xlfn.BINOM.INV(10000,(VLOOKUP(L168,$CK$4:$CM$27,2,FALSE)*VLOOKUP(O168,$CK$4:$CM$27,3,FALSE)*($CM$2/2))/10000,RAND()))</f>
        <v>0</v>
      </c>
      <c r="N168">
        <f ca="1">IF(ISBLANK(Scores_and_Fixtures[[#This Row],[Away Score]])=FALSE,Scores_and_Fixtures[[#This Row],[Away Score]],_xlfn.BINOM.INV(10000,(VLOOKUP(O168,$CK$4:$CM$27,2,FALSE)*VLOOKUP(L168,$CK$4:$CM$27,3,FALSE)*($CM$2/2))/10000,RAND()))</f>
        <v>2</v>
      </c>
      <c r="O168" t="str">
        <f>Scores_and_Fixtures[[#This Row],[Away]]</f>
        <v>West Brom</v>
      </c>
      <c r="U168">
        <v>67</v>
      </c>
      <c r="V168">
        <v>18</v>
      </c>
      <c r="W168">
        <v>14</v>
      </c>
      <c r="X168">
        <v>10</v>
      </c>
      <c r="Y168">
        <v>11</v>
      </c>
      <c r="Z168">
        <v>17</v>
      </c>
      <c r="AA168">
        <v>20</v>
      </c>
      <c r="AB168">
        <v>3</v>
      </c>
      <c r="AC168">
        <v>2</v>
      </c>
      <c r="AD168">
        <v>5</v>
      </c>
      <c r="AE168">
        <v>1</v>
      </c>
      <c r="AF168">
        <v>6</v>
      </c>
      <c r="AG168">
        <v>16</v>
      </c>
      <c r="AH168">
        <v>7</v>
      </c>
      <c r="AI168">
        <v>13</v>
      </c>
      <c r="AJ168">
        <v>19</v>
      </c>
      <c r="AK168">
        <v>22</v>
      </c>
      <c r="AL168">
        <v>24</v>
      </c>
      <c r="AM168">
        <v>23</v>
      </c>
      <c r="AN168">
        <v>4</v>
      </c>
      <c r="AO168">
        <v>21</v>
      </c>
      <c r="AP168">
        <v>12</v>
      </c>
      <c r="AQ168">
        <v>15</v>
      </c>
      <c r="AR168">
        <v>9</v>
      </c>
      <c r="AS168">
        <v>8</v>
      </c>
    </row>
    <row r="169" spans="1:45" x14ac:dyDescent="0.25">
      <c r="A169">
        <v>15</v>
      </c>
      <c r="B169" t="s">
        <v>387</v>
      </c>
      <c r="C169">
        <v>0</v>
      </c>
      <c r="D169">
        <v>1</v>
      </c>
      <c r="E169" t="s">
        <v>386</v>
      </c>
      <c r="K169">
        <f>Scores_and_Fixtures[[#This Row],[Wk]]</f>
        <v>15</v>
      </c>
      <c r="L169" t="str">
        <f>Scores_and_Fixtures[[#This Row],[Home]]</f>
        <v>Leicester City</v>
      </c>
      <c r="M169">
        <f ca="1">IF(ISBLANK(Scores_and_Fixtures[[#This Row],[Home Score]])=FALSE,Scores_and_Fixtures[[#This Row],[Home Score]],_xlfn.BINOM.INV(10000,(VLOOKUP(L169,$CK$4:$CM$27,2,FALSE)*VLOOKUP(O169,$CK$4:$CM$27,3,FALSE)*($CM$2/2))/10000,RAND()))</f>
        <v>0</v>
      </c>
      <c r="N169">
        <f ca="1">IF(ISBLANK(Scores_and_Fixtures[[#This Row],[Away Score]])=FALSE,Scores_and_Fixtures[[#This Row],[Away Score]],_xlfn.BINOM.INV(10000,(VLOOKUP(O169,$CK$4:$CM$27,2,FALSE)*VLOOKUP(L169,$CK$4:$CM$27,3,FALSE)*($CM$2/2))/10000,RAND()))</f>
        <v>1</v>
      </c>
      <c r="O169" t="str">
        <f>Scores_and_Fixtures[[#This Row],[Away]]</f>
        <v>Leeds United</v>
      </c>
      <c r="U169">
        <v>68</v>
      </c>
      <c r="V169">
        <v>15</v>
      </c>
      <c r="W169">
        <v>18</v>
      </c>
      <c r="X169">
        <v>10</v>
      </c>
      <c r="Y169">
        <v>9</v>
      </c>
      <c r="Z169">
        <v>14</v>
      </c>
      <c r="AA169">
        <v>22</v>
      </c>
      <c r="AB169">
        <v>6</v>
      </c>
      <c r="AC169">
        <v>1</v>
      </c>
      <c r="AD169">
        <v>3</v>
      </c>
      <c r="AE169">
        <v>2</v>
      </c>
      <c r="AF169">
        <v>11</v>
      </c>
      <c r="AG169">
        <v>17</v>
      </c>
      <c r="AH169">
        <v>12</v>
      </c>
      <c r="AI169">
        <v>19</v>
      </c>
      <c r="AJ169">
        <v>13</v>
      </c>
      <c r="AK169">
        <v>20</v>
      </c>
      <c r="AL169">
        <v>24</v>
      </c>
      <c r="AM169">
        <v>23</v>
      </c>
      <c r="AN169">
        <v>4</v>
      </c>
      <c r="AO169">
        <v>21</v>
      </c>
      <c r="AP169">
        <v>7</v>
      </c>
      <c r="AQ169">
        <v>16</v>
      </c>
      <c r="AR169">
        <v>8</v>
      </c>
      <c r="AS169">
        <v>5</v>
      </c>
    </row>
    <row r="170" spans="1:45" x14ac:dyDescent="0.25">
      <c r="A170">
        <v>15</v>
      </c>
      <c r="B170" t="s">
        <v>399</v>
      </c>
      <c r="C170">
        <v>0</v>
      </c>
      <c r="D170">
        <v>0</v>
      </c>
      <c r="E170" t="s">
        <v>398</v>
      </c>
      <c r="K170">
        <f>Scores_and_Fixtures[[#This Row],[Wk]]</f>
        <v>15</v>
      </c>
      <c r="L170" t="str">
        <f>Scores_and_Fixtures[[#This Row],[Home]]</f>
        <v>Swansea City</v>
      </c>
      <c r="M170">
        <f ca="1">IF(ISBLANK(Scores_and_Fixtures[[#This Row],[Home Score]])=FALSE,Scores_and_Fixtures[[#This Row],[Home Score]],_xlfn.BINOM.INV(10000,(VLOOKUP(L170,$CK$4:$CM$27,2,FALSE)*VLOOKUP(O170,$CK$4:$CM$27,3,FALSE)*($CM$2/2))/10000,RAND()))</f>
        <v>0</v>
      </c>
      <c r="N170">
        <f ca="1">IF(ISBLANK(Scores_and_Fixtures[[#This Row],[Away Score]])=FALSE,Scores_and_Fixtures[[#This Row],[Away Score]],_xlfn.BINOM.INV(10000,(VLOOKUP(O170,$CK$4:$CM$27,2,FALSE)*VLOOKUP(L170,$CK$4:$CM$27,3,FALSE)*($CM$2/2))/10000,RAND()))</f>
        <v>0</v>
      </c>
      <c r="O170" t="str">
        <f>Scores_and_Fixtures[[#This Row],[Away]]</f>
        <v>Sunderland</v>
      </c>
      <c r="U170">
        <v>69</v>
      </c>
      <c r="V170">
        <v>17</v>
      </c>
      <c r="W170">
        <v>10</v>
      </c>
      <c r="X170">
        <v>15</v>
      </c>
      <c r="Y170">
        <v>14</v>
      </c>
      <c r="Z170">
        <v>12</v>
      </c>
      <c r="AA170" t="e">
        <v>#N/A</v>
      </c>
      <c r="AB170">
        <v>5</v>
      </c>
      <c r="AC170">
        <v>2</v>
      </c>
      <c r="AD170">
        <v>3</v>
      </c>
      <c r="AE170">
        <v>1</v>
      </c>
      <c r="AF170">
        <v>7</v>
      </c>
      <c r="AG170">
        <v>21</v>
      </c>
      <c r="AH170">
        <v>11</v>
      </c>
      <c r="AI170">
        <v>13</v>
      </c>
      <c r="AJ170">
        <v>16</v>
      </c>
      <c r="AK170">
        <v>20</v>
      </c>
      <c r="AL170">
        <v>24</v>
      </c>
      <c r="AM170">
        <v>23</v>
      </c>
      <c r="AN170">
        <v>4</v>
      </c>
      <c r="AO170">
        <v>22</v>
      </c>
      <c r="AP170">
        <v>6</v>
      </c>
      <c r="AQ170">
        <v>19</v>
      </c>
      <c r="AR170">
        <v>8</v>
      </c>
      <c r="AS170">
        <v>9</v>
      </c>
    </row>
    <row r="171" spans="1:45" x14ac:dyDescent="0.25">
      <c r="A171">
        <v>15</v>
      </c>
      <c r="B171" t="s">
        <v>383</v>
      </c>
      <c r="C171">
        <v>0</v>
      </c>
      <c r="D171">
        <v>0</v>
      </c>
      <c r="E171" t="s">
        <v>400</v>
      </c>
      <c r="K171">
        <f>Scores_and_Fixtures[[#This Row],[Wk]]</f>
        <v>15</v>
      </c>
      <c r="L171" t="str">
        <f>Scores_and_Fixtures[[#This Row],[Home]]</f>
        <v>Huddersfield</v>
      </c>
      <c r="M171">
        <f ca="1">IF(ISBLANK(Scores_and_Fixtures[[#This Row],[Home Score]])=FALSE,Scores_and_Fixtures[[#This Row],[Home Score]],_xlfn.BINOM.INV(10000,(VLOOKUP(L171,$CK$4:$CM$27,2,FALSE)*VLOOKUP(O171,$CK$4:$CM$27,3,FALSE)*($CM$2/2))/10000,RAND()))</f>
        <v>0</v>
      </c>
      <c r="N171">
        <f ca="1">IF(ISBLANK(Scores_and_Fixtures[[#This Row],[Away Score]])=FALSE,Scores_and_Fixtures[[#This Row],[Away Score]],_xlfn.BINOM.INV(10000,(VLOOKUP(O171,$CK$4:$CM$27,2,FALSE)*VLOOKUP(L171,$CK$4:$CM$27,3,FALSE)*($CM$2/2))/10000,RAND()))</f>
        <v>0</v>
      </c>
      <c r="O171" t="str">
        <f>Scores_and_Fixtures[[#This Row],[Away]]</f>
        <v>Watford</v>
      </c>
      <c r="U171">
        <v>70</v>
      </c>
      <c r="V171">
        <v>15</v>
      </c>
      <c r="W171">
        <v>14</v>
      </c>
      <c r="X171">
        <v>9</v>
      </c>
      <c r="Y171">
        <v>16</v>
      </c>
      <c r="Z171">
        <v>13</v>
      </c>
      <c r="AA171">
        <v>21</v>
      </c>
      <c r="AB171">
        <v>4</v>
      </c>
      <c r="AC171">
        <v>2</v>
      </c>
      <c r="AD171">
        <v>3</v>
      </c>
      <c r="AE171">
        <v>1</v>
      </c>
      <c r="AF171">
        <v>11</v>
      </c>
      <c r="AG171">
        <v>17</v>
      </c>
      <c r="AH171">
        <v>10</v>
      </c>
      <c r="AI171">
        <v>18</v>
      </c>
      <c r="AJ171">
        <v>12</v>
      </c>
      <c r="AK171">
        <v>22</v>
      </c>
      <c r="AL171">
        <v>23</v>
      </c>
      <c r="AM171">
        <v>24</v>
      </c>
      <c r="AN171">
        <v>5</v>
      </c>
      <c r="AO171">
        <v>19</v>
      </c>
      <c r="AP171">
        <v>8</v>
      </c>
      <c r="AQ171">
        <v>20</v>
      </c>
      <c r="AR171">
        <v>7</v>
      </c>
      <c r="AS171">
        <v>6</v>
      </c>
    </row>
    <row r="172" spans="1:45" x14ac:dyDescent="0.25">
      <c r="A172">
        <v>15</v>
      </c>
      <c r="B172" t="s">
        <v>389</v>
      </c>
      <c r="C172">
        <v>0</v>
      </c>
      <c r="D172">
        <v>1</v>
      </c>
      <c r="E172" t="s">
        <v>396</v>
      </c>
      <c r="K172">
        <f>Scores_and_Fixtures[[#This Row],[Wk]]</f>
        <v>15</v>
      </c>
      <c r="L172" t="str">
        <f>Scores_and_Fixtures[[#This Row],[Home]]</f>
        <v>Millwall</v>
      </c>
      <c r="M172">
        <f ca="1">IF(ISBLANK(Scores_and_Fixtures[[#This Row],[Home Score]])=FALSE,Scores_and_Fixtures[[#This Row],[Home Score]],_xlfn.BINOM.INV(10000,(VLOOKUP(L172,$CK$4:$CM$27,2,FALSE)*VLOOKUP(O172,$CK$4:$CM$27,3,FALSE)*($CM$2/2))/10000,RAND()))</f>
        <v>0</v>
      </c>
      <c r="N172">
        <f ca="1">IF(ISBLANK(Scores_and_Fixtures[[#This Row],[Away Score]])=FALSE,Scores_and_Fixtures[[#This Row],[Away Score]],_xlfn.BINOM.INV(10000,(VLOOKUP(O172,$CK$4:$CM$27,2,FALSE)*VLOOKUP(L172,$CK$4:$CM$27,3,FALSE)*($CM$2/2))/10000,RAND()))</f>
        <v>1</v>
      </c>
      <c r="O172" t="str">
        <f>Scores_and_Fixtures[[#This Row],[Away]]</f>
        <v>Southampton</v>
      </c>
      <c r="U172">
        <v>71</v>
      </c>
      <c r="V172">
        <v>18</v>
      </c>
      <c r="W172">
        <v>17</v>
      </c>
      <c r="X172">
        <v>9</v>
      </c>
      <c r="Y172">
        <v>15</v>
      </c>
      <c r="Z172">
        <v>14</v>
      </c>
      <c r="AA172">
        <v>21</v>
      </c>
      <c r="AB172">
        <v>5</v>
      </c>
      <c r="AC172">
        <v>2</v>
      </c>
      <c r="AD172">
        <v>3</v>
      </c>
      <c r="AE172">
        <v>1</v>
      </c>
      <c r="AF172">
        <v>12</v>
      </c>
      <c r="AG172">
        <v>19</v>
      </c>
      <c r="AH172">
        <v>10</v>
      </c>
      <c r="AI172">
        <v>13</v>
      </c>
      <c r="AJ172">
        <v>11</v>
      </c>
      <c r="AK172">
        <v>22</v>
      </c>
      <c r="AL172">
        <v>23</v>
      </c>
      <c r="AM172">
        <v>24</v>
      </c>
      <c r="AN172">
        <v>6</v>
      </c>
      <c r="AO172">
        <v>20</v>
      </c>
      <c r="AP172">
        <v>7</v>
      </c>
      <c r="AQ172">
        <v>16</v>
      </c>
      <c r="AR172">
        <v>8</v>
      </c>
      <c r="AS172">
        <v>4</v>
      </c>
    </row>
    <row r="173" spans="1:45" x14ac:dyDescent="0.25">
      <c r="A173">
        <v>15</v>
      </c>
      <c r="B173" t="s">
        <v>394</v>
      </c>
      <c r="C173">
        <v>1</v>
      </c>
      <c r="D173">
        <v>1</v>
      </c>
      <c r="E173" t="s">
        <v>393</v>
      </c>
      <c r="K173">
        <f>Scores_and_Fixtures[[#This Row],[Wk]]</f>
        <v>15</v>
      </c>
      <c r="L173" t="str">
        <f>Scores_and_Fixtures[[#This Row],[Home]]</f>
        <v>Rotherham Utd</v>
      </c>
      <c r="M173">
        <f ca="1">IF(ISBLANK(Scores_and_Fixtures[[#This Row],[Home Score]])=FALSE,Scores_and_Fixtures[[#This Row],[Home Score]],_xlfn.BINOM.INV(10000,(VLOOKUP(L173,$CK$4:$CM$27,2,FALSE)*VLOOKUP(O173,$CK$4:$CM$27,3,FALSE)*($CM$2/2))/10000,RAND()))</f>
        <v>1</v>
      </c>
      <c r="N173">
        <f ca="1">IF(ISBLANK(Scores_and_Fixtures[[#This Row],[Away Score]])=FALSE,Scores_and_Fixtures[[#This Row],[Away Score]],_xlfn.BINOM.INV(10000,(VLOOKUP(O173,$CK$4:$CM$27,2,FALSE)*VLOOKUP(L173,$CK$4:$CM$27,3,FALSE)*($CM$2/2))/10000,RAND()))</f>
        <v>1</v>
      </c>
      <c r="O173" t="str">
        <f>Scores_and_Fixtures[[#This Row],[Away]]</f>
        <v>QPR</v>
      </c>
      <c r="U173">
        <v>72</v>
      </c>
      <c r="V173">
        <v>17</v>
      </c>
      <c r="W173">
        <v>14</v>
      </c>
      <c r="X173">
        <v>8</v>
      </c>
      <c r="Y173">
        <v>13</v>
      </c>
      <c r="Z173">
        <v>15</v>
      </c>
      <c r="AA173">
        <v>21</v>
      </c>
      <c r="AB173">
        <v>6</v>
      </c>
      <c r="AC173">
        <v>4</v>
      </c>
      <c r="AD173">
        <v>2</v>
      </c>
      <c r="AE173">
        <v>1</v>
      </c>
      <c r="AF173">
        <v>9</v>
      </c>
      <c r="AG173">
        <v>20</v>
      </c>
      <c r="AH173">
        <v>10</v>
      </c>
      <c r="AI173">
        <v>18</v>
      </c>
      <c r="AJ173">
        <v>11</v>
      </c>
      <c r="AK173">
        <v>22</v>
      </c>
      <c r="AL173">
        <v>23</v>
      </c>
      <c r="AM173">
        <v>24</v>
      </c>
      <c r="AN173">
        <v>3</v>
      </c>
      <c r="AO173">
        <v>16</v>
      </c>
      <c r="AP173">
        <v>12</v>
      </c>
      <c r="AQ173">
        <v>19</v>
      </c>
      <c r="AR173">
        <v>7</v>
      </c>
      <c r="AS173">
        <v>5</v>
      </c>
    </row>
    <row r="174" spans="1:45" x14ac:dyDescent="0.25">
      <c r="A174">
        <v>15</v>
      </c>
      <c r="B174" t="s">
        <v>378</v>
      </c>
      <c r="C174">
        <v>2</v>
      </c>
      <c r="D174">
        <v>2</v>
      </c>
      <c r="E174" t="s">
        <v>385</v>
      </c>
      <c r="K174">
        <f>Scores_and_Fixtures[[#This Row],[Wk]]</f>
        <v>15</v>
      </c>
      <c r="L174" t="str">
        <f>Scores_and_Fixtures[[#This Row],[Home]]</f>
        <v>Birmingham City</v>
      </c>
      <c r="M174">
        <f ca="1">IF(ISBLANK(Scores_and_Fixtures[[#This Row],[Home Score]])=FALSE,Scores_and_Fixtures[[#This Row],[Home Score]],_xlfn.BINOM.INV(10000,(VLOOKUP(L174,$CK$4:$CM$27,2,FALSE)*VLOOKUP(O174,$CK$4:$CM$27,3,FALSE)*($CM$2/2))/10000,RAND()))</f>
        <v>2</v>
      </c>
      <c r="N174">
        <f ca="1">IF(ISBLANK(Scores_and_Fixtures[[#This Row],[Away Score]])=FALSE,Scores_and_Fixtures[[#This Row],[Away Score]],_xlfn.BINOM.INV(10000,(VLOOKUP(O174,$CK$4:$CM$27,2,FALSE)*VLOOKUP(L174,$CK$4:$CM$27,3,FALSE)*($CM$2/2))/10000,RAND()))</f>
        <v>2</v>
      </c>
      <c r="O174" t="str">
        <f>Scores_and_Fixtures[[#This Row],[Away]]</f>
        <v>Ipswich Town</v>
      </c>
      <c r="U174">
        <v>73</v>
      </c>
      <c r="V174">
        <v>16</v>
      </c>
      <c r="W174">
        <v>12</v>
      </c>
      <c r="X174">
        <v>14</v>
      </c>
      <c r="Y174">
        <v>7</v>
      </c>
      <c r="Z174">
        <v>18</v>
      </c>
      <c r="AA174">
        <v>21</v>
      </c>
      <c r="AB174">
        <v>8</v>
      </c>
      <c r="AC174">
        <v>2</v>
      </c>
      <c r="AD174">
        <v>5</v>
      </c>
      <c r="AE174">
        <v>1</v>
      </c>
      <c r="AF174">
        <v>13</v>
      </c>
      <c r="AG174">
        <v>20</v>
      </c>
      <c r="AH174">
        <v>10</v>
      </c>
      <c r="AI174">
        <v>15</v>
      </c>
      <c r="AJ174">
        <v>17</v>
      </c>
      <c r="AK174">
        <v>22</v>
      </c>
      <c r="AL174">
        <v>23</v>
      </c>
      <c r="AM174">
        <v>24</v>
      </c>
      <c r="AN174">
        <v>3</v>
      </c>
      <c r="AO174">
        <v>19</v>
      </c>
      <c r="AP174">
        <v>6</v>
      </c>
      <c r="AQ174">
        <v>11</v>
      </c>
      <c r="AR174">
        <v>9</v>
      </c>
      <c r="AS174">
        <v>4</v>
      </c>
    </row>
    <row r="175" spans="1:45" x14ac:dyDescent="0.25">
      <c r="A175">
        <v>15</v>
      </c>
      <c r="B175" t="s">
        <v>391</v>
      </c>
      <c r="C175">
        <v>3</v>
      </c>
      <c r="D175">
        <v>3</v>
      </c>
      <c r="E175" t="s">
        <v>388</v>
      </c>
      <c r="K175">
        <f>Scores_and_Fixtures[[#This Row],[Wk]]</f>
        <v>15</v>
      </c>
      <c r="L175" t="str">
        <f>Scores_and_Fixtures[[#This Row],[Home]]</f>
        <v>Plymouth Argyle</v>
      </c>
      <c r="M175">
        <f ca="1">IF(ISBLANK(Scores_and_Fixtures[[#This Row],[Home Score]])=FALSE,Scores_and_Fixtures[[#This Row],[Home Score]],_xlfn.BINOM.INV(10000,(VLOOKUP(L175,$CK$4:$CM$27,2,FALSE)*VLOOKUP(O175,$CK$4:$CM$27,3,FALSE)*($CM$2/2))/10000,RAND()))</f>
        <v>3</v>
      </c>
      <c r="N175">
        <f ca="1">IF(ISBLANK(Scores_and_Fixtures[[#This Row],[Away Score]])=FALSE,Scores_and_Fixtures[[#This Row],[Away Score]],_xlfn.BINOM.INV(10000,(VLOOKUP(O175,$CK$4:$CM$27,2,FALSE)*VLOOKUP(L175,$CK$4:$CM$27,3,FALSE)*($CM$2/2))/10000,RAND()))</f>
        <v>3</v>
      </c>
      <c r="O175" t="str">
        <f>Scores_and_Fixtures[[#This Row],[Away]]</f>
        <v>Middlesbrough</v>
      </c>
      <c r="U175">
        <v>74</v>
      </c>
      <c r="V175">
        <v>18</v>
      </c>
      <c r="W175">
        <v>7</v>
      </c>
      <c r="X175">
        <v>11</v>
      </c>
      <c r="Y175">
        <v>16</v>
      </c>
      <c r="Z175">
        <v>13</v>
      </c>
      <c r="AA175">
        <v>21</v>
      </c>
      <c r="AB175">
        <v>6</v>
      </c>
      <c r="AC175">
        <v>2</v>
      </c>
      <c r="AD175">
        <v>4</v>
      </c>
      <c r="AE175">
        <v>1</v>
      </c>
      <c r="AF175">
        <v>10</v>
      </c>
      <c r="AG175">
        <v>19</v>
      </c>
      <c r="AH175">
        <v>14</v>
      </c>
      <c r="AI175">
        <v>8</v>
      </c>
      <c r="AJ175">
        <v>15</v>
      </c>
      <c r="AK175">
        <v>22</v>
      </c>
      <c r="AL175">
        <v>23</v>
      </c>
      <c r="AM175">
        <v>24</v>
      </c>
      <c r="AN175">
        <v>3</v>
      </c>
      <c r="AO175">
        <v>20</v>
      </c>
      <c r="AP175">
        <v>12</v>
      </c>
      <c r="AQ175">
        <v>17</v>
      </c>
      <c r="AR175">
        <v>9</v>
      </c>
      <c r="AS175">
        <v>5</v>
      </c>
    </row>
    <row r="176" spans="1:45" x14ac:dyDescent="0.25">
      <c r="A176">
        <v>15</v>
      </c>
      <c r="B176" t="s">
        <v>380</v>
      </c>
      <c r="C176">
        <v>1</v>
      </c>
      <c r="D176">
        <v>0</v>
      </c>
      <c r="E176" t="s">
        <v>395</v>
      </c>
      <c r="K176">
        <f>Scores_and_Fixtures[[#This Row],[Wk]]</f>
        <v>15</v>
      </c>
      <c r="L176" t="str">
        <f>Scores_and_Fixtures[[#This Row],[Home]]</f>
        <v>Bristol City</v>
      </c>
      <c r="M176">
        <f ca="1">IF(ISBLANK(Scores_and_Fixtures[[#This Row],[Home Score]])=FALSE,Scores_and_Fixtures[[#This Row],[Home Score]],_xlfn.BINOM.INV(10000,(VLOOKUP(L176,$CK$4:$CM$27,2,FALSE)*VLOOKUP(O176,$CK$4:$CM$27,3,FALSE)*($CM$2/2))/10000,RAND()))</f>
        <v>1</v>
      </c>
      <c r="N176">
        <f ca="1">IF(ISBLANK(Scores_and_Fixtures[[#This Row],[Away Score]])=FALSE,Scores_and_Fixtures[[#This Row],[Away Score]],_xlfn.BINOM.INV(10000,(VLOOKUP(O176,$CK$4:$CM$27,2,FALSE)*VLOOKUP(L176,$CK$4:$CM$27,3,FALSE)*($CM$2/2))/10000,RAND()))</f>
        <v>0</v>
      </c>
      <c r="O176" t="str">
        <f>Scores_and_Fixtures[[#This Row],[Away]]</f>
        <v>Sheffield Weds</v>
      </c>
      <c r="U176">
        <v>75</v>
      </c>
      <c r="V176">
        <v>16</v>
      </c>
      <c r="W176">
        <v>17</v>
      </c>
      <c r="X176">
        <v>13</v>
      </c>
      <c r="Y176">
        <v>8</v>
      </c>
      <c r="Z176">
        <v>11</v>
      </c>
      <c r="AA176">
        <v>22</v>
      </c>
      <c r="AB176">
        <v>5</v>
      </c>
      <c r="AC176">
        <v>2</v>
      </c>
      <c r="AD176">
        <v>3</v>
      </c>
      <c r="AE176">
        <v>1</v>
      </c>
      <c r="AF176">
        <v>10</v>
      </c>
      <c r="AG176">
        <v>20</v>
      </c>
      <c r="AH176">
        <v>7</v>
      </c>
      <c r="AI176">
        <v>15</v>
      </c>
      <c r="AJ176">
        <v>14</v>
      </c>
      <c r="AK176">
        <v>19</v>
      </c>
      <c r="AL176">
        <v>24</v>
      </c>
      <c r="AM176">
        <v>23</v>
      </c>
      <c r="AN176">
        <v>4</v>
      </c>
      <c r="AO176">
        <v>18</v>
      </c>
      <c r="AP176">
        <v>9</v>
      </c>
      <c r="AQ176">
        <v>21</v>
      </c>
      <c r="AR176">
        <v>6</v>
      </c>
      <c r="AS176">
        <v>12</v>
      </c>
    </row>
    <row r="177" spans="1:45" x14ac:dyDescent="0.25">
      <c r="A177">
        <v>15</v>
      </c>
      <c r="B177" t="s">
        <v>397</v>
      </c>
      <c r="C177">
        <v>0</v>
      </c>
      <c r="D177">
        <v>0</v>
      </c>
      <c r="E177" t="s">
        <v>381</v>
      </c>
      <c r="K177">
        <f>Scores_and_Fixtures[[#This Row],[Wk]]</f>
        <v>15</v>
      </c>
      <c r="L177" t="str">
        <f>Scores_and_Fixtures[[#This Row],[Home]]</f>
        <v>Stoke City</v>
      </c>
      <c r="M177">
        <f ca="1">IF(ISBLANK(Scores_and_Fixtures[[#This Row],[Home Score]])=FALSE,Scores_and_Fixtures[[#This Row],[Home Score]],_xlfn.BINOM.INV(10000,(VLOOKUP(L177,$CK$4:$CM$27,2,FALSE)*VLOOKUP(O177,$CK$4:$CM$27,3,FALSE)*($CM$2/2))/10000,RAND()))</f>
        <v>0</v>
      </c>
      <c r="N177">
        <f ca="1">IF(ISBLANK(Scores_and_Fixtures[[#This Row],[Away Score]])=FALSE,Scores_and_Fixtures[[#This Row],[Away Score]],_xlfn.BINOM.INV(10000,(VLOOKUP(O177,$CK$4:$CM$27,2,FALSE)*VLOOKUP(L177,$CK$4:$CM$27,3,FALSE)*($CM$2/2))/10000,RAND()))</f>
        <v>0</v>
      </c>
      <c r="O177" t="str">
        <f>Scores_and_Fixtures[[#This Row],[Away]]</f>
        <v>Cardiff City</v>
      </c>
      <c r="U177">
        <v>76</v>
      </c>
      <c r="V177">
        <v>10</v>
      </c>
      <c r="W177">
        <v>9</v>
      </c>
      <c r="X177">
        <v>18</v>
      </c>
      <c r="Y177">
        <v>13</v>
      </c>
      <c r="Z177">
        <v>15</v>
      </c>
      <c r="AA177">
        <v>22</v>
      </c>
      <c r="AB177">
        <v>3</v>
      </c>
      <c r="AC177">
        <v>2</v>
      </c>
      <c r="AD177">
        <v>4</v>
      </c>
      <c r="AE177">
        <v>1</v>
      </c>
      <c r="AF177">
        <v>6</v>
      </c>
      <c r="AG177">
        <v>20</v>
      </c>
      <c r="AH177">
        <v>8</v>
      </c>
      <c r="AI177">
        <v>16</v>
      </c>
      <c r="AJ177">
        <v>11</v>
      </c>
      <c r="AK177">
        <v>21</v>
      </c>
      <c r="AL177">
        <v>24</v>
      </c>
      <c r="AM177">
        <v>23</v>
      </c>
      <c r="AN177">
        <v>7</v>
      </c>
      <c r="AO177">
        <v>19</v>
      </c>
      <c r="AP177">
        <v>12</v>
      </c>
      <c r="AQ177">
        <v>17</v>
      </c>
      <c r="AR177">
        <v>14</v>
      </c>
      <c r="AS177">
        <v>5</v>
      </c>
    </row>
    <row r="178" spans="1:45" x14ac:dyDescent="0.25">
      <c r="A178">
        <v>15</v>
      </c>
      <c r="B178" t="s">
        <v>401</v>
      </c>
      <c r="C178">
        <v>3</v>
      </c>
      <c r="D178">
        <v>1</v>
      </c>
      <c r="E178" t="s">
        <v>384</v>
      </c>
      <c r="K178">
        <f>Scores_and_Fixtures[[#This Row],[Wk]]</f>
        <v>15</v>
      </c>
      <c r="L178" t="str">
        <f>Scores_and_Fixtures[[#This Row],[Home]]</f>
        <v>West Brom</v>
      </c>
      <c r="M178">
        <f ca="1">IF(ISBLANK(Scores_and_Fixtures[[#This Row],[Home Score]])=FALSE,Scores_and_Fixtures[[#This Row],[Home Score]],_xlfn.BINOM.INV(10000,(VLOOKUP(L178,$CK$4:$CM$27,2,FALSE)*VLOOKUP(O178,$CK$4:$CM$27,3,FALSE)*($CM$2/2))/10000,RAND()))</f>
        <v>3</v>
      </c>
      <c r="N178">
        <f ca="1">IF(ISBLANK(Scores_and_Fixtures[[#This Row],[Away Score]])=FALSE,Scores_and_Fixtures[[#This Row],[Away Score]],_xlfn.BINOM.INV(10000,(VLOOKUP(O178,$CK$4:$CM$27,2,FALSE)*VLOOKUP(L178,$CK$4:$CM$27,3,FALSE)*($CM$2/2))/10000,RAND()))</f>
        <v>1</v>
      </c>
      <c r="O178" t="str">
        <f>Scores_and_Fixtures[[#This Row],[Away]]</f>
        <v>Hull City</v>
      </c>
      <c r="U178">
        <v>77</v>
      </c>
      <c r="V178">
        <v>15</v>
      </c>
      <c r="W178">
        <v>10</v>
      </c>
      <c r="X178">
        <v>12</v>
      </c>
      <c r="Y178">
        <v>9</v>
      </c>
      <c r="Z178">
        <v>11</v>
      </c>
      <c r="AA178">
        <v>21</v>
      </c>
      <c r="AB178">
        <v>6</v>
      </c>
      <c r="AC178">
        <v>2</v>
      </c>
      <c r="AD178">
        <v>3</v>
      </c>
      <c r="AE178">
        <v>1</v>
      </c>
      <c r="AF178">
        <v>8</v>
      </c>
      <c r="AG178">
        <v>19</v>
      </c>
      <c r="AH178">
        <v>17</v>
      </c>
      <c r="AI178">
        <v>14</v>
      </c>
      <c r="AJ178">
        <v>18</v>
      </c>
      <c r="AK178">
        <v>23</v>
      </c>
      <c r="AL178">
        <v>24</v>
      </c>
      <c r="AM178">
        <v>22</v>
      </c>
      <c r="AN178">
        <v>4</v>
      </c>
      <c r="AO178">
        <v>20</v>
      </c>
      <c r="AP178">
        <v>13</v>
      </c>
      <c r="AQ178">
        <v>16</v>
      </c>
      <c r="AR178">
        <v>7</v>
      </c>
      <c r="AS178">
        <v>5</v>
      </c>
    </row>
    <row r="179" spans="1:45" x14ac:dyDescent="0.25">
      <c r="A179">
        <v>15</v>
      </c>
      <c r="B179" t="s">
        <v>392</v>
      </c>
      <c r="C179">
        <v>3</v>
      </c>
      <c r="D179">
        <v>2</v>
      </c>
      <c r="E179" t="s">
        <v>382</v>
      </c>
      <c r="K179">
        <f>Scores_and_Fixtures[[#This Row],[Wk]]</f>
        <v>15</v>
      </c>
      <c r="L179" t="str">
        <f>Scores_and_Fixtures[[#This Row],[Home]]</f>
        <v>Preston</v>
      </c>
      <c r="M179">
        <f ca="1">IF(ISBLANK(Scores_and_Fixtures[[#This Row],[Home Score]])=FALSE,Scores_and_Fixtures[[#This Row],[Home Score]],_xlfn.BINOM.INV(10000,(VLOOKUP(L179,$CK$4:$CM$27,2,FALSE)*VLOOKUP(O179,$CK$4:$CM$27,3,FALSE)*($CM$2/2))/10000,RAND()))</f>
        <v>3</v>
      </c>
      <c r="N179">
        <f ca="1">IF(ISBLANK(Scores_and_Fixtures[[#This Row],[Away Score]])=FALSE,Scores_and_Fixtures[[#This Row],[Away Score]],_xlfn.BINOM.INV(10000,(VLOOKUP(O179,$CK$4:$CM$27,2,FALSE)*VLOOKUP(L179,$CK$4:$CM$27,3,FALSE)*($CM$2/2))/10000,RAND()))</f>
        <v>2</v>
      </c>
      <c r="O179" t="str">
        <f>Scores_and_Fixtures[[#This Row],[Away]]</f>
        <v>Coventry City</v>
      </c>
      <c r="U179">
        <v>78</v>
      </c>
      <c r="V179">
        <v>16</v>
      </c>
      <c r="W179">
        <v>12</v>
      </c>
      <c r="X179">
        <v>15</v>
      </c>
      <c r="Y179">
        <v>9</v>
      </c>
      <c r="Z179">
        <v>17</v>
      </c>
      <c r="AA179">
        <v>20</v>
      </c>
      <c r="AB179">
        <v>6</v>
      </c>
      <c r="AC179">
        <v>2</v>
      </c>
      <c r="AD179">
        <v>4</v>
      </c>
      <c r="AE179">
        <v>1</v>
      </c>
      <c r="AF179">
        <v>14</v>
      </c>
      <c r="AG179">
        <v>19</v>
      </c>
      <c r="AH179">
        <v>11</v>
      </c>
      <c r="AI179">
        <v>13</v>
      </c>
      <c r="AJ179">
        <v>7</v>
      </c>
      <c r="AK179">
        <v>22</v>
      </c>
      <c r="AL179">
        <v>24</v>
      </c>
      <c r="AM179">
        <v>23</v>
      </c>
      <c r="AN179">
        <v>3</v>
      </c>
      <c r="AO179">
        <v>21</v>
      </c>
      <c r="AP179">
        <v>10</v>
      </c>
      <c r="AQ179">
        <v>18</v>
      </c>
      <c r="AR179">
        <v>8</v>
      </c>
      <c r="AS179">
        <v>5</v>
      </c>
    </row>
    <row r="180" spans="1:45" x14ac:dyDescent="0.25">
      <c r="A180">
        <v>15</v>
      </c>
      <c r="B180" t="s">
        <v>390</v>
      </c>
      <c r="C180">
        <v>1</v>
      </c>
      <c r="D180">
        <v>3</v>
      </c>
      <c r="E180" t="s">
        <v>379</v>
      </c>
      <c r="K180">
        <f>Scores_and_Fixtures[[#This Row],[Wk]]</f>
        <v>15</v>
      </c>
      <c r="L180" t="str">
        <f>Scores_and_Fixtures[[#This Row],[Home]]</f>
        <v>Norwich City</v>
      </c>
      <c r="M180">
        <f ca="1">IF(ISBLANK(Scores_and_Fixtures[[#This Row],[Home Score]])=FALSE,Scores_and_Fixtures[[#This Row],[Home Score]],_xlfn.BINOM.INV(10000,(VLOOKUP(L180,$CK$4:$CM$27,2,FALSE)*VLOOKUP(O180,$CK$4:$CM$27,3,FALSE)*($CM$2/2))/10000,RAND()))</f>
        <v>1</v>
      </c>
      <c r="N180">
        <f ca="1">IF(ISBLANK(Scores_and_Fixtures[[#This Row],[Away Score]])=FALSE,Scores_and_Fixtures[[#This Row],[Away Score]],_xlfn.BINOM.INV(10000,(VLOOKUP(O180,$CK$4:$CM$27,2,FALSE)*VLOOKUP(L180,$CK$4:$CM$27,3,FALSE)*($CM$2/2))/10000,RAND()))</f>
        <v>3</v>
      </c>
      <c r="O180" t="str">
        <f>Scores_and_Fixtures[[#This Row],[Away]]</f>
        <v>Blackburn</v>
      </c>
      <c r="U180">
        <v>79</v>
      </c>
      <c r="V180">
        <v>11</v>
      </c>
      <c r="W180">
        <v>16</v>
      </c>
      <c r="X180">
        <v>7</v>
      </c>
      <c r="Y180">
        <v>10</v>
      </c>
      <c r="Z180">
        <v>19</v>
      </c>
      <c r="AA180">
        <v>21</v>
      </c>
      <c r="AB180">
        <v>4</v>
      </c>
      <c r="AC180">
        <v>2</v>
      </c>
      <c r="AD180">
        <v>5</v>
      </c>
      <c r="AE180">
        <v>1</v>
      </c>
      <c r="AF180">
        <v>15</v>
      </c>
      <c r="AG180">
        <v>20</v>
      </c>
      <c r="AH180">
        <v>8</v>
      </c>
      <c r="AI180">
        <v>14</v>
      </c>
      <c r="AJ180">
        <v>12</v>
      </c>
      <c r="AK180">
        <v>22</v>
      </c>
      <c r="AL180">
        <v>24</v>
      </c>
      <c r="AM180">
        <v>23</v>
      </c>
      <c r="AN180">
        <v>3</v>
      </c>
      <c r="AO180">
        <v>18</v>
      </c>
      <c r="AP180">
        <v>13</v>
      </c>
      <c r="AQ180">
        <v>9</v>
      </c>
      <c r="AR180">
        <v>17</v>
      </c>
      <c r="AS180">
        <v>6</v>
      </c>
    </row>
    <row r="181" spans="1:45" x14ac:dyDescent="0.25">
      <c r="A181">
        <v>12</v>
      </c>
      <c r="B181" t="s">
        <v>394</v>
      </c>
      <c r="C181">
        <v>2</v>
      </c>
      <c r="D181">
        <v>2</v>
      </c>
      <c r="E181" t="s">
        <v>385</v>
      </c>
      <c r="K181">
        <f>Scores_and_Fixtures[[#This Row],[Wk]]</f>
        <v>12</v>
      </c>
      <c r="L181" t="str">
        <f>Scores_and_Fixtures[[#This Row],[Home]]</f>
        <v>Rotherham Utd</v>
      </c>
      <c r="M181">
        <f ca="1">IF(ISBLANK(Scores_and_Fixtures[[#This Row],[Home Score]])=FALSE,Scores_and_Fixtures[[#This Row],[Home Score]],_xlfn.BINOM.INV(10000,(VLOOKUP(L181,$CK$4:$CM$27,2,FALSE)*VLOOKUP(O181,$CK$4:$CM$27,3,FALSE)*($CM$2/2))/10000,RAND()))</f>
        <v>2</v>
      </c>
      <c r="N181">
        <f ca="1">IF(ISBLANK(Scores_and_Fixtures[[#This Row],[Away Score]])=FALSE,Scores_and_Fixtures[[#This Row],[Away Score]],_xlfn.BINOM.INV(10000,(VLOOKUP(O181,$CK$4:$CM$27,2,FALSE)*VLOOKUP(L181,$CK$4:$CM$27,3,FALSE)*($CM$2/2))/10000,RAND()))</f>
        <v>2</v>
      </c>
      <c r="O181" t="str">
        <f>Scores_and_Fixtures[[#This Row],[Away]]</f>
        <v>Ipswich Town</v>
      </c>
      <c r="U181">
        <v>80</v>
      </c>
      <c r="V181">
        <v>10</v>
      </c>
      <c r="W181">
        <v>14</v>
      </c>
      <c r="X181">
        <v>11</v>
      </c>
      <c r="Y181">
        <v>19</v>
      </c>
      <c r="Z181">
        <v>16</v>
      </c>
      <c r="AA181">
        <v>20</v>
      </c>
      <c r="AB181">
        <v>4</v>
      </c>
      <c r="AC181">
        <v>2</v>
      </c>
      <c r="AD181">
        <v>5</v>
      </c>
      <c r="AE181">
        <v>1</v>
      </c>
      <c r="AF181">
        <v>15</v>
      </c>
      <c r="AG181">
        <v>17</v>
      </c>
      <c r="AH181">
        <v>12</v>
      </c>
      <c r="AI181">
        <v>9</v>
      </c>
      <c r="AJ181">
        <v>18</v>
      </c>
      <c r="AK181">
        <v>22</v>
      </c>
      <c r="AL181">
        <v>24</v>
      </c>
      <c r="AM181">
        <v>23</v>
      </c>
      <c r="AN181">
        <v>3</v>
      </c>
      <c r="AO181">
        <v>21</v>
      </c>
      <c r="AP181">
        <v>8</v>
      </c>
      <c r="AQ181">
        <v>13</v>
      </c>
      <c r="AR181">
        <v>7</v>
      </c>
      <c r="AS181">
        <v>6</v>
      </c>
    </row>
    <row r="182" spans="1:45" x14ac:dyDescent="0.25">
      <c r="A182">
        <v>16</v>
      </c>
      <c r="B182" t="s">
        <v>379</v>
      </c>
      <c r="C182">
        <v>1</v>
      </c>
      <c r="D182">
        <v>2</v>
      </c>
      <c r="E182" t="s">
        <v>392</v>
      </c>
      <c r="K182">
        <f>Scores_and_Fixtures[[#This Row],[Wk]]</f>
        <v>16</v>
      </c>
      <c r="L182" t="str">
        <f>Scores_and_Fixtures[[#This Row],[Home]]</f>
        <v>Blackburn</v>
      </c>
      <c r="M182">
        <f ca="1">IF(ISBLANK(Scores_and_Fixtures[[#This Row],[Home Score]])=FALSE,Scores_and_Fixtures[[#This Row],[Home Score]],_xlfn.BINOM.INV(10000,(VLOOKUP(L182,$CK$4:$CM$27,2,FALSE)*VLOOKUP(O182,$CK$4:$CM$27,3,FALSE)*($CM$2/2))/10000,RAND()))</f>
        <v>1</v>
      </c>
      <c r="N182">
        <f ca="1">IF(ISBLANK(Scores_and_Fixtures[[#This Row],[Away Score]])=FALSE,Scores_and_Fixtures[[#This Row],[Away Score]],_xlfn.BINOM.INV(10000,(VLOOKUP(O182,$CK$4:$CM$27,2,FALSE)*VLOOKUP(L182,$CK$4:$CM$27,3,FALSE)*($CM$2/2))/10000,RAND()))</f>
        <v>2</v>
      </c>
      <c r="O182" t="str">
        <f>Scores_and_Fixtures[[#This Row],[Away]]</f>
        <v>Preston</v>
      </c>
      <c r="U182">
        <v>81</v>
      </c>
      <c r="V182">
        <v>16</v>
      </c>
      <c r="W182">
        <v>11</v>
      </c>
      <c r="X182">
        <v>15</v>
      </c>
      <c r="Y182">
        <v>13</v>
      </c>
      <c r="Z182">
        <v>9</v>
      </c>
      <c r="AA182">
        <v>19</v>
      </c>
      <c r="AB182">
        <v>8</v>
      </c>
      <c r="AC182">
        <v>3</v>
      </c>
      <c r="AD182">
        <v>2</v>
      </c>
      <c r="AE182">
        <v>1</v>
      </c>
      <c r="AF182">
        <v>17</v>
      </c>
      <c r="AG182">
        <v>21</v>
      </c>
      <c r="AH182">
        <v>10</v>
      </c>
      <c r="AI182">
        <v>18</v>
      </c>
      <c r="AJ182">
        <v>14</v>
      </c>
      <c r="AK182">
        <v>20</v>
      </c>
      <c r="AL182">
        <v>24</v>
      </c>
      <c r="AM182">
        <v>23</v>
      </c>
      <c r="AN182">
        <v>4</v>
      </c>
      <c r="AO182">
        <v>22</v>
      </c>
      <c r="AP182">
        <v>5</v>
      </c>
      <c r="AQ182">
        <v>12</v>
      </c>
      <c r="AR182">
        <v>7</v>
      </c>
      <c r="AS182">
        <v>6</v>
      </c>
    </row>
    <row r="183" spans="1:45" x14ac:dyDescent="0.25">
      <c r="A183">
        <v>16</v>
      </c>
      <c r="B183" t="s">
        <v>398</v>
      </c>
      <c r="C183">
        <v>3</v>
      </c>
      <c r="D183">
        <v>1</v>
      </c>
      <c r="E183" t="s">
        <v>378</v>
      </c>
      <c r="K183">
        <f>Scores_and_Fixtures[[#This Row],[Wk]]</f>
        <v>16</v>
      </c>
      <c r="L183" t="str">
        <f>Scores_and_Fixtures[[#This Row],[Home]]</f>
        <v>Sunderland</v>
      </c>
      <c r="M183">
        <f ca="1">IF(ISBLANK(Scores_and_Fixtures[[#This Row],[Home Score]])=FALSE,Scores_and_Fixtures[[#This Row],[Home Score]],_xlfn.BINOM.INV(10000,(VLOOKUP(L183,$CK$4:$CM$27,2,FALSE)*VLOOKUP(O183,$CK$4:$CM$27,3,FALSE)*($CM$2/2))/10000,RAND()))</f>
        <v>3</v>
      </c>
      <c r="N183">
        <f ca="1">IF(ISBLANK(Scores_and_Fixtures[[#This Row],[Away Score]])=FALSE,Scores_and_Fixtures[[#This Row],[Away Score]],_xlfn.BINOM.INV(10000,(VLOOKUP(O183,$CK$4:$CM$27,2,FALSE)*VLOOKUP(L183,$CK$4:$CM$27,3,FALSE)*($CM$2/2))/10000,RAND()))</f>
        <v>1</v>
      </c>
      <c r="O183" t="str">
        <f>Scores_and_Fixtures[[#This Row],[Away]]</f>
        <v>Birmingham City</v>
      </c>
      <c r="U183">
        <v>82</v>
      </c>
      <c r="V183">
        <v>18</v>
      </c>
      <c r="W183">
        <v>10</v>
      </c>
      <c r="X183">
        <v>14</v>
      </c>
      <c r="Y183">
        <v>12</v>
      </c>
      <c r="Z183">
        <v>15</v>
      </c>
      <c r="AA183">
        <v>19</v>
      </c>
      <c r="AB183">
        <v>7</v>
      </c>
      <c r="AC183">
        <v>2</v>
      </c>
      <c r="AD183">
        <v>4</v>
      </c>
      <c r="AE183">
        <v>1</v>
      </c>
      <c r="AF183">
        <v>11</v>
      </c>
      <c r="AG183">
        <v>20</v>
      </c>
      <c r="AH183">
        <v>8</v>
      </c>
      <c r="AI183">
        <v>16</v>
      </c>
      <c r="AJ183">
        <v>9</v>
      </c>
      <c r="AK183">
        <v>22</v>
      </c>
      <c r="AL183">
        <v>24</v>
      </c>
      <c r="AM183">
        <v>23</v>
      </c>
      <c r="AN183">
        <v>3</v>
      </c>
      <c r="AO183">
        <v>21</v>
      </c>
      <c r="AP183">
        <v>6</v>
      </c>
      <c r="AQ183">
        <v>17</v>
      </c>
      <c r="AR183">
        <v>13</v>
      </c>
      <c r="AS183">
        <v>5</v>
      </c>
    </row>
    <row r="184" spans="1:45" x14ac:dyDescent="0.25">
      <c r="A184">
        <v>16</v>
      </c>
      <c r="B184" t="s">
        <v>382</v>
      </c>
      <c r="C184">
        <v>0</v>
      </c>
      <c r="D184">
        <v>0</v>
      </c>
      <c r="E184" t="s">
        <v>397</v>
      </c>
      <c r="K184">
        <f>Scores_and_Fixtures[[#This Row],[Wk]]</f>
        <v>16</v>
      </c>
      <c r="L184" t="str">
        <f>Scores_and_Fixtures[[#This Row],[Home]]</f>
        <v>Coventry City</v>
      </c>
      <c r="M184">
        <f ca="1">IF(ISBLANK(Scores_and_Fixtures[[#This Row],[Home Score]])=FALSE,Scores_and_Fixtures[[#This Row],[Home Score]],_xlfn.BINOM.INV(10000,(VLOOKUP(L184,$CK$4:$CM$27,2,FALSE)*VLOOKUP(O184,$CK$4:$CM$27,3,FALSE)*($CM$2/2))/10000,RAND()))</f>
        <v>0</v>
      </c>
      <c r="N184">
        <f ca="1">IF(ISBLANK(Scores_and_Fixtures[[#This Row],[Away Score]])=FALSE,Scores_and_Fixtures[[#This Row],[Away Score]],_xlfn.BINOM.INV(10000,(VLOOKUP(O184,$CK$4:$CM$27,2,FALSE)*VLOOKUP(L184,$CK$4:$CM$27,3,FALSE)*($CM$2/2))/10000,RAND()))</f>
        <v>0</v>
      </c>
      <c r="O184" t="str">
        <f>Scores_and_Fixtures[[#This Row],[Away]]</f>
        <v>Stoke City</v>
      </c>
      <c r="U184">
        <v>83</v>
      </c>
      <c r="V184">
        <v>18</v>
      </c>
      <c r="W184">
        <v>8</v>
      </c>
      <c r="X184">
        <v>13</v>
      </c>
      <c r="Y184">
        <v>9</v>
      </c>
      <c r="Z184">
        <v>17</v>
      </c>
      <c r="AA184">
        <v>20</v>
      </c>
      <c r="AB184">
        <v>7</v>
      </c>
      <c r="AC184">
        <v>2</v>
      </c>
      <c r="AD184">
        <v>3</v>
      </c>
      <c r="AE184">
        <v>1</v>
      </c>
      <c r="AF184">
        <v>10</v>
      </c>
      <c r="AG184">
        <v>21</v>
      </c>
      <c r="AH184">
        <v>12</v>
      </c>
      <c r="AI184">
        <v>16</v>
      </c>
      <c r="AJ184">
        <v>14</v>
      </c>
      <c r="AK184">
        <v>22</v>
      </c>
      <c r="AL184">
        <v>24</v>
      </c>
      <c r="AM184">
        <v>23</v>
      </c>
      <c r="AN184">
        <v>4</v>
      </c>
      <c r="AO184">
        <v>19</v>
      </c>
      <c r="AP184">
        <v>11</v>
      </c>
      <c r="AQ184">
        <v>15</v>
      </c>
      <c r="AR184">
        <v>5</v>
      </c>
      <c r="AS184">
        <v>6</v>
      </c>
    </row>
    <row r="185" spans="1:45" x14ac:dyDescent="0.25">
      <c r="A185">
        <v>16</v>
      </c>
      <c r="B185" t="s">
        <v>386</v>
      </c>
      <c r="C185">
        <v>2</v>
      </c>
      <c r="D185">
        <v>1</v>
      </c>
      <c r="E185" t="s">
        <v>391</v>
      </c>
      <c r="K185">
        <f>Scores_and_Fixtures[[#This Row],[Wk]]</f>
        <v>16</v>
      </c>
      <c r="L185" t="str">
        <f>Scores_and_Fixtures[[#This Row],[Home]]</f>
        <v>Leeds United</v>
      </c>
      <c r="M185">
        <f ca="1">IF(ISBLANK(Scores_and_Fixtures[[#This Row],[Home Score]])=FALSE,Scores_and_Fixtures[[#This Row],[Home Score]],_xlfn.BINOM.INV(10000,(VLOOKUP(L185,$CK$4:$CM$27,2,FALSE)*VLOOKUP(O185,$CK$4:$CM$27,3,FALSE)*($CM$2/2))/10000,RAND()))</f>
        <v>2</v>
      </c>
      <c r="N185">
        <f ca="1">IF(ISBLANK(Scores_and_Fixtures[[#This Row],[Away Score]])=FALSE,Scores_and_Fixtures[[#This Row],[Away Score]],_xlfn.BINOM.INV(10000,(VLOOKUP(O185,$CK$4:$CM$27,2,FALSE)*VLOOKUP(L185,$CK$4:$CM$27,3,FALSE)*($CM$2/2))/10000,RAND()))</f>
        <v>1</v>
      </c>
      <c r="O185" t="str">
        <f>Scores_and_Fixtures[[#This Row],[Away]]</f>
        <v>Plymouth Argyle</v>
      </c>
      <c r="U185">
        <v>84</v>
      </c>
      <c r="V185">
        <v>15</v>
      </c>
      <c r="W185">
        <v>8</v>
      </c>
      <c r="X185">
        <v>13</v>
      </c>
      <c r="Y185">
        <v>12</v>
      </c>
      <c r="Z185">
        <v>14</v>
      </c>
      <c r="AA185">
        <v>20</v>
      </c>
      <c r="AB185">
        <v>7</v>
      </c>
      <c r="AC185">
        <v>1</v>
      </c>
      <c r="AD185">
        <v>5</v>
      </c>
      <c r="AE185">
        <v>2</v>
      </c>
      <c r="AF185">
        <v>9</v>
      </c>
      <c r="AG185">
        <v>17</v>
      </c>
      <c r="AH185">
        <v>11</v>
      </c>
      <c r="AI185">
        <v>19</v>
      </c>
      <c r="AJ185">
        <v>18</v>
      </c>
      <c r="AK185">
        <v>22</v>
      </c>
      <c r="AL185">
        <v>24</v>
      </c>
      <c r="AM185">
        <v>23</v>
      </c>
      <c r="AN185">
        <v>3</v>
      </c>
      <c r="AO185">
        <v>21</v>
      </c>
      <c r="AP185">
        <v>6</v>
      </c>
      <c r="AQ185">
        <v>16</v>
      </c>
      <c r="AR185">
        <v>10</v>
      </c>
      <c r="AS185">
        <v>4</v>
      </c>
    </row>
    <row r="186" spans="1:45" x14ac:dyDescent="0.25">
      <c r="A186">
        <v>16</v>
      </c>
      <c r="B186" t="s">
        <v>388</v>
      </c>
      <c r="C186">
        <v>1</v>
      </c>
      <c r="D186">
        <v>0</v>
      </c>
      <c r="E186" t="s">
        <v>387</v>
      </c>
      <c r="K186">
        <f>Scores_and_Fixtures[[#This Row],[Wk]]</f>
        <v>16</v>
      </c>
      <c r="L186" t="str">
        <f>Scores_and_Fixtures[[#This Row],[Home]]</f>
        <v>Middlesbrough</v>
      </c>
      <c r="M186">
        <f ca="1">IF(ISBLANK(Scores_and_Fixtures[[#This Row],[Home Score]])=FALSE,Scores_and_Fixtures[[#This Row],[Home Score]],_xlfn.BINOM.INV(10000,(VLOOKUP(L186,$CK$4:$CM$27,2,FALSE)*VLOOKUP(O186,$CK$4:$CM$27,3,FALSE)*($CM$2/2))/10000,RAND()))</f>
        <v>1</v>
      </c>
      <c r="N186">
        <f ca="1">IF(ISBLANK(Scores_and_Fixtures[[#This Row],[Away Score]])=FALSE,Scores_and_Fixtures[[#This Row],[Away Score]],_xlfn.BINOM.INV(10000,(VLOOKUP(O186,$CK$4:$CM$27,2,FALSE)*VLOOKUP(L186,$CK$4:$CM$27,3,FALSE)*($CM$2/2))/10000,RAND()))</f>
        <v>0</v>
      </c>
      <c r="O186" t="str">
        <f>Scores_and_Fixtures[[#This Row],[Away]]</f>
        <v>Leicester City</v>
      </c>
      <c r="U186">
        <v>85</v>
      </c>
      <c r="V186">
        <v>17</v>
      </c>
      <c r="W186">
        <v>10</v>
      </c>
      <c r="X186">
        <v>12</v>
      </c>
      <c r="Y186">
        <v>9</v>
      </c>
      <c r="Z186">
        <v>15</v>
      </c>
      <c r="AA186">
        <v>21</v>
      </c>
      <c r="AB186">
        <v>7</v>
      </c>
      <c r="AC186">
        <v>2</v>
      </c>
      <c r="AD186">
        <v>3</v>
      </c>
      <c r="AE186">
        <v>1</v>
      </c>
      <c r="AF186">
        <v>13</v>
      </c>
      <c r="AG186">
        <v>19</v>
      </c>
      <c r="AH186">
        <v>11</v>
      </c>
      <c r="AI186">
        <v>16</v>
      </c>
      <c r="AJ186">
        <v>14</v>
      </c>
      <c r="AK186">
        <v>22</v>
      </c>
      <c r="AL186">
        <v>24</v>
      </c>
      <c r="AM186">
        <v>23</v>
      </c>
      <c r="AN186">
        <v>4</v>
      </c>
      <c r="AO186">
        <v>18</v>
      </c>
      <c r="AP186">
        <v>6</v>
      </c>
      <c r="AQ186">
        <v>20</v>
      </c>
      <c r="AR186">
        <v>8</v>
      </c>
      <c r="AS186">
        <v>5</v>
      </c>
    </row>
    <row r="187" spans="1:45" x14ac:dyDescent="0.25">
      <c r="A187">
        <v>16</v>
      </c>
      <c r="B187" t="s">
        <v>385</v>
      </c>
      <c r="C187">
        <v>3</v>
      </c>
      <c r="D187">
        <v>2</v>
      </c>
      <c r="E187" t="s">
        <v>399</v>
      </c>
      <c r="K187">
        <f>Scores_and_Fixtures[[#This Row],[Wk]]</f>
        <v>16</v>
      </c>
      <c r="L187" t="str">
        <f>Scores_and_Fixtures[[#This Row],[Home]]</f>
        <v>Ipswich Town</v>
      </c>
      <c r="M187">
        <f ca="1">IF(ISBLANK(Scores_and_Fixtures[[#This Row],[Home Score]])=FALSE,Scores_and_Fixtures[[#This Row],[Home Score]],_xlfn.BINOM.INV(10000,(VLOOKUP(L187,$CK$4:$CM$27,2,FALSE)*VLOOKUP(O187,$CK$4:$CM$27,3,FALSE)*($CM$2/2))/10000,RAND()))</f>
        <v>3</v>
      </c>
      <c r="N187">
        <f ca="1">IF(ISBLANK(Scores_and_Fixtures[[#This Row],[Away Score]])=FALSE,Scores_and_Fixtures[[#This Row],[Away Score]],_xlfn.BINOM.INV(10000,(VLOOKUP(O187,$CK$4:$CM$27,2,FALSE)*VLOOKUP(L187,$CK$4:$CM$27,3,FALSE)*($CM$2/2))/10000,RAND()))</f>
        <v>2</v>
      </c>
      <c r="O187" t="str">
        <f>Scores_and_Fixtures[[#This Row],[Away]]</f>
        <v>Swansea City</v>
      </c>
      <c r="U187">
        <v>86</v>
      </c>
      <c r="V187">
        <v>21</v>
      </c>
      <c r="W187">
        <v>11</v>
      </c>
      <c r="X187">
        <v>10</v>
      </c>
      <c r="Y187">
        <v>14</v>
      </c>
      <c r="Z187">
        <v>15</v>
      </c>
      <c r="AA187">
        <v>20</v>
      </c>
      <c r="AB187">
        <v>7</v>
      </c>
      <c r="AC187">
        <v>3</v>
      </c>
      <c r="AD187">
        <v>2</v>
      </c>
      <c r="AE187">
        <v>1</v>
      </c>
      <c r="AF187">
        <v>9</v>
      </c>
      <c r="AG187">
        <v>22</v>
      </c>
      <c r="AH187">
        <v>13</v>
      </c>
      <c r="AI187">
        <v>16</v>
      </c>
      <c r="AJ187">
        <v>12</v>
      </c>
      <c r="AK187">
        <v>19</v>
      </c>
      <c r="AL187">
        <v>24</v>
      </c>
      <c r="AM187">
        <v>23</v>
      </c>
      <c r="AN187">
        <v>4</v>
      </c>
      <c r="AO187">
        <v>17</v>
      </c>
      <c r="AP187">
        <v>6</v>
      </c>
      <c r="AQ187">
        <v>18</v>
      </c>
      <c r="AR187">
        <v>8</v>
      </c>
      <c r="AS187">
        <v>5</v>
      </c>
    </row>
    <row r="188" spans="1:45" x14ac:dyDescent="0.25">
      <c r="A188">
        <v>16</v>
      </c>
      <c r="B188" t="s">
        <v>395</v>
      </c>
      <c r="C188">
        <v>0</v>
      </c>
      <c r="D188">
        <v>4</v>
      </c>
      <c r="E188" t="s">
        <v>389</v>
      </c>
      <c r="K188">
        <f>Scores_and_Fixtures[[#This Row],[Wk]]</f>
        <v>16</v>
      </c>
      <c r="L188" t="str">
        <f>Scores_and_Fixtures[[#This Row],[Home]]</f>
        <v>Sheffield Weds</v>
      </c>
      <c r="M188">
        <f ca="1">IF(ISBLANK(Scores_and_Fixtures[[#This Row],[Home Score]])=FALSE,Scores_and_Fixtures[[#This Row],[Home Score]],_xlfn.BINOM.INV(10000,(VLOOKUP(L188,$CK$4:$CM$27,2,FALSE)*VLOOKUP(O188,$CK$4:$CM$27,3,FALSE)*($CM$2/2))/10000,RAND()))</f>
        <v>0</v>
      </c>
      <c r="N188">
        <f ca="1">IF(ISBLANK(Scores_and_Fixtures[[#This Row],[Away Score]])=FALSE,Scores_and_Fixtures[[#This Row],[Away Score]],_xlfn.BINOM.INV(10000,(VLOOKUP(O188,$CK$4:$CM$27,2,FALSE)*VLOOKUP(L188,$CK$4:$CM$27,3,FALSE)*($CM$2/2))/10000,RAND()))</f>
        <v>4</v>
      </c>
      <c r="O188" t="str">
        <f>Scores_and_Fixtures[[#This Row],[Away]]</f>
        <v>Millwall</v>
      </c>
      <c r="U188">
        <v>87</v>
      </c>
      <c r="V188">
        <v>12</v>
      </c>
      <c r="W188">
        <v>8</v>
      </c>
      <c r="X188">
        <v>11</v>
      </c>
      <c r="Y188">
        <v>14</v>
      </c>
      <c r="Z188">
        <v>15</v>
      </c>
      <c r="AA188">
        <v>23</v>
      </c>
      <c r="AB188">
        <v>4</v>
      </c>
      <c r="AC188">
        <v>2</v>
      </c>
      <c r="AD188">
        <v>3</v>
      </c>
      <c r="AE188">
        <v>1</v>
      </c>
      <c r="AF188">
        <v>13</v>
      </c>
      <c r="AG188">
        <v>19</v>
      </c>
      <c r="AH188">
        <v>10</v>
      </c>
      <c r="AI188">
        <v>17</v>
      </c>
      <c r="AJ188">
        <v>16</v>
      </c>
      <c r="AK188">
        <v>22</v>
      </c>
      <c r="AL188">
        <v>24</v>
      </c>
      <c r="AM188">
        <v>21</v>
      </c>
      <c r="AN188">
        <v>5</v>
      </c>
      <c r="AO188">
        <v>20</v>
      </c>
      <c r="AP188">
        <v>7</v>
      </c>
      <c r="AQ188">
        <v>18</v>
      </c>
      <c r="AR188">
        <v>9</v>
      </c>
      <c r="AS188">
        <v>6</v>
      </c>
    </row>
    <row r="189" spans="1:45" x14ac:dyDescent="0.25">
      <c r="A189">
        <v>16</v>
      </c>
      <c r="B189" t="s">
        <v>400</v>
      </c>
      <c r="C189">
        <v>5</v>
      </c>
      <c r="D189">
        <v>0</v>
      </c>
      <c r="E189" t="s">
        <v>394</v>
      </c>
      <c r="K189">
        <f>Scores_and_Fixtures[[#This Row],[Wk]]</f>
        <v>16</v>
      </c>
      <c r="L189" t="str">
        <f>Scores_and_Fixtures[[#This Row],[Home]]</f>
        <v>Watford</v>
      </c>
      <c r="M189">
        <f ca="1">IF(ISBLANK(Scores_and_Fixtures[[#This Row],[Home Score]])=FALSE,Scores_and_Fixtures[[#This Row],[Home Score]],_xlfn.BINOM.INV(10000,(VLOOKUP(L189,$CK$4:$CM$27,2,FALSE)*VLOOKUP(O189,$CK$4:$CM$27,3,FALSE)*($CM$2/2))/10000,RAND()))</f>
        <v>5</v>
      </c>
      <c r="N189">
        <f ca="1">IF(ISBLANK(Scores_and_Fixtures[[#This Row],[Away Score]])=FALSE,Scores_and_Fixtures[[#This Row],[Away Score]],_xlfn.BINOM.INV(10000,(VLOOKUP(O189,$CK$4:$CM$27,2,FALSE)*VLOOKUP(L189,$CK$4:$CM$27,3,FALSE)*($CM$2/2))/10000,RAND()))</f>
        <v>0</v>
      </c>
      <c r="O189" t="str">
        <f>Scores_and_Fixtures[[#This Row],[Away]]</f>
        <v>Rotherham Utd</v>
      </c>
      <c r="U189">
        <v>88</v>
      </c>
      <c r="V189">
        <v>19</v>
      </c>
      <c r="W189">
        <v>10</v>
      </c>
      <c r="X189">
        <v>13</v>
      </c>
      <c r="Y189">
        <v>14</v>
      </c>
      <c r="Z189">
        <v>15</v>
      </c>
      <c r="AA189">
        <v>16</v>
      </c>
      <c r="AB189">
        <v>6</v>
      </c>
      <c r="AC189">
        <v>2</v>
      </c>
      <c r="AD189">
        <v>3</v>
      </c>
      <c r="AE189">
        <v>1</v>
      </c>
      <c r="AF189">
        <v>7</v>
      </c>
      <c r="AG189">
        <v>20</v>
      </c>
      <c r="AH189">
        <v>12</v>
      </c>
      <c r="AI189">
        <v>11</v>
      </c>
      <c r="AJ189">
        <v>17</v>
      </c>
      <c r="AK189">
        <v>22</v>
      </c>
      <c r="AL189">
        <v>24</v>
      </c>
      <c r="AM189">
        <v>23</v>
      </c>
      <c r="AN189">
        <v>4</v>
      </c>
      <c r="AO189">
        <v>21</v>
      </c>
      <c r="AP189">
        <v>9</v>
      </c>
      <c r="AQ189">
        <v>18</v>
      </c>
      <c r="AR189">
        <v>8</v>
      </c>
      <c r="AS189">
        <v>5</v>
      </c>
    </row>
    <row r="190" spans="1:45" x14ac:dyDescent="0.25">
      <c r="A190">
        <v>16</v>
      </c>
      <c r="B190" t="s">
        <v>396</v>
      </c>
      <c r="C190">
        <v>2</v>
      </c>
      <c r="D190">
        <v>1</v>
      </c>
      <c r="E190" t="s">
        <v>401</v>
      </c>
      <c r="K190">
        <f>Scores_and_Fixtures[[#This Row],[Wk]]</f>
        <v>16</v>
      </c>
      <c r="L190" t="str">
        <f>Scores_and_Fixtures[[#This Row],[Home]]</f>
        <v>Southampton</v>
      </c>
      <c r="M190">
        <f ca="1">IF(ISBLANK(Scores_and_Fixtures[[#This Row],[Home Score]])=FALSE,Scores_and_Fixtures[[#This Row],[Home Score]],_xlfn.BINOM.INV(10000,(VLOOKUP(L190,$CK$4:$CM$27,2,FALSE)*VLOOKUP(O190,$CK$4:$CM$27,3,FALSE)*($CM$2/2))/10000,RAND()))</f>
        <v>2</v>
      </c>
      <c r="N190">
        <f ca="1">IF(ISBLANK(Scores_and_Fixtures[[#This Row],[Away Score]])=FALSE,Scores_and_Fixtures[[#This Row],[Away Score]],_xlfn.BINOM.INV(10000,(VLOOKUP(O190,$CK$4:$CM$27,2,FALSE)*VLOOKUP(L190,$CK$4:$CM$27,3,FALSE)*($CM$2/2))/10000,RAND()))</f>
        <v>1</v>
      </c>
      <c r="O190" t="str">
        <f>Scores_and_Fixtures[[#This Row],[Away]]</f>
        <v>West Brom</v>
      </c>
      <c r="U190">
        <v>89</v>
      </c>
      <c r="V190">
        <v>20</v>
      </c>
      <c r="W190">
        <v>12</v>
      </c>
      <c r="X190">
        <v>9</v>
      </c>
      <c r="Y190">
        <v>11</v>
      </c>
      <c r="Z190">
        <v>16</v>
      </c>
      <c r="AA190">
        <v>22</v>
      </c>
      <c r="AB190">
        <v>6</v>
      </c>
      <c r="AC190">
        <v>2</v>
      </c>
      <c r="AD190">
        <v>3</v>
      </c>
      <c r="AE190">
        <v>1</v>
      </c>
      <c r="AF190">
        <v>14</v>
      </c>
      <c r="AG190">
        <v>19</v>
      </c>
      <c r="AH190">
        <v>10</v>
      </c>
      <c r="AI190">
        <v>15</v>
      </c>
      <c r="AJ190">
        <v>13</v>
      </c>
      <c r="AK190">
        <v>21</v>
      </c>
      <c r="AL190">
        <v>23</v>
      </c>
      <c r="AM190">
        <v>24</v>
      </c>
      <c r="AN190">
        <v>4</v>
      </c>
      <c r="AO190">
        <v>18</v>
      </c>
      <c r="AP190">
        <v>8</v>
      </c>
      <c r="AQ190">
        <v>17</v>
      </c>
      <c r="AR190">
        <v>7</v>
      </c>
      <c r="AS190">
        <v>5</v>
      </c>
    </row>
    <row r="191" spans="1:45" x14ac:dyDescent="0.25">
      <c r="A191">
        <v>16</v>
      </c>
      <c r="B191" t="s">
        <v>384</v>
      </c>
      <c r="C191">
        <v>1</v>
      </c>
      <c r="D191">
        <v>0</v>
      </c>
      <c r="E191" t="s">
        <v>383</v>
      </c>
      <c r="K191">
        <f>Scores_and_Fixtures[[#This Row],[Wk]]</f>
        <v>16</v>
      </c>
      <c r="L191" t="str">
        <f>Scores_and_Fixtures[[#This Row],[Home]]</f>
        <v>Hull City</v>
      </c>
      <c r="M191">
        <f ca="1">IF(ISBLANK(Scores_and_Fixtures[[#This Row],[Home Score]])=FALSE,Scores_and_Fixtures[[#This Row],[Home Score]],_xlfn.BINOM.INV(10000,(VLOOKUP(L191,$CK$4:$CM$27,2,FALSE)*VLOOKUP(O191,$CK$4:$CM$27,3,FALSE)*($CM$2/2))/10000,RAND()))</f>
        <v>1</v>
      </c>
      <c r="N191">
        <f ca="1">IF(ISBLANK(Scores_and_Fixtures[[#This Row],[Away Score]])=FALSE,Scores_and_Fixtures[[#This Row],[Away Score]],_xlfn.BINOM.INV(10000,(VLOOKUP(O191,$CK$4:$CM$27,2,FALSE)*VLOOKUP(L191,$CK$4:$CM$27,3,FALSE)*($CM$2/2))/10000,RAND()))</f>
        <v>0</v>
      </c>
      <c r="O191" t="str">
        <f>Scores_and_Fixtures[[#This Row],[Away]]</f>
        <v>Huddersfield</v>
      </c>
      <c r="U191">
        <v>90</v>
      </c>
      <c r="V191">
        <v>11</v>
      </c>
      <c r="W191">
        <v>8</v>
      </c>
      <c r="X191">
        <v>18</v>
      </c>
      <c r="Y191">
        <v>7</v>
      </c>
      <c r="Z191">
        <v>15</v>
      </c>
      <c r="AA191">
        <v>22</v>
      </c>
      <c r="AB191">
        <v>5</v>
      </c>
      <c r="AC191">
        <v>2</v>
      </c>
      <c r="AD191">
        <v>4</v>
      </c>
      <c r="AE191">
        <v>1</v>
      </c>
      <c r="AF191">
        <v>12</v>
      </c>
      <c r="AG191">
        <v>19</v>
      </c>
      <c r="AH191">
        <v>16</v>
      </c>
      <c r="AI191">
        <v>14</v>
      </c>
      <c r="AJ191">
        <v>6</v>
      </c>
      <c r="AK191">
        <v>21</v>
      </c>
      <c r="AL191">
        <v>24</v>
      </c>
      <c r="AM191">
        <v>23</v>
      </c>
      <c r="AN191">
        <v>3</v>
      </c>
      <c r="AO191">
        <v>20</v>
      </c>
      <c r="AP191">
        <v>10</v>
      </c>
      <c r="AQ191">
        <v>17</v>
      </c>
      <c r="AR191">
        <v>9</v>
      </c>
      <c r="AS191">
        <v>13</v>
      </c>
    </row>
    <row r="192" spans="1:45" x14ac:dyDescent="0.25">
      <c r="A192">
        <v>16</v>
      </c>
      <c r="B192" t="s">
        <v>393</v>
      </c>
      <c r="C192">
        <v>0</v>
      </c>
      <c r="D192">
        <v>0</v>
      </c>
      <c r="E192" t="s">
        <v>380</v>
      </c>
      <c r="K192">
        <f>Scores_and_Fixtures[[#This Row],[Wk]]</f>
        <v>16</v>
      </c>
      <c r="L192" t="str">
        <f>Scores_and_Fixtures[[#This Row],[Home]]</f>
        <v>QPR</v>
      </c>
      <c r="M192">
        <f ca="1">IF(ISBLANK(Scores_and_Fixtures[[#This Row],[Home Score]])=FALSE,Scores_and_Fixtures[[#This Row],[Home Score]],_xlfn.BINOM.INV(10000,(VLOOKUP(L192,$CK$4:$CM$27,2,FALSE)*VLOOKUP(O192,$CK$4:$CM$27,3,FALSE)*($CM$2/2))/10000,RAND()))</f>
        <v>0</v>
      </c>
      <c r="N192">
        <f ca="1">IF(ISBLANK(Scores_and_Fixtures[[#This Row],[Away Score]])=FALSE,Scores_and_Fixtures[[#This Row],[Away Score]],_xlfn.BINOM.INV(10000,(VLOOKUP(O192,$CK$4:$CM$27,2,FALSE)*VLOOKUP(L192,$CK$4:$CM$27,3,FALSE)*($CM$2/2))/10000,RAND()))</f>
        <v>0</v>
      </c>
      <c r="O192" t="str">
        <f>Scores_and_Fixtures[[#This Row],[Away]]</f>
        <v>Bristol City</v>
      </c>
      <c r="U192">
        <v>91</v>
      </c>
      <c r="V192">
        <v>19</v>
      </c>
      <c r="W192">
        <v>10</v>
      </c>
      <c r="X192">
        <v>11</v>
      </c>
      <c r="Y192">
        <v>15</v>
      </c>
      <c r="Z192">
        <v>16</v>
      </c>
      <c r="AA192">
        <v>21</v>
      </c>
      <c r="AB192">
        <v>5</v>
      </c>
      <c r="AC192">
        <v>2</v>
      </c>
      <c r="AD192">
        <v>4</v>
      </c>
      <c r="AE192">
        <v>1</v>
      </c>
      <c r="AF192">
        <v>17</v>
      </c>
      <c r="AG192">
        <v>20</v>
      </c>
      <c r="AH192">
        <v>12</v>
      </c>
      <c r="AI192">
        <v>14</v>
      </c>
      <c r="AJ192">
        <v>9</v>
      </c>
      <c r="AK192">
        <v>22</v>
      </c>
      <c r="AL192">
        <v>24</v>
      </c>
      <c r="AM192">
        <v>23</v>
      </c>
      <c r="AN192">
        <v>3</v>
      </c>
      <c r="AO192">
        <v>18</v>
      </c>
      <c r="AP192">
        <v>8</v>
      </c>
      <c r="AQ192">
        <v>13</v>
      </c>
      <c r="AR192">
        <v>7</v>
      </c>
      <c r="AS192">
        <v>6</v>
      </c>
    </row>
    <row r="193" spans="1:45" x14ac:dyDescent="0.25">
      <c r="A193">
        <v>16</v>
      </c>
      <c r="B193" t="s">
        <v>381</v>
      </c>
      <c r="C193">
        <v>2</v>
      </c>
      <c r="D193">
        <v>3</v>
      </c>
      <c r="E193" t="s">
        <v>390</v>
      </c>
      <c r="K193">
        <f>Scores_and_Fixtures[[#This Row],[Wk]]</f>
        <v>16</v>
      </c>
      <c r="L193" t="str">
        <f>Scores_and_Fixtures[[#This Row],[Home]]</f>
        <v>Cardiff City</v>
      </c>
      <c r="M193">
        <f ca="1">IF(ISBLANK(Scores_and_Fixtures[[#This Row],[Home Score]])=FALSE,Scores_and_Fixtures[[#This Row],[Home Score]],_xlfn.BINOM.INV(10000,(VLOOKUP(L193,$CK$4:$CM$27,2,FALSE)*VLOOKUP(O193,$CK$4:$CM$27,3,FALSE)*($CM$2/2))/10000,RAND()))</f>
        <v>2</v>
      </c>
      <c r="N193">
        <f ca="1">IF(ISBLANK(Scores_and_Fixtures[[#This Row],[Away Score]])=FALSE,Scores_and_Fixtures[[#This Row],[Away Score]],_xlfn.BINOM.INV(10000,(VLOOKUP(O193,$CK$4:$CM$27,2,FALSE)*VLOOKUP(L193,$CK$4:$CM$27,3,FALSE)*($CM$2/2))/10000,RAND()))</f>
        <v>3</v>
      </c>
      <c r="O193" t="str">
        <f>Scores_and_Fixtures[[#This Row],[Away]]</f>
        <v>Norwich City</v>
      </c>
      <c r="U193">
        <v>92</v>
      </c>
      <c r="V193">
        <v>18</v>
      </c>
      <c r="W193">
        <v>8</v>
      </c>
      <c r="X193">
        <v>13</v>
      </c>
      <c r="Y193">
        <v>9</v>
      </c>
      <c r="Z193">
        <v>19</v>
      </c>
      <c r="AA193">
        <v>14</v>
      </c>
      <c r="AB193">
        <v>6</v>
      </c>
      <c r="AC193">
        <v>2</v>
      </c>
      <c r="AD193">
        <v>3</v>
      </c>
      <c r="AE193">
        <v>1</v>
      </c>
      <c r="AF193">
        <v>11</v>
      </c>
      <c r="AG193">
        <v>20</v>
      </c>
      <c r="AH193">
        <v>15</v>
      </c>
      <c r="AI193">
        <v>16</v>
      </c>
      <c r="AJ193">
        <v>12</v>
      </c>
      <c r="AK193">
        <v>21</v>
      </c>
      <c r="AL193">
        <v>23</v>
      </c>
      <c r="AM193">
        <v>24</v>
      </c>
      <c r="AN193">
        <v>4</v>
      </c>
      <c r="AO193">
        <v>22</v>
      </c>
      <c r="AP193">
        <v>7</v>
      </c>
      <c r="AQ193">
        <v>17</v>
      </c>
      <c r="AR193">
        <v>10</v>
      </c>
      <c r="AS193">
        <v>5</v>
      </c>
    </row>
    <row r="194" spans="1:45" x14ac:dyDescent="0.25">
      <c r="A194">
        <v>17</v>
      </c>
      <c r="B194" t="s">
        <v>394</v>
      </c>
      <c r="C194">
        <v>1</v>
      </c>
      <c r="D194">
        <v>1</v>
      </c>
      <c r="E194" t="s">
        <v>386</v>
      </c>
      <c r="K194">
        <f>Scores_and_Fixtures[[#This Row],[Wk]]</f>
        <v>17</v>
      </c>
      <c r="L194" t="str">
        <f>Scores_and_Fixtures[[#This Row],[Home]]</f>
        <v>Rotherham Utd</v>
      </c>
      <c r="M194">
        <f ca="1">IF(ISBLANK(Scores_and_Fixtures[[#This Row],[Home Score]])=FALSE,Scores_and_Fixtures[[#This Row],[Home Score]],_xlfn.BINOM.INV(10000,(VLOOKUP(L194,$CK$4:$CM$27,2,FALSE)*VLOOKUP(O194,$CK$4:$CM$27,3,FALSE)*($CM$2/2))/10000,RAND()))</f>
        <v>1</v>
      </c>
      <c r="N194">
        <f ca="1">IF(ISBLANK(Scores_and_Fixtures[[#This Row],[Away Score]])=FALSE,Scores_and_Fixtures[[#This Row],[Away Score]],_xlfn.BINOM.INV(10000,(VLOOKUP(O194,$CK$4:$CM$27,2,FALSE)*VLOOKUP(L194,$CK$4:$CM$27,3,FALSE)*($CM$2/2))/10000,RAND()))</f>
        <v>1</v>
      </c>
      <c r="O194" t="str">
        <f>Scores_and_Fixtures[[#This Row],[Away]]</f>
        <v>Leeds United</v>
      </c>
      <c r="U194">
        <v>93</v>
      </c>
      <c r="V194">
        <v>18</v>
      </c>
      <c r="W194">
        <v>13</v>
      </c>
      <c r="X194">
        <v>16</v>
      </c>
      <c r="Y194">
        <v>7</v>
      </c>
      <c r="Z194">
        <v>14</v>
      </c>
      <c r="AA194">
        <v>17</v>
      </c>
      <c r="AB194">
        <v>4</v>
      </c>
      <c r="AC194">
        <v>2</v>
      </c>
      <c r="AD194">
        <v>3</v>
      </c>
      <c r="AE194">
        <v>1</v>
      </c>
      <c r="AF194">
        <v>11</v>
      </c>
      <c r="AG194">
        <v>20</v>
      </c>
      <c r="AH194">
        <v>12</v>
      </c>
      <c r="AI194">
        <v>21</v>
      </c>
      <c r="AJ194">
        <v>9</v>
      </c>
      <c r="AK194">
        <v>22</v>
      </c>
      <c r="AL194">
        <v>23</v>
      </c>
      <c r="AM194">
        <v>24</v>
      </c>
      <c r="AN194">
        <v>5</v>
      </c>
      <c r="AO194">
        <v>15</v>
      </c>
      <c r="AP194">
        <v>10</v>
      </c>
      <c r="AQ194">
        <v>19</v>
      </c>
      <c r="AR194">
        <v>8</v>
      </c>
      <c r="AS194">
        <v>6</v>
      </c>
    </row>
    <row r="195" spans="1:45" x14ac:dyDescent="0.25">
      <c r="A195">
        <v>17</v>
      </c>
      <c r="B195" t="s">
        <v>397</v>
      </c>
      <c r="C195">
        <v>0</v>
      </c>
      <c r="D195">
        <v>3</v>
      </c>
      <c r="E195" t="s">
        <v>379</v>
      </c>
      <c r="K195">
        <f>Scores_and_Fixtures[[#This Row],[Wk]]</f>
        <v>17</v>
      </c>
      <c r="L195" t="str">
        <f>Scores_and_Fixtures[[#This Row],[Home]]</f>
        <v>Stoke City</v>
      </c>
      <c r="M195">
        <f ca="1">IF(ISBLANK(Scores_and_Fixtures[[#This Row],[Home Score]])=FALSE,Scores_and_Fixtures[[#This Row],[Home Score]],_xlfn.BINOM.INV(10000,(VLOOKUP(L195,$CK$4:$CM$27,2,FALSE)*VLOOKUP(O195,$CK$4:$CM$27,3,FALSE)*($CM$2/2))/10000,RAND()))</f>
        <v>0</v>
      </c>
      <c r="N195">
        <f ca="1">IF(ISBLANK(Scores_and_Fixtures[[#This Row],[Away Score]])=FALSE,Scores_and_Fixtures[[#This Row],[Away Score]],_xlfn.BINOM.INV(10000,(VLOOKUP(O195,$CK$4:$CM$27,2,FALSE)*VLOOKUP(L195,$CK$4:$CM$27,3,FALSE)*($CM$2/2))/10000,RAND()))</f>
        <v>3</v>
      </c>
      <c r="O195" t="str">
        <f>Scores_and_Fixtures[[#This Row],[Away]]</f>
        <v>Blackburn</v>
      </c>
      <c r="U195">
        <v>94</v>
      </c>
      <c r="V195">
        <v>16</v>
      </c>
      <c r="W195">
        <v>11</v>
      </c>
      <c r="X195">
        <v>14</v>
      </c>
      <c r="Y195">
        <v>6</v>
      </c>
      <c r="Z195">
        <v>15</v>
      </c>
      <c r="AA195">
        <v>20</v>
      </c>
      <c r="AB195">
        <v>8</v>
      </c>
      <c r="AC195">
        <v>2</v>
      </c>
      <c r="AD195">
        <v>4</v>
      </c>
      <c r="AE195">
        <v>1</v>
      </c>
      <c r="AF195">
        <v>13</v>
      </c>
      <c r="AG195">
        <v>17</v>
      </c>
      <c r="AH195">
        <v>10</v>
      </c>
      <c r="AI195">
        <v>18</v>
      </c>
      <c r="AJ195">
        <v>12</v>
      </c>
      <c r="AK195">
        <v>22</v>
      </c>
      <c r="AL195">
        <v>24</v>
      </c>
      <c r="AM195">
        <v>23</v>
      </c>
      <c r="AN195">
        <v>3</v>
      </c>
      <c r="AO195">
        <v>21</v>
      </c>
      <c r="AP195">
        <v>7</v>
      </c>
      <c r="AQ195">
        <v>19</v>
      </c>
      <c r="AR195">
        <v>9</v>
      </c>
      <c r="AS195">
        <v>5</v>
      </c>
    </row>
    <row r="196" spans="1:45" x14ac:dyDescent="0.25">
      <c r="A196">
        <v>17</v>
      </c>
      <c r="B196" t="s">
        <v>380</v>
      </c>
      <c r="C196">
        <v>3</v>
      </c>
      <c r="D196">
        <v>2</v>
      </c>
      <c r="E196" t="s">
        <v>388</v>
      </c>
      <c r="K196">
        <f>Scores_and_Fixtures[[#This Row],[Wk]]</f>
        <v>17</v>
      </c>
      <c r="L196" t="str">
        <f>Scores_and_Fixtures[[#This Row],[Home]]</f>
        <v>Bristol City</v>
      </c>
      <c r="M196">
        <f ca="1">IF(ISBLANK(Scores_and_Fixtures[[#This Row],[Home Score]])=FALSE,Scores_and_Fixtures[[#This Row],[Home Score]],_xlfn.BINOM.INV(10000,(VLOOKUP(L196,$CK$4:$CM$27,2,FALSE)*VLOOKUP(O196,$CK$4:$CM$27,3,FALSE)*($CM$2/2))/10000,RAND()))</f>
        <v>3</v>
      </c>
      <c r="N196">
        <f ca="1">IF(ISBLANK(Scores_and_Fixtures[[#This Row],[Away Score]])=FALSE,Scores_and_Fixtures[[#This Row],[Away Score]],_xlfn.BINOM.INV(10000,(VLOOKUP(O196,$CK$4:$CM$27,2,FALSE)*VLOOKUP(L196,$CK$4:$CM$27,3,FALSE)*($CM$2/2))/10000,RAND()))</f>
        <v>2</v>
      </c>
      <c r="O196" t="str">
        <f>Scores_and_Fixtures[[#This Row],[Away]]</f>
        <v>Middlesbrough</v>
      </c>
      <c r="U196">
        <v>95</v>
      </c>
      <c r="V196">
        <v>17</v>
      </c>
      <c r="W196">
        <v>6</v>
      </c>
      <c r="X196">
        <v>12</v>
      </c>
      <c r="Y196">
        <v>15</v>
      </c>
      <c r="Z196">
        <v>19</v>
      </c>
      <c r="AA196">
        <v>20</v>
      </c>
      <c r="AB196">
        <v>5</v>
      </c>
      <c r="AC196">
        <v>2</v>
      </c>
      <c r="AD196">
        <v>3</v>
      </c>
      <c r="AE196">
        <v>1</v>
      </c>
      <c r="AF196">
        <v>14</v>
      </c>
      <c r="AG196">
        <v>18</v>
      </c>
      <c r="AH196">
        <v>10</v>
      </c>
      <c r="AI196">
        <v>9</v>
      </c>
      <c r="AJ196">
        <v>11</v>
      </c>
      <c r="AK196">
        <v>22</v>
      </c>
      <c r="AL196">
        <v>24</v>
      </c>
      <c r="AM196">
        <v>23</v>
      </c>
      <c r="AN196">
        <v>4</v>
      </c>
      <c r="AO196">
        <v>21</v>
      </c>
      <c r="AP196">
        <v>8</v>
      </c>
      <c r="AQ196">
        <v>16</v>
      </c>
      <c r="AR196">
        <v>7</v>
      </c>
      <c r="AS196">
        <v>13</v>
      </c>
    </row>
    <row r="197" spans="1:45" x14ac:dyDescent="0.25">
      <c r="A197">
        <v>17</v>
      </c>
      <c r="B197" t="s">
        <v>399</v>
      </c>
      <c r="C197">
        <v>2</v>
      </c>
      <c r="D197">
        <v>2</v>
      </c>
      <c r="E197" t="s">
        <v>384</v>
      </c>
      <c r="K197">
        <f>Scores_and_Fixtures[[#This Row],[Wk]]</f>
        <v>17</v>
      </c>
      <c r="L197" t="str">
        <f>Scores_and_Fixtures[[#This Row],[Home]]</f>
        <v>Swansea City</v>
      </c>
      <c r="M197">
        <f ca="1">IF(ISBLANK(Scores_and_Fixtures[[#This Row],[Home Score]])=FALSE,Scores_and_Fixtures[[#This Row],[Home Score]],_xlfn.BINOM.INV(10000,(VLOOKUP(L197,$CK$4:$CM$27,2,FALSE)*VLOOKUP(O197,$CK$4:$CM$27,3,FALSE)*($CM$2/2))/10000,RAND()))</f>
        <v>2</v>
      </c>
      <c r="N197">
        <f ca="1">IF(ISBLANK(Scores_and_Fixtures[[#This Row],[Away Score]])=FALSE,Scores_and_Fixtures[[#This Row],[Away Score]],_xlfn.BINOM.INV(10000,(VLOOKUP(O197,$CK$4:$CM$27,2,FALSE)*VLOOKUP(L197,$CK$4:$CM$27,3,FALSE)*($CM$2/2))/10000,RAND()))</f>
        <v>2</v>
      </c>
      <c r="O197" t="str">
        <f>Scores_and_Fixtures[[#This Row],[Away]]</f>
        <v>Hull City</v>
      </c>
      <c r="U197">
        <v>96</v>
      </c>
      <c r="V197">
        <v>17</v>
      </c>
      <c r="W197">
        <v>9</v>
      </c>
      <c r="X197">
        <v>8</v>
      </c>
      <c r="Y197">
        <v>10</v>
      </c>
      <c r="Z197">
        <v>7</v>
      </c>
      <c r="AA197">
        <v>20</v>
      </c>
      <c r="AB197">
        <v>4</v>
      </c>
      <c r="AC197">
        <v>2</v>
      </c>
      <c r="AD197">
        <v>3</v>
      </c>
      <c r="AE197">
        <v>1</v>
      </c>
      <c r="AF197">
        <v>13</v>
      </c>
      <c r="AG197">
        <v>21</v>
      </c>
      <c r="AH197">
        <v>11</v>
      </c>
      <c r="AI197">
        <v>18</v>
      </c>
      <c r="AJ197">
        <v>16</v>
      </c>
      <c r="AK197">
        <v>22</v>
      </c>
      <c r="AL197">
        <v>24</v>
      </c>
      <c r="AM197">
        <v>23</v>
      </c>
      <c r="AN197">
        <v>5</v>
      </c>
      <c r="AO197">
        <v>14</v>
      </c>
      <c r="AP197">
        <v>12</v>
      </c>
      <c r="AQ197">
        <v>19</v>
      </c>
      <c r="AR197">
        <v>15</v>
      </c>
      <c r="AS197">
        <v>6</v>
      </c>
    </row>
    <row r="198" spans="1:45" x14ac:dyDescent="0.25">
      <c r="A198">
        <v>17</v>
      </c>
      <c r="B198" t="s">
        <v>390</v>
      </c>
      <c r="C198">
        <v>1</v>
      </c>
      <c r="D198">
        <v>0</v>
      </c>
      <c r="E198" t="s">
        <v>393</v>
      </c>
      <c r="K198">
        <f>Scores_and_Fixtures[[#This Row],[Wk]]</f>
        <v>17</v>
      </c>
      <c r="L198" t="str">
        <f>Scores_and_Fixtures[[#This Row],[Home]]</f>
        <v>Norwich City</v>
      </c>
      <c r="M198">
        <f ca="1">IF(ISBLANK(Scores_and_Fixtures[[#This Row],[Home Score]])=FALSE,Scores_and_Fixtures[[#This Row],[Home Score]],_xlfn.BINOM.INV(10000,(VLOOKUP(L198,$CK$4:$CM$27,2,FALSE)*VLOOKUP(O198,$CK$4:$CM$27,3,FALSE)*($CM$2/2))/10000,RAND()))</f>
        <v>1</v>
      </c>
      <c r="N198">
        <f ca="1">IF(ISBLANK(Scores_and_Fixtures[[#This Row],[Away Score]])=FALSE,Scores_and_Fixtures[[#This Row],[Away Score]],_xlfn.BINOM.INV(10000,(VLOOKUP(O198,$CK$4:$CM$27,2,FALSE)*VLOOKUP(L198,$CK$4:$CM$27,3,FALSE)*($CM$2/2))/10000,RAND()))</f>
        <v>0</v>
      </c>
      <c r="O198" t="str">
        <f>Scores_and_Fixtures[[#This Row],[Away]]</f>
        <v>QPR</v>
      </c>
      <c r="U198">
        <v>97</v>
      </c>
      <c r="V198">
        <v>17</v>
      </c>
      <c r="W198">
        <v>13</v>
      </c>
      <c r="X198">
        <v>12</v>
      </c>
      <c r="Y198">
        <v>10</v>
      </c>
      <c r="Z198">
        <v>7</v>
      </c>
      <c r="AA198">
        <v>19</v>
      </c>
      <c r="AB198">
        <v>3</v>
      </c>
      <c r="AC198">
        <v>2</v>
      </c>
      <c r="AD198">
        <v>4</v>
      </c>
      <c r="AE198">
        <v>1</v>
      </c>
      <c r="AF198">
        <v>15</v>
      </c>
      <c r="AG198">
        <v>20</v>
      </c>
      <c r="AH198">
        <v>11</v>
      </c>
      <c r="AI198">
        <v>14</v>
      </c>
      <c r="AJ198">
        <v>18</v>
      </c>
      <c r="AK198">
        <v>21</v>
      </c>
      <c r="AL198">
        <v>23</v>
      </c>
      <c r="AM198">
        <v>24</v>
      </c>
      <c r="AN198">
        <v>5</v>
      </c>
      <c r="AO198">
        <v>22</v>
      </c>
      <c r="AP198">
        <v>9</v>
      </c>
      <c r="AQ198">
        <v>16</v>
      </c>
      <c r="AR198">
        <v>8</v>
      </c>
      <c r="AS198">
        <v>6</v>
      </c>
    </row>
    <row r="199" spans="1:45" x14ac:dyDescent="0.25">
      <c r="A199">
        <v>17</v>
      </c>
      <c r="B199" t="s">
        <v>383</v>
      </c>
      <c r="C199">
        <v>1</v>
      </c>
      <c r="D199">
        <v>1</v>
      </c>
      <c r="E199" t="s">
        <v>396</v>
      </c>
      <c r="K199">
        <f>Scores_and_Fixtures[[#This Row],[Wk]]</f>
        <v>17</v>
      </c>
      <c r="L199" t="str">
        <f>Scores_and_Fixtures[[#This Row],[Home]]</f>
        <v>Huddersfield</v>
      </c>
      <c r="M199">
        <f ca="1">IF(ISBLANK(Scores_and_Fixtures[[#This Row],[Home Score]])=FALSE,Scores_and_Fixtures[[#This Row],[Home Score]],_xlfn.BINOM.INV(10000,(VLOOKUP(L199,$CK$4:$CM$27,2,FALSE)*VLOOKUP(O199,$CK$4:$CM$27,3,FALSE)*($CM$2/2))/10000,RAND()))</f>
        <v>1</v>
      </c>
      <c r="N199">
        <f ca="1">IF(ISBLANK(Scores_and_Fixtures[[#This Row],[Away Score]])=FALSE,Scores_and_Fixtures[[#This Row],[Away Score]],_xlfn.BINOM.INV(10000,(VLOOKUP(O199,$CK$4:$CM$27,2,FALSE)*VLOOKUP(L199,$CK$4:$CM$27,3,FALSE)*($CM$2/2))/10000,RAND()))</f>
        <v>1</v>
      </c>
      <c r="O199" t="str">
        <f>Scores_and_Fixtures[[#This Row],[Away]]</f>
        <v>Southampton</v>
      </c>
      <c r="U199">
        <v>98</v>
      </c>
      <c r="V199">
        <v>19</v>
      </c>
      <c r="W199">
        <v>13</v>
      </c>
      <c r="X199">
        <v>14</v>
      </c>
      <c r="Y199">
        <v>10</v>
      </c>
      <c r="Z199">
        <v>16</v>
      </c>
      <c r="AA199">
        <v>20</v>
      </c>
      <c r="AB199">
        <v>7</v>
      </c>
      <c r="AC199">
        <v>2</v>
      </c>
      <c r="AD199">
        <v>5</v>
      </c>
      <c r="AE199">
        <v>1</v>
      </c>
      <c r="AF199">
        <v>15</v>
      </c>
      <c r="AG199">
        <v>17</v>
      </c>
      <c r="AH199">
        <v>8</v>
      </c>
      <c r="AI199">
        <v>12</v>
      </c>
      <c r="AJ199">
        <v>9</v>
      </c>
      <c r="AK199">
        <v>22</v>
      </c>
      <c r="AL199">
        <v>24</v>
      </c>
      <c r="AM199">
        <v>23</v>
      </c>
      <c r="AN199">
        <v>3</v>
      </c>
      <c r="AO199">
        <v>21</v>
      </c>
      <c r="AP199">
        <v>6</v>
      </c>
      <c r="AQ199">
        <v>18</v>
      </c>
      <c r="AR199">
        <v>11</v>
      </c>
      <c r="AS199">
        <v>4</v>
      </c>
    </row>
    <row r="200" spans="1:45" x14ac:dyDescent="0.25">
      <c r="A200">
        <v>17</v>
      </c>
      <c r="B200" t="s">
        <v>387</v>
      </c>
      <c r="C200">
        <v>2</v>
      </c>
      <c r="D200">
        <v>0</v>
      </c>
      <c r="E200" t="s">
        <v>400</v>
      </c>
      <c r="K200">
        <f>Scores_and_Fixtures[[#This Row],[Wk]]</f>
        <v>17</v>
      </c>
      <c r="L200" t="str">
        <f>Scores_and_Fixtures[[#This Row],[Home]]</f>
        <v>Leicester City</v>
      </c>
      <c r="M200">
        <f ca="1">IF(ISBLANK(Scores_and_Fixtures[[#This Row],[Home Score]])=FALSE,Scores_and_Fixtures[[#This Row],[Home Score]],_xlfn.BINOM.INV(10000,(VLOOKUP(L200,$CK$4:$CM$27,2,FALSE)*VLOOKUP(O200,$CK$4:$CM$27,3,FALSE)*($CM$2/2))/10000,RAND()))</f>
        <v>2</v>
      </c>
      <c r="N200">
        <f ca="1">IF(ISBLANK(Scores_and_Fixtures[[#This Row],[Away Score]])=FALSE,Scores_and_Fixtures[[#This Row],[Away Score]],_xlfn.BINOM.INV(10000,(VLOOKUP(O200,$CK$4:$CM$27,2,FALSE)*VLOOKUP(L200,$CK$4:$CM$27,3,FALSE)*($CM$2/2))/10000,RAND()))</f>
        <v>0</v>
      </c>
      <c r="O200" t="str">
        <f>Scores_and_Fixtures[[#This Row],[Away]]</f>
        <v>Watford</v>
      </c>
      <c r="U200">
        <v>99</v>
      </c>
      <c r="V200">
        <v>20</v>
      </c>
      <c r="W200">
        <v>9</v>
      </c>
      <c r="X200">
        <v>16</v>
      </c>
      <c r="Y200">
        <v>11</v>
      </c>
      <c r="Z200">
        <v>15</v>
      </c>
      <c r="AA200">
        <v>21</v>
      </c>
      <c r="AB200">
        <v>4</v>
      </c>
      <c r="AC200">
        <v>2</v>
      </c>
      <c r="AD200">
        <v>3</v>
      </c>
      <c r="AE200">
        <v>1</v>
      </c>
      <c r="AF200">
        <v>14</v>
      </c>
      <c r="AG200">
        <v>17</v>
      </c>
      <c r="AH200">
        <v>7</v>
      </c>
      <c r="AI200">
        <v>18</v>
      </c>
      <c r="AJ200">
        <v>13</v>
      </c>
      <c r="AK200">
        <v>23</v>
      </c>
      <c r="AL200">
        <v>24</v>
      </c>
      <c r="AM200">
        <v>22</v>
      </c>
      <c r="AN200">
        <v>5</v>
      </c>
      <c r="AO200">
        <v>19</v>
      </c>
      <c r="AP200">
        <v>10</v>
      </c>
      <c r="AQ200">
        <v>12</v>
      </c>
      <c r="AR200">
        <v>8</v>
      </c>
      <c r="AS200">
        <v>6</v>
      </c>
    </row>
    <row r="201" spans="1:45" x14ac:dyDescent="0.25">
      <c r="A201">
        <v>17</v>
      </c>
      <c r="B201" t="s">
        <v>378</v>
      </c>
      <c r="C201">
        <v>2</v>
      </c>
      <c r="D201">
        <v>1</v>
      </c>
      <c r="E201" t="s">
        <v>395</v>
      </c>
      <c r="K201">
        <f>Scores_and_Fixtures[[#This Row],[Wk]]</f>
        <v>17</v>
      </c>
      <c r="L201" t="str">
        <f>Scores_and_Fixtures[[#This Row],[Home]]</f>
        <v>Birmingham City</v>
      </c>
      <c r="M201">
        <f ca="1">IF(ISBLANK(Scores_and_Fixtures[[#This Row],[Home Score]])=FALSE,Scores_and_Fixtures[[#This Row],[Home Score]],_xlfn.BINOM.INV(10000,(VLOOKUP(L201,$CK$4:$CM$27,2,FALSE)*VLOOKUP(O201,$CK$4:$CM$27,3,FALSE)*($CM$2/2))/10000,RAND()))</f>
        <v>2</v>
      </c>
      <c r="N201">
        <f ca="1">IF(ISBLANK(Scores_and_Fixtures[[#This Row],[Away Score]])=FALSE,Scores_and_Fixtures[[#This Row],[Away Score]],_xlfn.BINOM.INV(10000,(VLOOKUP(O201,$CK$4:$CM$27,2,FALSE)*VLOOKUP(L201,$CK$4:$CM$27,3,FALSE)*($CM$2/2))/10000,RAND()))</f>
        <v>1</v>
      </c>
      <c r="O201" t="str">
        <f>Scores_and_Fixtures[[#This Row],[Away]]</f>
        <v>Sheffield Weds</v>
      </c>
      <c r="U201">
        <v>100</v>
      </c>
      <c r="V201">
        <v>20</v>
      </c>
      <c r="W201">
        <v>9</v>
      </c>
      <c r="X201">
        <v>21</v>
      </c>
      <c r="Y201">
        <v>17</v>
      </c>
      <c r="Z201">
        <v>10</v>
      </c>
      <c r="AA201">
        <v>18</v>
      </c>
      <c r="AB201">
        <v>5</v>
      </c>
      <c r="AC201">
        <v>2</v>
      </c>
      <c r="AD201">
        <v>3</v>
      </c>
      <c r="AE201">
        <v>1</v>
      </c>
      <c r="AF201">
        <v>11</v>
      </c>
      <c r="AG201">
        <v>16</v>
      </c>
      <c r="AH201">
        <v>14</v>
      </c>
      <c r="AI201">
        <v>12</v>
      </c>
      <c r="AJ201">
        <v>15</v>
      </c>
      <c r="AK201">
        <v>22</v>
      </c>
      <c r="AL201">
        <v>24</v>
      </c>
      <c r="AM201">
        <v>23</v>
      </c>
      <c r="AN201">
        <v>4</v>
      </c>
      <c r="AO201">
        <v>19</v>
      </c>
      <c r="AP201">
        <v>8</v>
      </c>
      <c r="AQ201">
        <v>13</v>
      </c>
      <c r="AR201">
        <v>7</v>
      </c>
      <c r="AS201">
        <v>6</v>
      </c>
    </row>
    <row r="202" spans="1:45" x14ac:dyDescent="0.25">
      <c r="A202">
        <v>17</v>
      </c>
      <c r="B202" t="s">
        <v>392</v>
      </c>
      <c r="C202">
        <v>1</v>
      </c>
      <c r="D202">
        <v>2</v>
      </c>
      <c r="E202" t="s">
        <v>381</v>
      </c>
      <c r="K202">
        <f>Scores_and_Fixtures[[#This Row],[Wk]]</f>
        <v>17</v>
      </c>
      <c r="L202" t="str">
        <f>Scores_and_Fixtures[[#This Row],[Home]]</f>
        <v>Preston</v>
      </c>
      <c r="M202">
        <f ca="1">IF(ISBLANK(Scores_and_Fixtures[[#This Row],[Home Score]])=FALSE,Scores_and_Fixtures[[#This Row],[Home Score]],_xlfn.BINOM.INV(10000,(VLOOKUP(L202,$CK$4:$CM$27,2,FALSE)*VLOOKUP(O202,$CK$4:$CM$27,3,FALSE)*($CM$2/2))/10000,RAND()))</f>
        <v>1</v>
      </c>
      <c r="N202">
        <f ca="1">IF(ISBLANK(Scores_and_Fixtures[[#This Row],[Away Score]])=FALSE,Scores_and_Fixtures[[#This Row],[Away Score]],_xlfn.BINOM.INV(10000,(VLOOKUP(O202,$CK$4:$CM$27,2,FALSE)*VLOOKUP(L202,$CK$4:$CM$27,3,FALSE)*($CM$2/2))/10000,RAND()))</f>
        <v>2</v>
      </c>
      <c r="O202" t="str">
        <f>Scores_and_Fixtures[[#This Row],[Away]]</f>
        <v>Cardiff City</v>
      </c>
      <c r="U202">
        <v>101</v>
      </c>
      <c r="V202">
        <v>14</v>
      </c>
      <c r="W202">
        <v>12</v>
      </c>
      <c r="X202">
        <v>17</v>
      </c>
      <c r="Y202">
        <v>8</v>
      </c>
      <c r="Z202">
        <v>10</v>
      </c>
      <c r="AA202">
        <v>19</v>
      </c>
      <c r="AB202">
        <v>7</v>
      </c>
      <c r="AC202">
        <v>1</v>
      </c>
      <c r="AD202">
        <v>3</v>
      </c>
      <c r="AE202">
        <v>2</v>
      </c>
      <c r="AF202">
        <v>13</v>
      </c>
      <c r="AG202">
        <v>18</v>
      </c>
      <c r="AH202">
        <v>15</v>
      </c>
      <c r="AI202">
        <v>16</v>
      </c>
      <c r="AJ202">
        <v>11</v>
      </c>
      <c r="AK202">
        <v>22</v>
      </c>
      <c r="AL202">
        <v>23</v>
      </c>
      <c r="AM202">
        <v>24</v>
      </c>
      <c r="AN202">
        <v>4</v>
      </c>
      <c r="AO202">
        <v>21</v>
      </c>
      <c r="AP202">
        <v>9</v>
      </c>
      <c r="AQ202">
        <v>20</v>
      </c>
      <c r="AR202">
        <v>6</v>
      </c>
      <c r="AS202">
        <v>5</v>
      </c>
    </row>
    <row r="203" spans="1:45" x14ac:dyDescent="0.25">
      <c r="A203">
        <v>17</v>
      </c>
      <c r="B203" t="s">
        <v>391</v>
      </c>
      <c r="C203">
        <v>2</v>
      </c>
      <c r="D203">
        <v>0</v>
      </c>
      <c r="E203" t="s">
        <v>398</v>
      </c>
      <c r="K203">
        <f>Scores_and_Fixtures[[#This Row],[Wk]]</f>
        <v>17</v>
      </c>
      <c r="L203" t="str">
        <f>Scores_and_Fixtures[[#This Row],[Home]]</f>
        <v>Plymouth Argyle</v>
      </c>
      <c r="M203">
        <f ca="1">IF(ISBLANK(Scores_and_Fixtures[[#This Row],[Home Score]])=FALSE,Scores_and_Fixtures[[#This Row],[Home Score]],_xlfn.BINOM.INV(10000,(VLOOKUP(L203,$CK$4:$CM$27,2,FALSE)*VLOOKUP(O203,$CK$4:$CM$27,3,FALSE)*($CM$2/2))/10000,RAND()))</f>
        <v>2</v>
      </c>
      <c r="N203">
        <f ca="1">IF(ISBLANK(Scores_and_Fixtures[[#This Row],[Away Score]])=FALSE,Scores_and_Fixtures[[#This Row],[Away Score]],_xlfn.BINOM.INV(10000,(VLOOKUP(O203,$CK$4:$CM$27,2,FALSE)*VLOOKUP(L203,$CK$4:$CM$27,3,FALSE)*($CM$2/2))/10000,RAND()))</f>
        <v>0</v>
      </c>
      <c r="O203" t="str">
        <f>Scores_and_Fixtures[[#This Row],[Away]]</f>
        <v>Sunderland</v>
      </c>
      <c r="U203">
        <v>102</v>
      </c>
      <c r="V203">
        <v>19</v>
      </c>
      <c r="W203">
        <v>12</v>
      </c>
      <c r="X203">
        <v>16</v>
      </c>
      <c r="Y203">
        <v>9</v>
      </c>
      <c r="Z203">
        <v>17</v>
      </c>
      <c r="AA203">
        <v>21</v>
      </c>
      <c r="AB203">
        <v>7</v>
      </c>
      <c r="AC203">
        <v>2</v>
      </c>
      <c r="AD203">
        <v>4</v>
      </c>
      <c r="AE203">
        <v>1</v>
      </c>
      <c r="AF203">
        <v>11</v>
      </c>
      <c r="AG203">
        <v>18</v>
      </c>
      <c r="AH203">
        <v>5</v>
      </c>
      <c r="AI203">
        <v>14</v>
      </c>
      <c r="AJ203">
        <v>10</v>
      </c>
      <c r="AK203">
        <v>22</v>
      </c>
      <c r="AL203">
        <v>23</v>
      </c>
      <c r="AM203">
        <v>24</v>
      </c>
      <c r="AN203">
        <v>3</v>
      </c>
      <c r="AO203">
        <v>20</v>
      </c>
      <c r="AP203">
        <v>8</v>
      </c>
      <c r="AQ203">
        <v>15</v>
      </c>
      <c r="AR203">
        <v>13</v>
      </c>
      <c r="AS203">
        <v>6</v>
      </c>
    </row>
    <row r="204" spans="1:45" x14ac:dyDescent="0.25">
      <c r="A204">
        <v>17</v>
      </c>
      <c r="B204" t="s">
        <v>389</v>
      </c>
      <c r="C204">
        <v>0</v>
      </c>
      <c r="D204">
        <v>3</v>
      </c>
      <c r="E204" t="s">
        <v>382</v>
      </c>
      <c r="K204">
        <f>Scores_and_Fixtures[[#This Row],[Wk]]</f>
        <v>17</v>
      </c>
      <c r="L204" t="str">
        <f>Scores_and_Fixtures[[#This Row],[Home]]</f>
        <v>Millwall</v>
      </c>
      <c r="M204">
        <f ca="1">IF(ISBLANK(Scores_and_Fixtures[[#This Row],[Home Score]])=FALSE,Scores_and_Fixtures[[#This Row],[Home Score]],_xlfn.BINOM.INV(10000,(VLOOKUP(L204,$CK$4:$CM$27,2,FALSE)*VLOOKUP(O204,$CK$4:$CM$27,3,FALSE)*($CM$2/2))/10000,RAND()))</f>
        <v>0</v>
      </c>
      <c r="N204">
        <f ca="1">IF(ISBLANK(Scores_and_Fixtures[[#This Row],[Away Score]])=FALSE,Scores_and_Fixtures[[#This Row],[Away Score]],_xlfn.BINOM.INV(10000,(VLOOKUP(O204,$CK$4:$CM$27,2,FALSE)*VLOOKUP(L204,$CK$4:$CM$27,3,FALSE)*($CM$2/2))/10000,RAND()))</f>
        <v>3</v>
      </c>
      <c r="O204" t="str">
        <f>Scores_and_Fixtures[[#This Row],[Away]]</f>
        <v>Coventry City</v>
      </c>
      <c r="U204">
        <v>103</v>
      </c>
      <c r="V204">
        <v>20</v>
      </c>
      <c r="W204">
        <v>14</v>
      </c>
      <c r="X204">
        <v>13</v>
      </c>
      <c r="Y204">
        <v>11</v>
      </c>
      <c r="Z204">
        <v>10</v>
      </c>
      <c r="AA204">
        <v>21</v>
      </c>
      <c r="AB204">
        <v>5</v>
      </c>
      <c r="AC204">
        <v>2</v>
      </c>
      <c r="AD204">
        <v>3</v>
      </c>
      <c r="AE204">
        <v>1</v>
      </c>
      <c r="AF204">
        <v>16</v>
      </c>
      <c r="AG204">
        <v>22</v>
      </c>
      <c r="AH204">
        <v>7</v>
      </c>
      <c r="AI204">
        <v>12</v>
      </c>
      <c r="AJ204">
        <v>9</v>
      </c>
      <c r="AK204">
        <v>19</v>
      </c>
      <c r="AL204">
        <v>24</v>
      </c>
      <c r="AM204">
        <v>23</v>
      </c>
      <c r="AN204">
        <v>4</v>
      </c>
      <c r="AO204">
        <v>17</v>
      </c>
      <c r="AP204">
        <v>15</v>
      </c>
      <c r="AQ204">
        <v>18</v>
      </c>
      <c r="AR204">
        <v>8</v>
      </c>
      <c r="AS204">
        <v>6</v>
      </c>
    </row>
    <row r="205" spans="1:45" x14ac:dyDescent="0.25">
      <c r="A205">
        <v>17</v>
      </c>
      <c r="B205" t="s">
        <v>401</v>
      </c>
      <c r="C205">
        <v>2</v>
      </c>
      <c r="D205">
        <v>0</v>
      </c>
      <c r="E205" t="s">
        <v>385</v>
      </c>
      <c r="K205">
        <f>Scores_and_Fixtures[[#This Row],[Wk]]</f>
        <v>17</v>
      </c>
      <c r="L205" t="str">
        <f>Scores_and_Fixtures[[#This Row],[Home]]</f>
        <v>West Brom</v>
      </c>
      <c r="M205">
        <f ca="1">IF(ISBLANK(Scores_and_Fixtures[[#This Row],[Home Score]])=FALSE,Scores_and_Fixtures[[#This Row],[Home Score]],_xlfn.BINOM.INV(10000,(VLOOKUP(L205,$CK$4:$CM$27,2,FALSE)*VLOOKUP(O205,$CK$4:$CM$27,3,FALSE)*($CM$2/2))/10000,RAND()))</f>
        <v>2</v>
      </c>
      <c r="N205">
        <f ca="1">IF(ISBLANK(Scores_and_Fixtures[[#This Row],[Away Score]])=FALSE,Scores_and_Fixtures[[#This Row],[Away Score]],_xlfn.BINOM.INV(10000,(VLOOKUP(O205,$CK$4:$CM$27,2,FALSE)*VLOOKUP(L205,$CK$4:$CM$27,3,FALSE)*($CM$2/2))/10000,RAND()))</f>
        <v>0</v>
      </c>
      <c r="O205" t="str">
        <f>Scores_and_Fixtures[[#This Row],[Away]]</f>
        <v>Ipswich Town</v>
      </c>
      <c r="U205">
        <v>104</v>
      </c>
      <c r="V205">
        <v>11</v>
      </c>
      <c r="W205">
        <v>10</v>
      </c>
      <c r="X205">
        <v>9</v>
      </c>
      <c r="Y205">
        <v>13</v>
      </c>
      <c r="Z205">
        <v>12</v>
      </c>
      <c r="AA205">
        <v>22</v>
      </c>
      <c r="AB205">
        <v>5</v>
      </c>
      <c r="AC205">
        <v>2</v>
      </c>
      <c r="AD205">
        <v>4</v>
      </c>
      <c r="AE205">
        <v>1</v>
      </c>
      <c r="AF205">
        <v>8</v>
      </c>
      <c r="AG205">
        <v>19</v>
      </c>
      <c r="AH205">
        <v>16</v>
      </c>
      <c r="AI205">
        <v>14</v>
      </c>
      <c r="AJ205">
        <v>15</v>
      </c>
      <c r="AK205">
        <v>21</v>
      </c>
      <c r="AL205">
        <v>24</v>
      </c>
      <c r="AM205">
        <v>23</v>
      </c>
      <c r="AN205">
        <v>3</v>
      </c>
      <c r="AO205">
        <v>20</v>
      </c>
      <c r="AP205">
        <v>17</v>
      </c>
      <c r="AQ205">
        <v>18</v>
      </c>
      <c r="AR205">
        <v>6</v>
      </c>
      <c r="AS205">
        <v>7</v>
      </c>
    </row>
    <row r="206" spans="1:45" x14ac:dyDescent="0.25">
      <c r="A206">
        <v>18</v>
      </c>
      <c r="B206" t="s">
        <v>393</v>
      </c>
      <c r="C206">
        <v>4</v>
      </c>
      <c r="D206">
        <v>2</v>
      </c>
      <c r="E206" t="s">
        <v>397</v>
      </c>
      <c r="K206">
        <f>Scores_and_Fixtures[[#This Row],[Wk]]</f>
        <v>18</v>
      </c>
      <c r="L206" t="str">
        <f>Scores_and_Fixtures[[#This Row],[Home]]</f>
        <v>QPR</v>
      </c>
      <c r="M206">
        <f ca="1">IF(ISBLANK(Scores_and_Fixtures[[#This Row],[Home Score]])=FALSE,Scores_and_Fixtures[[#This Row],[Home Score]],_xlfn.BINOM.INV(10000,(VLOOKUP(L206,$CK$4:$CM$27,2,FALSE)*VLOOKUP(O206,$CK$4:$CM$27,3,FALSE)*($CM$2/2))/10000,RAND()))</f>
        <v>4</v>
      </c>
      <c r="N206">
        <f ca="1">IF(ISBLANK(Scores_and_Fixtures[[#This Row],[Away Score]])=FALSE,Scores_and_Fixtures[[#This Row],[Away Score]],_xlfn.BINOM.INV(10000,(VLOOKUP(O206,$CK$4:$CM$27,2,FALSE)*VLOOKUP(L206,$CK$4:$CM$27,3,FALSE)*($CM$2/2))/10000,RAND()))</f>
        <v>2</v>
      </c>
      <c r="O206" t="str">
        <f>Scores_and_Fixtures[[#This Row],[Away]]</f>
        <v>Stoke City</v>
      </c>
      <c r="U206">
        <v>105</v>
      </c>
      <c r="V206">
        <v>21</v>
      </c>
      <c r="W206">
        <v>12</v>
      </c>
      <c r="X206">
        <v>13</v>
      </c>
      <c r="Y206">
        <v>8</v>
      </c>
      <c r="Z206">
        <v>10</v>
      </c>
      <c r="AA206">
        <v>20</v>
      </c>
      <c r="AB206">
        <v>6</v>
      </c>
      <c r="AC206">
        <v>2</v>
      </c>
      <c r="AD206">
        <v>4</v>
      </c>
      <c r="AE206">
        <v>1</v>
      </c>
      <c r="AF206">
        <v>11</v>
      </c>
      <c r="AG206">
        <v>16</v>
      </c>
      <c r="AH206">
        <v>18</v>
      </c>
      <c r="AI206">
        <v>15</v>
      </c>
      <c r="AJ206">
        <v>14</v>
      </c>
      <c r="AK206">
        <v>22</v>
      </c>
      <c r="AL206">
        <v>24</v>
      </c>
      <c r="AM206">
        <v>23</v>
      </c>
      <c r="AN206">
        <v>3</v>
      </c>
      <c r="AO206">
        <v>19</v>
      </c>
      <c r="AP206">
        <v>7</v>
      </c>
      <c r="AQ206">
        <v>17</v>
      </c>
      <c r="AR206">
        <v>9</v>
      </c>
      <c r="AS206">
        <v>5</v>
      </c>
    </row>
    <row r="207" spans="1:45" x14ac:dyDescent="0.25">
      <c r="A207">
        <v>18</v>
      </c>
      <c r="B207" t="s">
        <v>388</v>
      </c>
      <c r="C207">
        <v>4</v>
      </c>
      <c r="D207">
        <v>0</v>
      </c>
      <c r="E207" t="s">
        <v>392</v>
      </c>
      <c r="K207">
        <f>Scores_and_Fixtures[[#This Row],[Wk]]</f>
        <v>18</v>
      </c>
      <c r="L207" t="str">
        <f>Scores_and_Fixtures[[#This Row],[Home]]</f>
        <v>Middlesbrough</v>
      </c>
      <c r="M207">
        <f ca="1">IF(ISBLANK(Scores_and_Fixtures[[#This Row],[Home Score]])=FALSE,Scores_and_Fixtures[[#This Row],[Home Score]],_xlfn.BINOM.INV(10000,(VLOOKUP(L207,$CK$4:$CM$27,2,FALSE)*VLOOKUP(O207,$CK$4:$CM$27,3,FALSE)*($CM$2/2))/10000,RAND()))</f>
        <v>4</v>
      </c>
      <c r="N207">
        <f ca="1">IF(ISBLANK(Scores_and_Fixtures[[#This Row],[Away Score]])=FALSE,Scores_and_Fixtures[[#This Row],[Away Score]],_xlfn.BINOM.INV(10000,(VLOOKUP(O207,$CK$4:$CM$27,2,FALSE)*VLOOKUP(L207,$CK$4:$CM$27,3,FALSE)*($CM$2/2))/10000,RAND()))</f>
        <v>0</v>
      </c>
      <c r="O207" t="str">
        <f>Scores_and_Fixtures[[#This Row],[Away]]</f>
        <v>Preston</v>
      </c>
      <c r="U207">
        <v>106</v>
      </c>
      <c r="V207">
        <v>17</v>
      </c>
      <c r="W207">
        <v>12</v>
      </c>
      <c r="X207">
        <v>15</v>
      </c>
      <c r="Y207">
        <v>10</v>
      </c>
      <c r="Z207">
        <v>18</v>
      </c>
      <c r="AA207">
        <v>21</v>
      </c>
      <c r="AB207">
        <v>7</v>
      </c>
      <c r="AC207">
        <v>2</v>
      </c>
      <c r="AD207">
        <v>5</v>
      </c>
      <c r="AE207">
        <v>1</v>
      </c>
      <c r="AF207">
        <v>9</v>
      </c>
      <c r="AG207">
        <v>11</v>
      </c>
      <c r="AH207">
        <v>14</v>
      </c>
      <c r="AI207">
        <v>16</v>
      </c>
      <c r="AJ207">
        <v>13</v>
      </c>
      <c r="AK207">
        <v>22</v>
      </c>
      <c r="AL207">
        <v>23</v>
      </c>
      <c r="AM207">
        <v>24</v>
      </c>
      <c r="AN207">
        <v>3</v>
      </c>
      <c r="AO207">
        <v>20</v>
      </c>
      <c r="AP207">
        <v>8</v>
      </c>
      <c r="AQ207">
        <v>19</v>
      </c>
      <c r="AR207">
        <v>6</v>
      </c>
      <c r="AS207">
        <v>4</v>
      </c>
    </row>
    <row r="208" spans="1:45" x14ac:dyDescent="0.25">
      <c r="A208">
        <v>18</v>
      </c>
      <c r="B208" t="s">
        <v>384</v>
      </c>
      <c r="C208">
        <v>4</v>
      </c>
      <c r="D208">
        <v>1</v>
      </c>
      <c r="E208" t="s">
        <v>394</v>
      </c>
      <c r="K208">
        <f>Scores_and_Fixtures[[#This Row],[Wk]]</f>
        <v>18</v>
      </c>
      <c r="L208" t="str">
        <f>Scores_and_Fixtures[[#This Row],[Home]]</f>
        <v>Hull City</v>
      </c>
      <c r="M208">
        <f ca="1">IF(ISBLANK(Scores_and_Fixtures[[#This Row],[Home Score]])=FALSE,Scores_and_Fixtures[[#This Row],[Home Score]],_xlfn.BINOM.INV(10000,(VLOOKUP(L208,$CK$4:$CM$27,2,FALSE)*VLOOKUP(O208,$CK$4:$CM$27,3,FALSE)*($CM$2/2))/10000,RAND()))</f>
        <v>4</v>
      </c>
      <c r="N208">
        <f ca="1">IF(ISBLANK(Scores_and_Fixtures[[#This Row],[Away Score]])=FALSE,Scores_and_Fixtures[[#This Row],[Away Score]],_xlfn.BINOM.INV(10000,(VLOOKUP(O208,$CK$4:$CM$27,2,FALSE)*VLOOKUP(L208,$CK$4:$CM$27,3,FALSE)*($CM$2/2))/10000,RAND()))</f>
        <v>1</v>
      </c>
      <c r="O208" t="str">
        <f>Scores_and_Fixtures[[#This Row],[Away]]</f>
        <v>Rotherham Utd</v>
      </c>
      <c r="U208">
        <v>107</v>
      </c>
      <c r="V208">
        <v>11</v>
      </c>
      <c r="W208">
        <v>9</v>
      </c>
      <c r="X208">
        <v>13</v>
      </c>
      <c r="Y208">
        <v>8</v>
      </c>
      <c r="Z208">
        <v>14</v>
      </c>
      <c r="AA208">
        <v>21</v>
      </c>
      <c r="AB208">
        <v>10</v>
      </c>
      <c r="AC208">
        <v>3</v>
      </c>
      <c r="AD208">
        <v>2</v>
      </c>
      <c r="AE208">
        <v>1</v>
      </c>
      <c r="AF208">
        <v>12</v>
      </c>
      <c r="AG208">
        <v>19</v>
      </c>
      <c r="AH208">
        <v>16</v>
      </c>
      <c r="AI208">
        <v>17</v>
      </c>
      <c r="AJ208">
        <v>15</v>
      </c>
      <c r="AK208">
        <v>22</v>
      </c>
      <c r="AL208">
        <v>24</v>
      </c>
      <c r="AM208">
        <v>23</v>
      </c>
      <c r="AN208">
        <v>4</v>
      </c>
      <c r="AO208">
        <v>18</v>
      </c>
      <c r="AP208">
        <v>7</v>
      </c>
      <c r="AQ208">
        <v>20</v>
      </c>
      <c r="AR208">
        <v>6</v>
      </c>
      <c r="AS208">
        <v>5</v>
      </c>
    </row>
    <row r="209" spans="1:45" x14ac:dyDescent="0.25">
      <c r="A209">
        <v>18</v>
      </c>
      <c r="B209" t="s">
        <v>382</v>
      </c>
      <c r="C209">
        <v>1</v>
      </c>
      <c r="D209">
        <v>0</v>
      </c>
      <c r="E209" t="s">
        <v>391</v>
      </c>
      <c r="K209">
        <f>Scores_and_Fixtures[[#This Row],[Wk]]</f>
        <v>18</v>
      </c>
      <c r="L209" t="str">
        <f>Scores_and_Fixtures[[#This Row],[Home]]</f>
        <v>Coventry City</v>
      </c>
      <c r="M209">
        <f ca="1">IF(ISBLANK(Scores_and_Fixtures[[#This Row],[Home Score]])=FALSE,Scores_and_Fixtures[[#This Row],[Home Score]],_xlfn.BINOM.INV(10000,(VLOOKUP(L209,$CK$4:$CM$27,2,FALSE)*VLOOKUP(O209,$CK$4:$CM$27,3,FALSE)*($CM$2/2))/10000,RAND()))</f>
        <v>1</v>
      </c>
      <c r="N209">
        <f ca="1">IF(ISBLANK(Scores_and_Fixtures[[#This Row],[Away Score]])=FALSE,Scores_and_Fixtures[[#This Row],[Away Score]],_xlfn.BINOM.INV(10000,(VLOOKUP(O209,$CK$4:$CM$27,2,FALSE)*VLOOKUP(L209,$CK$4:$CM$27,3,FALSE)*($CM$2/2))/10000,RAND()))</f>
        <v>0</v>
      </c>
      <c r="O209" t="str">
        <f>Scores_and_Fixtures[[#This Row],[Away]]</f>
        <v>Plymouth Argyle</v>
      </c>
      <c r="U209">
        <v>108</v>
      </c>
      <c r="V209">
        <v>13</v>
      </c>
      <c r="W209">
        <v>15</v>
      </c>
      <c r="X209">
        <v>10</v>
      </c>
      <c r="Y209">
        <v>17</v>
      </c>
      <c r="Z209">
        <v>9</v>
      </c>
      <c r="AA209">
        <v>18</v>
      </c>
      <c r="AB209">
        <v>6</v>
      </c>
      <c r="AC209">
        <v>2</v>
      </c>
      <c r="AD209">
        <v>3</v>
      </c>
      <c r="AE209">
        <v>1</v>
      </c>
      <c r="AF209">
        <v>11</v>
      </c>
      <c r="AG209">
        <v>21</v>
      </c>
      <c r="AH209">
        <v>12</v>
      </c>
      <c r="AI209">
        <v>19</v>
      </c>
      <c r="AJ209">
        <v>14</v>
      </c>
      <c r="AK209">
        <v>22</v>
      </c>
      <c r="AL209">
        <v>24</v>
      </c>
      <c r="AM209">
        <v>23</v>
      </c>
      <c r="AN209">
        <v>4</v>
      </c>
      <c r="AO209">
        <v>20</v>
      </c>
      <c r="AP209">
        <v>7</v>
      </c>
      <c r="AQ209">
        <v>16</v>
      </c>
      <c r="AR209">
        <v>8</v>
      </c>
      <c r="AS209">
        <v>5</v>
      </c>
    </row>
    <row r="210" spans="1:45" x14ac:dyDescent="0.25">
      <c r="A210">
        <v>18</v>
      </c>
      <c r="B210" t="s">
        <v>381</v>
      </c>
      <c r="C210">
        <v>0</v>
      </c>
      <c r="D210">
        <v>1</v>
      </c>
      <c r="E210" t="s">
        <v>401</v>
      </c>
      <c r="K210">
        <f>Scores_and_Fixtures[[#This Row],[Wk]]</f>
        <v>18</v>
      </c>
      <c r="L210" t="str">
        <f>Scores_and_Fixtures[[#This Row],[Home]]</f>
        <v>Cardiff City</v>
      </c>
      <c r="M210">
        <f ca="1">IF(ISBLANK(Scores_and_Fixtures[[#This Row],[Home Score]])=FALSE,Scores_and_Fixtures[[#This Row],[Home Score]],_xlfn.BINOM.INV(10000,(VLOOKUP(L210,$CK$4:$CM$27,2,FALSE)*VLOOKUP(O210,$CK$4:$CM$27,3,FALSE)*($CM$2/2))/10000,RAND()))</f>
        <v>0</v>
      </c>
      <c r="N210">
        <f ca="1">IF(ISBLANK(Scores_and_Fixtures[[#This Row],[Away Score]])=FALSE,Scores_and_Fixtures[[#This Row],[Away Score]],_xlfn.BINOM.INV(10000,(VLOOKUP(O210,$CK$4:$CM$27,2,FALSE)*VLOOKUP(L210,$CK$4:$CM$27,3,FALSE)*($CM$2/2))/10000,RAND()))</f>
        <v>1</v>
      </c>
      <c r="O210" t="str">
        <f>Scores_and_Fixtures[[#This Row],[Away]]</f>
        <v>West Brom</v>
      </c>
      <c r="U210">
        <v>109</v>
      </c>
      <c r="V210">
        <v>17</v>
      </c>
      <c r="W210">
        <v>9</v>
      </c>
      <c r="X210">
        <v>16</v>
      </c>
      <c r="Y210">
        <v>20</v>
      </c>
      <c r="Z210">
        <v>14</v>
      </c>
      <c r="AA210">
        <v>18</v>
      </c>
      <c r="AB210">
        <v>5</v>
      </c>
      <c r="AC210">
        <v>2</v>
      </c>
      <c r="AD210">
        <v>4</v>
      </c>
      <c r="AE210">
        <v>1</v>
      </c>
      <c r="AF210">
        <v>8</v>
      </c>
      <c r="AG210">
        <v>19</v>
      </c>
      <c r="AH210">
        <v>13</v>
      </c>
      <c r="AI210">
        <v>12</v>
      </c>
      <c r="AJ210">
        <v>10</v>
      </c>
      <c r="AK210">
        <v>22</v>
      </c>
      <c r="AL210">
        <v>23</v>
      </c>
      <c r="AM210">
        <v>24</v>
      </c>
      <c r="AN210">
        <v>3</v>
      </c>
      <c r="AO210">
        <v>21</v>
      </c>
      <c r="AP210">
        <v>11</v>
      </c>
      <c r="AQ210">
        <v>15</v>
      </c>
      <c r="AR210">
        <v>7</v>
      </c>
      <c r="AS210">
        <v>6</v>
      </c>
    </row>
    <row r="211" spans="1:45" x14ac:dyDescent="0.25">
      <c r="A211">
        <v>18</v>
      </c>
      <c r="B211" t="s">
        <v>400</v>
      </c>
      <c r="C211">
        <v>3</v>
      </c>
      <c r="D211">
        <v>2</v>
      </c>
      <c r="E211" t="s">
        <v>390</v>
      </c>
      <c r="K211">
        <f>Scores_and_Fixtures[[#This Row],[Wk]]</f>
        <v>18</v>
      </c>
      <c r="L211" t="str">
        <f>Scores_and_Fixtures[[#This Row],[Home]]</f>
        <v>Watford</v>
      </c>
      <c r="M211">
        <f ca="1">IF(ISBLANK(Scores_and_Fixtures[[#This Row],[Home Score]])=FALSE,Scores_and_Fixtures[[#This Row],[Home Score]],_xlfn.BINOM.INV(10000,(VLOOKUP(L211,$CK$4:$CM$27,2,FALSE)*VLOOKUP(O211,$CK$4:$CM$27,3,FALSE)*($CM$2/2))/10000,RAND()))</f>
        <v>3</v>
      </c>
      <c r="N211">
        <f ca="1">IF(ISBLANK(Scores_and_Fixtures[[#This Row],[Away Score]])=FALSE,Scores_and_Fixtures[[#This Row],[Away Score]],_xlfn.BINOM.INV(10000,(VLOOKUP(O211,$CK$4:$CM$27,2,FALSE)*VLOOKUP(L211,$CK$4:$CM$27,3,FALSE)*($CM$2/2))/10000,RAND()))</f>
        <v>2</v>
      </c>
      <c r="O211" t="str">
        <f>Scores_and_Fixtures[[#This Row],[Away]]</f>
        <v>Norwich City</v>
      </c>
      <c r="U211">
        <v>110</v>
      </c>
      <c r="V211">
        <v>15</v>
      </c>
      <c r="W211">
        <v>7</v>
      </c>
      <c r="X211">
        <v>13</v>
      </c>
      <c r="Y211">
        <v>16</v>
      </c>
      <c r="Z211">
        <v>10</v>
      </c>
      <c r="AA211">
        <v>21</v>
      </c>
      <c r="AB211">
        <v>5</v>
      </c>
      <c r="AC211">
        <v>2</v>
      </c>
      <c r="AD211">
        <v>3</v>
      </c>
      <c r="AE211">
        <v>1</v>
      </c>
      <c r="AF211">
        <v>14</v>
      </c>
      <c r="AG211">
        <v>18</v>
      </c>
      <c r="AH211">
        <v>11</v>
      </c>
      <c r="AI211">
        <v>12</v>
      </c>
      <c r="AJ211">
        <v>17</v>
      </c>
      <c r="AK211">
        <v>22</v>
      </c>
      <c r="AL211">
        <v>24</v>
      </c>
      <c r="AM211">
        <v>23</v>
      </c>
      <c r="AN211">
        <v>4</v>
      </c>
      <c r="AO211">
        <v>20</v>
      </c>
      <c r="AP211">
        <v>9</v>
      </c>
      <c r="AQ211">
        <v>19</v>
      </c>
      <c r="AR211">
        <v>8</v>
      </c>
      <c r="AS211">
        <v>6</v>
      </c>
    </row>
    <row r="212" spans="1:45" x14ac:dyDescent="0.25">
      <c r="A212">
        <v>18</v>
      </c>
      <c r="B212" t="s">
        <v>386</v>
      </c>
      <c r="C212">
        <v>3</v>
      </c>
      <c r="D212">
        <v>1</v>
      </c>
      <c r="E212" t="s">
        <v>399</v>
      </c>
      <c r="K212">
        <f>Scores_and_Fixtures[[#This Row],[Wk]]</f>
        <v>18</v>
      </c>
      <c r="L212" t="str">
        <f>Scores_and_Fixtures[[#This Row],[Home]]</f>
        <v>Leeds United</v>
      </c>
      <c r="M212">
        <f ca="1">IF(ISBLANK(Scores_and_Fixtures[[#This Row],[Home Score]])=FALSE,Scores_and_Fixtures[[#This Row],[Home Score]],_xlfn.BINOM.INV(10000,(VLOOKUP(L212,$CK$4:$CM$27,2,FALSE)*VLOOKUP(O212,$CK$4:$CM$27,3,FALSE)*($CM$2/2))/10000,RAND()))</f>
        <v>3</v>
      </c>
      <c r="N212">
        <f ca="1">IF(ISBLANK(Scores_and_Fixtures[[#This Row],[Away Score]])=FALSE,Scores_and_Fixtures[[#This Row],[Away Score]],_xlfn.BINOM.INV(10000,(VLOOKUP(O212,$CK$4:$CM$27,2,FALSE)*VLOOKUP(L212,$CK$4:$CM$27,3,FALSE)*($CM$2/2))/10000,RAND()))</f>
        <v>1</v>
      </c>
      <c r="O212" t="str">
        <f>Scores_and_Fixtures[[#This Row],[Away]]</f>
        <v>Swansea City</v>
      </c>
      <c r="U212">
        <v>111</v>
      </c>
      <c r="V212">
        <v>12</v>
      </c>
      <c r="W212">
        <v>5</v>
      </c>
      <c r="X212">
        <v>13</v>
      </c>
      <c r="Y212">
        <v>14</v>
      </c>
      <c r="Z212">
        <v>10</v>
      </c>
      <c r="AA212">
        <v>17</v>
      </c>
      <c r="AB212">
        <v>6</v>
      </c>
      <c r="AC212">
        <v>2</v>
      </c>
      <c r="AD212">
        <v>4</v>
      </c>
      <c r="AE212">
        <v>1</v>
      </c>
      <c r="AF212">
        <v>9</v>
      </c>
      <c r="AG212">
        <v>16</v>
      </c>
      <c r="AH212">
        <v>18</v>
      </c>
      <c r="AI212">
        <v>20</v>
      </c>
      <c r="AJ212">
        <v>19</v>
      </c>
      <c r="AK212">
        <v>22</v>
      </c>
      <c r="AL212">
        <v>24</v>
      </c>
      <c r="AM212">
        <v>23</v>
      </c>
      <c r="AN212">
        <v>3</v>
      </c>
      <c r="AO212">
        <v>21</v>
      </c>
      <c r="AP212">
        <v>11</v>
      </c>
      <c r="AQ212">
        <v>15</v>
      </c>
      <c r="AR212">
        <v>7</v>
      </c>
      <c r="AS212">
        <v>8</v>
      </c>
    </row>
    <row r="213" spans="1:45" x14ac:dyDescent="0.25">
      <c r="A213">
        <v>18</v>
      </c>
      <c r="B213" t="s">
        <v>395</v>
      </c>
      <c r="C213">
        <v>1</v>
      </c>
      <c r="D213">
        <v>1</v>
      </c>
      <c r="E213" t="s">
        <v>387</v>
      </c>
      <c r="K213">
        <f>Scores_and_Fixtures[[#This Row],[Wk]]</f>
        <v>18</v>
      </c>
      <c r="L213" t="str">
        <f>Scores_and_Fixtures[[#This Row],[Home]]</f>
        <v>Sheffield Weds</v>
      </c>
      <c r="M213">
        <f ca="1">IF(ISBLANK(Scores_and_Fixtures[[#This Row],[Home Score]])=FALSE,Scores_and_Fixtures[[#This Row],[Home Score]],_xlfn.BINOM.INV(10000,(VLOOKUP(L213,$CK$4:$CM$27,2,FALSE)*VLOOKUP(O213,$CK$4:$CM$27,3,FALSE)*($CM$2/2))/10000,RAND()))</f>
        <v>1</v>
      </c>
      <c r="N213">
        <f ca="1">IF(ISBLANK(Scores_and_Fixtures[[#This Row],[Away Score]])=FALSE,Scores_and_Fixtures[[#This Row],[Away Score]],_xlfn.BINOM.INV(10000,(VLOOKUP(O213,$CK$4:$CM$27,2,FALSE)*VLOOKUP(L213,$CK$4:$CM$27,3,FALSE)*($CM$2/2))/10000,RAND()))</f>
        <v>1</v>
      </c>
      <c r="O213" t="str">
        <f>Scores_and_Fixtures[[#This Row],[Away]]</f>
        <v>Leicester City</v>
      </c>
      <c r="U213">
        <v>112</v>
      </c>
      <c r="V213">
        <v>14</v>
      </c>
      <c r="W213">
        <v>11</v>
      </c>
      <c r="X213">
        <v>17</v>
      </c>
      <c r="Y213">
        <v>10</v>
      </c>
      <c r="Z213">
        <v>13</v>
      </c>
      <c r="AA213">
        <v>22</v>
      </c>
      <c r="AB213">
        <v>6</v>
      </c>
      <c r="AC213">
        <v>2</v>
      </c>
      <c r="AD213">
        <v>3</v>
      </c>
      <c r="AE213">
        <v>1</v>
      </c>
      <c r="AF213">
        <v>9</v>
      </c>
      <c r="AG213">
        <v>20</v>
      </c>
      <c r="AH213">
        <v>16</v>
      </c>
      <c r="AI213">
        <v>19</v>
      </c>
      <c r="AJ213">
        <v>12</v>
      </c>
      <c r="AK213">
        <v>18</v>
      </c>
      <c r="AL213">
        <v>24</v>
      </c>
      <c r="AM213">
        <v>23</v>
      </c>
      <c r="AN213">
        <v>4</v>
      </c>
      <c r="AO213">
        <v>21</v>
      </c>
      <c r="AP213">
        <v>7</v>
      </c>
      <c r="AQ213">
        <v>15</v>
      </c>
      <c r="AR213">
        <v>5</v>
      </c>
      <c r="AS213">
        <v>8</v>
      </c>
    </row>
    <row r="214" spans="1:45" x14ac:dyDescent="0.25">
      <c r="A214">
        <v>18</v>
      </c>
      <c r="B214" t="s">
        <v>396</v>
      </c>
      <c r="C214">
        <v>1</v>
      </c>
      <c r="D214">
        <v>0</v>
      </c>
      <c r="E214" t="s">
        <v>380</v>
      </c>
      <c r="K214">
        <f>Scores_and_Fixtures[[#This Row],[Wk]]</f>
        <v>18</v>
      </c>
      <c r="L214" t="str">
        <f>Scores_and_Fixtures[[#This Row],[Home]]</f>
        <v>Southampton</v>
      </c>
      <c r="M214">
        <f ca="1">IF(ISBLANK(Scores_and_Fixtures[[#This Row],[Home Score]])=FALSE,Scores_and_Fixtures[[#This Row],[Home Score]],_xlfn.BINOM.INV(10000,(VLOOKUP(L214,$CK$4:$CM$27,2,FALSE)*VLOOKUP(O214,$CK$4:$CM$27,3,FALSE)*($CM$2/2))/10000,RAND()))</f>
        <v>1</v>
      </c>
      <c r="N214">
        <f ca="1">IF(ISBLANK(Scores_and_Fixtures[[#This Row],[Away Score]])=FALSE,Scores_and_Fixtures[[#This Row],[Away Score]],_xlfn.BINOM.INV(10000,(VLOOKUP(O214,$CK$4:$CM$27,2,FALSE)*VLOOKUP(L214,$CK$4:$CM$27,3,FALSE)*($CM$2/2))/10000,RAND()))</f>
        <v>0</v>
      </c>
      <c r="O214" t="str">
        <f>Scores_and_Fixtures[[#This Row],[Away]]</f>
        <v>Bristol City</v>
      </c>
      <c r="U214">
        <v>113</v>
      </c>
      <c r="V214">
        <v>11</v>
      </c>
      <c r="W214">
        <v>12</v>
      </c>
      <c r="X214">
        <v>18</v>
      </c>
      <c r="Y214">
        <v>17</v>
      </c>
      <c r="Z214">
        <v>15</v>
      </c>
      <c r="AA214">
        <v>22</v>
      </c>
      <c r="AB214">
        <v>5</v>
      </c>
      <c r="AC214">
        <v>2</v>
      </c>
      <c r="AD214">
        <v>3</v>
      </c>
      <c r="AE214">
        <v>1</v>
      </c>
      <c r="AF214">
        <v>10</v>
      </c>
      <c r="AG214">
        <v>20</v>
      </c>
      <c r="AH214">
        <v>13</v>
      </c>
      <c r="AI214">
        <v>16</v>
      </c>
      <c r="AJ214">
        <v>9</v>
      </c>
      <c r="AK214">
        <v>21</v>
      </c>
      <c r="AL214">
        <v>24</v>
      </c>
      <c r="AM214">
        <v>23</v>
      </c>
      <c r="AN214">
        <v>4</v>
      </c>
      <c r="AO214">
        <v>19</v>
      </c>
      <c r="AP214">
        <v>8</v>
      </c>
      <c r="AQ214">
        <v>14</v>
      </c>
      <c r="AR214">
        <v>6</v>
      </c>
      <c r="AS214">
        <v>7</v>
      </c>
    </row>
    <row r="215" spans="1:45" x14ac:dyDescent="0.25">
      <c r="A215">
        <v>18</v>
      </c>
      <c r="B215" t="s">
        <v>398</v>
      </c>
      <c r="C215">
        <v>1</v>
      </c>
      <c r="D215">
        <v>2</v>
      </c>
      <c r="E215" t="s">
        <v>383</v>
      </c>
      <c r="K215">
        <f>Scores_and_Fixtures[[#This Row],[Wk]]</f>
        <v>18</v>
      </c>
      <c r="L215" t="str">
        <f>Scores_and_Fixtures[[#This Row],[Home]]</f>
        <v>Sunderland</v>
      </c>
      <c r="M215">
        <f ca="1">IF(ISBLANK(Scores_and_Fixtures[[#This Row],[Home Score]])=FALSE,Scores_and_Fixtures[[#This Row],[Home Score]],_xlfn.BINOM.INV(10000,(VLOOKUP(L215,$CK$4:$CM$27,2,FALSE)*VLOOKUP(O215,$CK$4:$CM$27,3,FALSE)*($CM$2/2))/10000,RAND()))</f>
        <v>1</v>
      </c>
      <c r="N215">
        <f ca="1">IF(ISBLANK(Scores_and_Fixtures[[#This Row],[Away Score]])=FALSE,Scores_and_Fixtures[[#This Row],[Away Score]],_xlfn.BINOM.INV(10000,(VLOOKUP(O215,$CK$4:$CM$27,2,FALSE)*VLOOKUP(L215,$CK$4:$CM$27,3,FALSE)*($CM$2/2))/10000,RAND()))</f>
        <v>2</v>
      </c>
      <c r="O215" t="str">
        <f>Scores_and_Fixtures[[#This Row],[Away]]</f>
        <v>Huddersfield</v>
      </c>
      <c r="U215">
        <v>114</v>
      </c>
      <c r="V215">
        <v>12</v>
      </c>
      <c r="W215">
        <v>14</v>
      </c>
      <c r="X215">
        <v>18</v>
      </c>
      <c r="Y215">
        <v>10</v>
      </c>
      <c r="Z215">
        <v>15</v>
      </c>
      <c r="AA215">
        <v>19</v>
      </c>
      <c r="AB215">
        <v>5</v>
      </c>
      <c r="AC215">
        <v>2</v>
      </c>
      <c r="AD215">
        <v>4</v>
      </c>
      <c r="AE215">
        <v>1</v>
      </c>
      <c r="AF215">
        <v>11</v>
      </c>
      <c r="AG215">
        <v>20</v>
      </c>
      <c r="AH215">
        <v>13</v>
      </c>
      <c r="AI215">
        <v>16</v>
      </c>
      <c r="AJ215">
        <v>6</v>
      </c>
      <c r="AK215">
        <v>22</v>
      </c>
      <c r="AL215">
        <v>23</v>
      </c>
      <c r="AM215">
        <v>24</v>
      </c>
      <c r="AN215">
        <v>3</v>
      </c>
      <c r="AO215">
        <v>21</v>
      </c>
      <c r="AP215">
        <v>7</v>
      </c>
      <c r="AQ215">
        <v>17</v>
      </c>
      <c r="AR215">
        <v>9</v>
      </c>
      <c r="AS215">
        <v>8</v>
      </c>
    </row>
    <row r="216" spans="1:45" x14ac:dyDescent="0.25">
      <c r="A216">
        <v>18</v>
      </c>
      <c r="B216" t="s">
        <v>379</v>
      </c>
      <c r="C216">
        <v>4</v>
      </c>
      <c r="D216">
        <v>2</v>
      </c>
      <c r="E216" t="s">
        <v>378</v>
      </c>
      <c r="K216">
        <f>Scores_and_Fixtures[[#This Row],[Wk]]</f>
        <v>18</v>
      </c>
      <c r="L216" t="str">
        <f>Scores_and_Fixtures[[#This Row],[Home]]</f>
        <v>Blackburn</v>
      </c>
      <c r="M216">
        <f ca="1">IF(ISBLANK(Scores_and_Fixtures[[#This Row],[Home Score]])=FALSE,Scores_and_Fixtures[[#This Row],[Home Score]],_xlfn.BINOM.INV(10000,(VLOOKUP(L216,$CK$4:$CM$27,2,FALSE)*VLOOKUP(O216,$CK$4:$CM$27,3,FALSE)*($CM$2/2))/10000,RAND()))</f>
        <v>4</v>
      </c>
      <c r="N216">
        <f ca="1">IF(ISBLANK(Scores_and_Fixtures[[#This Row],[Away Score]])=FALSE,Scores_and_Fixtures[[#This Row],[Away Score]],_xlfn.BINOM.INV(10000,(VLOOKUP(O216,$CK$4:$CM$27,2,FALSE)*VLOOKUP(L216,$CK$4:$CM$27,3,FALSE)*($CM$2/2))/10000,RAND()))</f>
        <v>2</v>
      </c>
      <c r="O216" t="str">
        <f>Scores_and_Fixtures[[#This Row],[Away]]</f>
        <v>Birmingham City</v>
      </c>
      <c r="U216">
        <v>115</v>
      </c>
      <c r="V216">
        <v>18</v>
      </c>
      <c r="W216">
        <v>16</v>
      </c>
      <c r="X216">
        <v>9</v>
      </c>
      <c r="Y216">
        <v>15</v>
      </c>
      <c r="Z216">
        <v>7</v>
      </c>
      <c r="AA216">
        <v>21</v>
      </c>
      <c r="AB216">
        <v>8</v>
      </c>
      <c r="AC216">
        <v>1</v>
      </c>
      <c r="AD216">
        <v>3</v>
      </c>
      <c r="AE216">
        <v>2</v>
      </c>
      <c r="AF216">
        <v>12</v>
      </c>
      <c r="AG216">
        <v>19</v>
      </c>
      <c r="AH216">
        <v>13</v>
      </c>
      <c r="AI216">
        <v>11</v>
      </c>
      <c r="AJ216">
        <v>14</v>
      </c>
      <c r="AK216">
        <v>22</v>
      </c>
      <c r="AL216">
        <v>24</v>
      </c>
      <c r="AM216">
        <v>23</v>
      </c>
      <c r="AN216">
        <v>5</v>
      </c>
      <c r="AO216">
        <v>20</v>
      </c>
      <c r="AP216">
        <v>10</v>
      </c>
      <c r="AQ216">
        <v>17</v>
      </c>
      <c r="AR216">
        <v>6</v>
      </c>
      <c r="AS216">
        <v>4</v>
      </c>
    </row>
    <row r="217" spans="1:45" x14ac:dyDescent="0.25">
      <c r="A217">
        <v>18</v>
      </c>
      <c r="B217" t="s">
        <v>385</v>
      </c>
      <c r="C217">
        <v>3</v>
      </c>
      <c r="D217">
        <v>1</v>
      </c>
      <c r="E217" t="s">
        <v>389</v>
      </c>
      <c r="K217">
        <f>Scores_and_Fixtures[[#This Row],[Wk]]</f>
        <v>18</v>
      </c>
      <c r="L217" t="str">
        <f>Scores_and_Fixtures[[#This Row],[Home]]</f>
        <v>Ipswich Town</v>
      </c>
      <c r="M217">
        <f ca="1">IF(ISBLANK(Scores_and_Fixtures[[#This Row],[Home Score]])=FALSE,Scores_and_Fixtures[[#This Row],[Home Score]],_xlfn.BINOM.INV(10000,(VLOOKUP(L217,$CK$4:$CM$27,2,FALSE)*VLOOKUP(O217,$CK$4:$CM$27,3,FALSE)*($CM$2/2))/10000,RAND()))</f>
        <v>3</v>
      </c>
      <c r="N217">
        <f ca="1">IF(ISBLANK(Scores_and_Fixtures[[#This Row],[Away Score]])=FALSE,Scores_and_Fixtures[[#This Row],[Away Score]],_xlfn.BINOM.INV(10000,(VLOOKUP(O217,$CK$4:$CM$27,2,FALSE)*VLOOKUP(L217,$CK$4:$CM$27,3,FALSE)*($CM$2/2))/10000,RAND()))</f>
        <v>1</v>
      </c>
      <c r="O217" t="str">
        <f>Scores_and_Fixtures[[#This Row],[Away]]</f>
        <v>Millwall</v>
      </c>
      <c r="U217">
        <v>116</v>
      </c>
      <c r="V217">
        <v>17</v>
      </c>
      <c r="W217">
        <v>8</v>
      </c>
      <c r="X217">
        <v>15</v>
      </c>
      <c r="Y217">
        <v>11</v>
      </c>
      <c r="Z217">
        <v>16</v>
      </c>
      <c r="AA217">
        <v>21</v>
      </c>
      <c r="AB217">
        <v>5</v>
      </c>
      <c r="AC217">
        <v>2</v>
      </c>
      <c r="AD217">
        <v>4</v>
      </c>
      <c r="AE217">
        <v>1</v>
      </c>
      <c r="AF217">
        <v>9</v>
      </c>
      <c r="AG217">
        <v>20</v>
      </c>
      <c r="AH217">
        <v>13</v>
      </c>
      <c r="AI217">
        <v>12</v>
      </c>
      <c r="AJ217">
        <v>18</v>
      </c>
      <c r="AK217">
        <v>22</v>
      </c>
      <c r="AL217">
        <v>24</v>
      </c>
      <c r="AM217">
        <v>23</v>
      </c>
      <c r="AN217">
        <v>3</v>
      </c>
      <c r="AO217">
        <v>19</v>
      </c>
      <c r="AP217">
        <v>6</v>
      </c>
      <c r="AQ217">
        <v>14</v>
      </c>
      <c r="AR217">
        <v>7</v>
      </c>
      <c r="AS217">
        <v>10</v>
      </c>
    </row>
    <row r="218" spans="1:45" x14ac:dyDescent="0.25">
      <c r="A218">
        <v>19</v>
      </c>
      <c r="B218" t="s">
        <v>392</v>
      </c>
      <c r="C218">
        <v>0</v>
      </c>
      <c r="D218">
        <v>2</v>
      </c>
      <c r="E218" t="s">
        <v>393</v>
      </c>
      <c r="K218">
        <f>Scores_and_Fixtures[[#This Row],[Wk]]</f>
        <v>19</v>
      </c>
      <c r="L218" t="str">
        <f>Scores_and_Fixtures[[#This Row],[Home]]</f>
        <v>Preston</v>
      </c>
      <c r="M218">
        <f ca="1">IF(ISBLANK(Scores_and_Fixtures[[#This Row],[Home Score]])=FALSE,Scores_and_Fixtures[[#This Row],[Home Score]],_xlfn.BINOM.INV(10000,(VLOOKUP(L218,$CK$4:$CM$27,2,FALSE)*VLOOKUP(O218,$CK$4:$CM$27,3,FALSE)*($CM$2/2))/10000,RAND()))</f>
        <v>0</v>
      </c>
      <c r="N218">
        <f ca="1">IF(ISBLANK(Scores_and_Fixtures[[#This Row],[Away Score]])=FALSE,Scores_and_Fixtures[[#This Row],[Away Score]],_xlfn.BINOM.INV(10000,(VLOOKUP(O218,$CK$4:$CM$27,2,FALSE)*VLOOKUP(L218,$CK$4:$CM$27,3,FALSE)*($CM$2/2))/10000,RAND()))</f>
        <v>2</v>
      </c>
      <c r="O218" t="str">
        <f>Scores_and_Fixtures[[#This Row],[Away]]</f>
        <v>QPR</v>
      </c>
      <c r="U218">
        <v>117</v>
      </c>
      <c r="V218">
        <v>19</v>
      </c>
      <c r="W218">
        <v>7</v>
      </c>
      <c r="X218">
        <v>15</v>
      </c>
      <c r="Y218">
        <v>13</v>
      </c>
      <c r="Z218">
        <v>17</v>
      </c>
      <c r="AA218">
        <v>22</v>
      </c>
      <c r="AB218">
        <v>3</v>
      </c>
      <c r="AC218">
        <v>2</v>
      </c>
      <c r="AD218">
        <v>8</v>
      </c>
      <c r="AE218">
        <v>1</v>
      </c>
      <c r="AF218">
        <v>10</v>
      </c>
      <c r="AG218">
        <v>21</v>
      </c>
      <c r="AH218">
        <v>11</v>
      </c>
      <c r="AI218">
        <v>12</v>
      </c>
      <c r="AJ218">
        <v>9</v>
      </c>
      <c r="AK218">
        <v>18</v>
      </c>
      <c r="AL218">
        <v>24</v>
      </c>
      <c r="AM218">
        <v>23</v>
      </c>
      <c r="AN218">
        <v>4</v>
      </c>
      <c r="AO218">
        <v>20</v>
      </c>
      <c r="AP218">
        <v>14</v>
      </c>
      <c r="AQ218">
        <v>16</v>
      </c>
      <c r="AR218">
        <v>5</v>
      </c>
      <c r="AS218">
        <v>6</v>
      </c>
    </row>
    <row r="219" spans="1:45" x14ac:dyDescent="0.25">
      <c r="A219">
        <v>19</v>
      </c>
      <c r="B219" t="s">
        <v>401</v>
      </c>
      <c r="C219">
        <v>1</v>
      </c>
      <c r="D219">
        <v>2</v>
      </c>
      <c r="E219" t="s">
        <v>387</v>
      </c>
      <c r="K219">
        <f>Scores_and_Fixtures[[#This Row],[Wk]]</f>
        <v>19</v>
      </c>
      <c r="L219" t="str">
        <f>Scores_and_Fixtures[[#This Row],[Home]]</f>
        <v>West Brom</v>
      </c>
      <c r="M219">
        <f ca="1">IF(ISBLANK(Scores_and_Fixtures[[#This Row],[Home Score]])=FALSE,Scores_and_Fixtures[[#This Row],[Home Score]],_xlfn.BINOM.INV(10000,(VLOOKUP(L219,$CK$4:$CM$27,2,FALSE)*VLOOKUP(O219,$CK$4:$CM$27,3,FALSE)*($CM$2/2))/10000,RAND()))</f>
        <v>1</v>
      </c>
      <c r="N219">
        <f ca="1">IF(ISBLANK(Scores_and_Fixtures[[#This Row],[Away Score]])=FALSE,Scores_and_Fixtures[[#This Row],[Away Score]],_xlfn.BINOM.INV(10000,(VLOOKUP(O219,$CK$4:$CM$27,2,FALSE)*VLOOKUP(L219,$CK$4:$CM$27,3,FALSE)*($CM$2/2))/10000,RAND()))</f>
        <v>2</v>
      </c>
      <c r="O219" t="str">
        <f>Scores_and_Fixtures[[#This Row],[Away]]</f>
        <v>Leicester City</v>
      </c>
      <c r="U219">
        <v>118</v>
      </c>
      <c r="V219">
        <v>13</v>
      </c>
      <c r="W219">
        <v>10</v>
      </c>
      <c r="X219">
        <v>18</v>
      </c>
      <c r="Y219">
        <v>12</v>
      </c>
      <c r="Z219">
        <v>15</v>
      </c>
      <c r="AA219">
        <v>22</v>
      </c>
      <c r="AB219">
        <v>8</v>
      </c>
      <c r="AC219">
        <v>2</v>
      </c>
      <c r="AD219">
        <v>4</v>
      </c>
      <c r="AE219">
        <v>1</v>
      </c>
      <c r="AF219">
        <v>9</v>
      </c>
      <c r="AG219">
        <v>16</v>
      </c>
      <c r="AH219">
        <v>11</v>
      </c>
      <c r="AI219">
        <v>19</v>
      </c>
      <c r="AJ219">
        <v>14</v>
      </c>
      <c r="AK219">
        <v>20</v>
      </c>
      <c r="AL219">
        <v>24</v>
      </c>
      <c r="AM219">
        <v>23</v>
      </c>
      <c r="AN219">
        <v>3</v>
      </c>
      <c r="AO219">
        <v>21</v>
      </c>
      <c r="AP219">
        <v>7</v>
      </c>
      <c r="AQ219">
        <v>17</v>
      </c>
      <c r="AR219">
        <v>6</v>
      </c>
      <c r="AS219">
        <v>5</v>
      </c>
    </row>
    <row r="220" spans="1:45" x14ac:dyDescent="0.25">
      <c r="A220">
        <v>19</v>
      </c>
      <c r="B220" t="s">
        <v>396</v>
      </c>
      <c r="C220">
        <v>2</v>
      </c>
      <c r="D220">
        <v>0</v>
      </c>
      <c r="E220" t="s">
        <v>381</v>
      </c>
      <c r="K220">
        <f>Scores_and_Fixtures[[#This Row],[Wk]]</f>
        <v>19</v>
      </c>
      <c r="L220" t="str">
        <f>Scores_and_Fixtures[[#This Row],[Home]]</f>
        <v>Southampton</v>
      </c>
      <c r="M220">
        <f ca="1">IF(ISBLANK(Scores_and_Fixtures[[#This Row],[Home Score]])=FALSE,Scores_and_Fixtures[[#This Row],[Home Score]],_xlfn.BINOM.INV(10000,(VLOOKUP(L220,$CK$4:$CM$27,2,FALSE)*VLOOKUP(O220,$CK$4:$CM$27,3,FALSE)*($CM$2/2))/10000,RAND()))</f>
        <v>2</v>
      </c>
      <c r="N220">
        <f ca="1">IF(ISBLANK(Scores_and_Fixtures[[#This Row],[Away Score]])=FALSE,Scores_and_Fixtures[[#This Row],[Away Score]],_xlfn.BINOM.INV(10000,(VLOOKUP(O220,$CK$4:$CM$27,2,FALSE)*VLOOKUP(L220,$CK$4:$CM$27,3,FALSE)*($CM$2/2))/10000,RAND()))</f>
        <v>0</v>
      </c>
      <c r="O220" t="str">
        <f>Scores_and_Fixtures[[#This Row],[Away]]</f>
        <v>Cardiff City</v>
      </c>
      <c r="U220">
        <v>119</v>
      </c>
      <c r="V220">
        <v>19</v>
      </c>
      <c r="W220">
        <v>9</v>
      </c>
      <c r="X220">
        <v>18</v>
      </c>
      <c r="Y220">
        <v>14</v>
      </c>
      <c r="Z220">
        <v>10</v>
      </c>
      <c r="AA220">
        <v>20</v>
      </c>
      <c r="AB220">
        <v>5</v>
      </c>
      <c r="AC220">
        <v>2</v>
      </c>
      <c r="AD220">
        <v>4</v>
      </c>
      <c r="AE220">
        <v>1</v>
      </c>
      <c r="AF220">
        <v>12</v>
      </c>
      <c r="AG220">
        <v>15</v>
      </c>
      <c r="AH220">
        <v>16</v>
      </c>
      <c r="AI220">
        <v>13</v>
      </c>
      <c r="AJ220">
        <v>11</v>
      </c>
      <c r="AK220">
        <v>22</v>
      </c>
      <c r="AL220">
        <v>24</v>
      </c>
      <c r="AM220">
        <v>23</v>
      </c>
      <c r="AN220">
        <v>3</v>
      </c>
      <c r="AO220">
        <v>21</v>
      </c>
      <c r="AP220">
        <v>8</v>
      </c>
      <c r="AQ220">
        <v>17</v>
      </c>
      <c r="AR220">
        <v>7</v>
      </c>
      <c r="AS220">
        <v>6</v>
      </c>
    </row>
    <row r="221" spans="1:45" x14ac:dyDescent="0.25">
      <c r="A221">
        <v>19</v>
      </c>
      <c r="B221" t="s">
        <v>389</v>
      </c>
      <c r="C221">
        <v>1</v>
      </c>
      <c r="D221">
        <v>1</v>
      </c>
      <c r="E221" t="s">
        <v>398</v>
      </c>
      <c r="K221">
        <f>Scores_and_Fixtures[[#This Row],[Wk]]</f>
        <v>19</v>
      </c>
      <c r="L221" t="str">
        <f>Scores_and_Fixtures[[#This Row],[Home]]</f>
        <v>Millwall</v>
      </c>
      <c r="M221">
        <f ca="1">IF(ISBLANK(Scores_and_Fixtures[[#This Row],[Home Score]])=FALSE,Scores_and_Fixtures[[#This Row],[Home Score]],_xlfn.BINOM.INV(10000,(VLOOKUP(L221,$CK$4:$CM$27,2,FALSE)*VLOOKUP(O221,$CK$4:$CM$27,3,FALSE)*($CM$2/2))/10000,RAND()))</f>
        <v>1</v>
      </c>
      <c r="N221">
        <f ca="1">IF(ISBLANK(Scores_and_Fixtures[[#This Row],[Away Score]])=FALSE,Scores_and_Fixtures[[#This Row],[Away Score]],_xlfn.BINOM.INV(10000,(VLOOKUP(O221,$CK$4:$CM$27,2,FALSE)*VLOOKUP(L221,$CK$4:$CM$27,3,FALSE)*($CM$2/2))/10000,RAND()))</f>
        <v>1</v>
      </c>
      <c r="O221" t="str">
        <f>Scores_and_Fixtures[[#This Row],[Away]]</f>
        <v>Sunderland</v>
      </c>
      <c r="U221">
        <v>120</v>
      </c>
      <c r="V221">
        <v>15</v>
      </c>
      <c r="W221">
        <v>14</v>
      </c>
      <c r="X221">
        <v>17</v>
      </c>
      <c r="Y221">
        <v>6</v>
      </c>
      <c r="Z221">
        <v>16</v>
      </c>
      <c r="AA221">
        <v>20</v>
      </c>
      <c r="AB221">
        <v>7</v>
      </c>
      <c r="AC221">
        <v>2</v>
      </c>
      <c r="AD221">
        <v>4</v>
      </c>
      <c r="AE221">
        <v>1</v>
      </c>
      <c r="AF221">
        <v>13</v>
      </c>
      <c r="AG221">
        <v>22</v>
      </c>
      <c r="AH221">
        <v>8</v>
      </c>
      <c r="AI221">
        <v>12</v>
      </c>
      <c r="AJ221">
        <v>11</v>
      </c>
      <c r="AK221">
        <v>21</v>
      </c>
      <c r="AL221">
        <v>24</v>
      </c>
      <c r="AM221">
        <v>23</v>
      </c>
      <c r="AN221">
        <v>3</v>
      </c>
      <c r="AO221">
        <v>18</v>
      </c>
      <c r="AP221">
        <v>10</v>
      </c>
      <c r="AQ221">
        <v>19</v>
      </c>
      <c r="AR221">
        <v>9</v>
      </c>
      <c r="AS221">
        <v>5</v>
      </c>
    </row>
    <row r="222" spans="1:45" x14ac:dyDescent="0.25">
      <c r="A222">
        <v>19</v>
      </c>
      <c r="B222" t="s">
        <v>395</v>
      </c>
      <c r="C222">
        <v>3</v>
      </c>
      <c r="D222">
        <v>1</v>
      </c>
      <c r="E222" t="s">
        <v>379</v>
      </c>
      <c r="K222">
        <f>Scores_and_Fixtures[[#This Row],[Wk]]</f>
        <v>19</v>
      </c>
      <c r="L222" t="str">
        <f>Scores_and_Fixtures[[#This Row],[Home]]</f>
        <v>Sheffield Weds</v>
      </c>
      <c r="M222">
        <f ca="1">IF(ISBLANK(Scores_and_Fixtures[[#This Row],[Home Score]])=FALSE,Scores_and_Fixtures[[#This Row],[Home Score]],_xlfn.BINOM.INV(10000,(VLOOKUP(L222,$CK$4:$CM$27,2,FALSE)*VLOOKUP(O222,$CK$4:$CM$27,3,FALSE)*($CM$2/2))/10000,RAND()))</f>
        <v>3</v>
      </c>
      <c r="N222">
        <f ca="1">IF(ISBLANK(Scores_and_Fixtures[[#This Row],[Away Score]])=FALSE,Scores_and_Fixtures[[#This Row],[Away Score]],_xlfn.BINOM.INV(10000,(VLOOKUP(O222,$CK$4:$CM$27,2,FALSE)*VLOOKUP(L222,$CK$4:$CM$27,3,FALSE)*($CM$2/2))/10000,RAND()))</f>
        <v>1</v>
      </c>
      <c r="O222" t="str">
        <f>Scores_and_Fixtures[[#This Row],[Away]]</f>
        <v>Blackburn</v>
      </c>
      <c r="U222">
        <v>121</v>
      </c>
      <c r="V222">
        <v>17</v>
      </c>
      <c r="W222">
        <v>8</v>
      </c>
      <c r="X222">
        <v>13</v>
      </c>
      <c r="Y222">
        <v>16</v>
      </c>
      <c r="Z222">
        <v>10</v>
      </c>
      <c r="AA222">
        <v>20</v>
      </c>
      <c r="AB222">
        <v>5</v>
      </c>
      <c r="AC222">
        <v>2</v>
      </c>
      <c r="AD222">
        <v>3</v>
      </c>
      <c r="AE222">
        <v>1</v>
      </c>
      <c r="AF222">
        <v>12</v>
      </c>
      <c r="AG222">
        <v>21</v>
      </c>
      <c r="AH222">
        <v>14</v>
      </c>
      <c r="AI222">
        <v>15</v>
      </c>
      <c r="AJ222">
        <v>11</v>
      </c>
      <c r="AK222">
        <v>22</v>
      </c>
      <c r="AL222">
        <v>23</v>
      </c>
      <c r="AM222">
        <v>24</v>
      </c>
      <c r="AN222">
        <v>4</v>
      </c>
      <c r="AO222">
        <v>19</v>
      </c>
      <c r="AP222">
        <v>9</v>
      </c>
      <c r="AQ222">
        <v>18</v>
      </c>
      <c r="AR222">
        <v>6</v>
      </c>
      <c r="AS222">
        <v>7</v>
      </c>
    </row>
    <row r="223" spans="1:45" x14ac:dyDescent="0.25">
      <c r="A223">
        <v>19</v>
      </c>
      <c r="B223" t="s">
        <v>386</v>
      </c>
      <c r="C223">
        <v>3</v>
      </c>
      <c r="D223">
        <v>2</v>
      </c>
      <c r="E223" t="s">
        <v>388</v>
      </c>
      <c r="K223">
        <f>Scores_and_Fixtures[[#This Row],[Wk]]</f>
        <v>19</v>
      </c>
      <c r="L223" t="str">
        <f>Scores_and_Fixtures[[#This Row],[Home]]</f>
        <v>Leeds United</v>
      </c>
      <c r="M223">
        <f ca="1">IF(ISBLANK(Scores_and_Fixtures[[#This Row],[Home Score]])=FALSE,Scores_and_Fixtures[[#This Row],[Home Score]],_xlfn.BINOM.INV(10000,(VLOOKUP(L223,$CK$4:$CM$27,2,FALSE)*VLOOKUP(O223,$CK$4:$CM$27,3,FALSE)*($CM$2/2))/10000,RAND()))</f>
        <v>3</v>
      </c>
      <c r="N223">
        <f ca="1">IF(ISBLANK(Scores_and_Fixtures[[#This Row],[Away Score]])=FALSE,Scores_and_Fixtures[[#This Row],[Away Score]],_xlfn.BINOM.INV(10000,(VLOOKUP(O223,$CK$4:$CM$27,2,FALSE)*VLOOKUP(L223,$CK$4:$CM$27,3,FALSE)*($CM$2/2))/10000,RAND()))</f>
        <v>2</v>
      </c>
      <c r="O223" t="str">
        <f>Scores_and_Fixtures[[#This Row],[Away]]</f>
        <v>Middlesbrough</v>
      </c>
      <c r="U223">
        <v>122</v>
      </c>
      <c r="V223">
        <v>18</v>
      </c>
      <c r="W223">
        <v>14</v>
      </c>
      <c r="X223">
        <v>13</v>
      </c>
      <c r="Y223">
        <v>11</v>
      </c>
      <c r="Z223">
        <v>16</v>
      </c>
      <c r="AA223">
        <v>21</v>
      </c>
      <c r="AB223">
        <v>8</v>
      </c>
      <c r="AC223">
        <v>2</v>
      </c>
      <c r="AD223">
        <v>3</v>
      </c>
      <c r="AE223">
        <v>1</v>
      </c>
      <c r="AF223">
        <v>9</v>
      </c>
      <c r="AG223">
        <v>19</v>
      </c>
      <c r="AH223">
        <v>10</v>
      </c>
      <c r="AI223">
        <v>17</v>
      </c>
      <c r="AJ223">
        <v>20</v>
      </c>
      <c r="AK223">
        <v>22</v>
      </c>
      <c r="AL223">
        <v>24</v>
      </c>
      <c r="AM223">
        <v>23</v>
      </c>
      <c r="AN223">
        <v>4</v>
      </c>
      <c r="AO223">
        <v>15</v>
      </c>
      <c r="AP223">
        <v>6</v>
      </c>
      <c r="AQ223">
        <v>12</v>
      </c>
      <c r="AR223">
        <v>7</v>
      </c>
      <c r="AS223">
        <v>5</v>
      </c>
    </row>
    <row r="224" spans="1:45" x14ac:dyDescent="0.25">
      <c r="A224">
        <v>19</v>
      </c>
      <c r="B224" t="s">
        <v>384</v>
      </c>
      <c r="C224">
        <v>1</v>
      </c>
      <c r="D224">
        <v>2</v>
      </c>
      <c r="E224" t="s">
        <v>400</v>
      </c>
      <c r="K224">
        <f>Scores_and_Fixtures[[#This Row],[Wk]]</f>
        <v>19</v>
      </c>
      <c r="L224" t="str">
        <f>Scores_and_Fixtures[[#This Row],[Home]]</f>
        <v>Hull City</v>
      </c>
      <c r="M224">
        <f ca="1">IF(ISBLANK(Scores_and_Fixtures[[#This Row],[Home Score]])=FALSE,Scores_and_Fixtures[[#This Row],[Home Score]],_xlfn.BINOM.INV(10000,(VLOOKUP(L224,$CK$4:$CM$27,2,FALSE)*VLOOKUP(O224,$CK$4:$CM$27,3,FALSE)*($CM$2/2))/10000,RAND()))</f>
        <v>1</v>
      </c>
      <c r="N224">
        <f ca="1">IF(ISBLANK(Scores_and_Fixtures[[#This Row],[Away Score]])=FALSE,Scores_and_Fixtures[[#This Row],[Away Score]],_xlfn.BINOM.INV(10000,(VLOOKUP(O224,$CK$4:$CM$27,2,FALSE)*VLOOKUP(L224,$CK$4:$CM$27,3,FALSE)*($CM$2/2))/10000,RAND()))</f>
        <v>2</v>
      </c>
      <c r="O224" t="str">
        <f>Scores_and_Fixtures[[#This Row],[Away]]</f>
        <v>Watford</v>
      </c>
      <c r="U224">
        <v>123</v>
      </c>
      <c r="V224">
        <v>19</v>
      </c>
      <c r="W224">
        <v>11</v>
      </c>
      <c r="X224">
        <v>16</v>
      </c>
      <c r="Y224">
        <v>12</v>
      </c>
      <c r="Z224">
        <v>15</v>
      </c>
      <c r="AA224">
        <v>22</v>
      </c>
      <c r="AB224">
        <v>6</v>
      </c>
      <c r="AC224">
        <v>2</v>
      </c>
      <c r="AD224">
        <v>3</v>
      </c>
      <c r="AE224">
        <v>1</v>
      </c>
      <c r="AF224">
        <v>13</v>
      </c>
      <c r="AG224">
        <v>18</v>
      </c>
      <c r="AH224">
        <v>10</v>
      </c>
      <c r="AI224">
        <v>14</v>
      </c>
      <c r="AJ224">
        <v>7</v>
      </c>
      <c r="AK224">
        <v>20</v>
      </c>
      <c r="AL224">
        <v>24</v>
      </c>
      <c r="AM224">
        <v>23</v>
      </c>
      <c r="AN224">
        <v>4</v>
      </c>
      <c r="AO224">
        <v>21</v>
      </c>
      <c r="AP224">
        <v>8</v>
      </c>
      <c r="AQ224">
        <v>17</v>
      </c>
      <c r="AR224">
        <v>5</v>
      </c>
      <c r="AS224">
        <v>9</v>
      </c>
    </row>
    <row r="225" spans="1:45" x14ac:dyDescent="0.25">
      <c r="A225">
        <v>19</v>
      </c>
      <c r="B225" t="s">
        <v>391</v>
      </c>
      <c r="C225">
        <v>2</v>
      </c>
      <c r="D225">
        <v>1</v>
      </c>
      <c r="E225" t="s">
        <v>397</v>
      </c>
      <c r="K225">
        <f>Scores_and_Fixtures[[#This Row],[Wk]]</f>
        <v>19</v>
      </c>
      <c r="L225" t="str">
        <f>Scores_and_Fixtures[[#This Row],[Home]]</f>
        <v>Plymouth Argyle</v>
      </c>
      <c r="M225">
        <f ca="1">IF(ISBLANK(Scores_and_Fixtures[[#This Row],[Home Score]])=FALSE,Scores_and_Fixtures[[#This Row],[Home Score]],_xlfn.BINOM.INV(10000,(VLOOKUP(L225,$CK$4:$CM$27,2,FALSE)*VLOOKUP(O225,$CK$4:$CM$27,3,FALSE)*($CM$2/2))/10000,RAND()))</f>
        <v>2</v>
      </c>
      <c r="N225">
        <f ca="1">IF(ISBLANK(Scores_and_Fixtures[[#This Row],[Away Score]])=FALSE,Scores_and_Fixtures[[#This Row],[Away Score]],_xlfn.BINOM.INV(10000,(VLOOKUP(O225,$CK$4:$CM$27,2,FALSE)*VLOOKUP(L225,$CK$4:$CM$27,3,FALSE)*($CM$2/2))/10000,RAND()))</f>
        <v>1</v>
      </c>
      <c r="O225" t="str">
        <f>Scores_and_Fixtures[[#This Row],[Away]]</f>
        <v>Stoke City</v>
      </c>
      <c r="U225">
        <v>124</v>
      </c>
      <c r="V225">
        <v>20</v>
      </c>
      <c r="W225">
        <v>9</v>
      </c>
      <c r="X225">
        <v>7</v>
      </c>
      <c r="Y225">
        <v>12</v>
      </c>
      <c r="Z225">
        <v>17</v>
      </c>
      <c r="AA225">
        <v>21</v>
      </c>
      <c r="AB225">
        <v>5</v>
      </c>
      <c r="AC225">
        <v>2</v>
      </c>
      <c r="AD225">
        <v>4</v>
      </c>
      <c r="AE225">
        <v>1</v>
      </c>
      <c r="AF225">
        <v>14</v>
      </c>
      <c r="AG225">
        <v>16</v>
      </c>
      <c r="AH225">
        <v>6</v>
      </c>
      <c r="AI225">
        <v>15</v>
      </c>
      <c r="AJ225">
        <v>11</v>
      </c>
      <c r="AK225">
        <v>22</v>
      </c>
      <c r="AL225">
        <v>24</v>
      </c>
      <c r="AM225">
        <v>23</v>
      </c>
      <c r="AN225">
        <v>3</v>
      </c>
      <c r="AO225">
        <v>19</v>
      </c>
      <c r="AP225">
        <v>13</v>
      </c>
      <c r="AQ225">
        <v>18</v>
      </c>
      <c r="AR225">
        <v>10</v>
      </c>
      <c r="AS225">
        <v>8</v>
      </c>
    </row>
    <row r="226" spans="1:45" x14ac:dyDescent="0.25">
      <c r="A226">
        <v>19</v>
      </c>
      <c r="B226" t="s">
        <v>378</v>
      </c>
      <c r="C226">
        <v>0</v>
      </c>
      <c r="D226">
        <v>0</v>
      </c>
      <c r="E226" t="s">
        <v>394</v>
      </c>
      <c r="K226">
        <f>Scores_and_Fixtures[[#This Row],[Wk]]</f>
        <v>19</v>
      </c>
      <c r="L226" t="str">
        <f>Scores_and_Fixtures[[#This Row],[Home]]</f>
        <v>Birmingham City</v>
      </c>
      <c r="M226">
        <f ca="1">IF(ISBLANK(Scores_and_Fixtures[[#This Row],[Home Score]])=FALSE,Scores_and_Fixtures[[#This Row],[Home Score]],_xlfn.BINOM.INV(10000,(VLOOKUP(L226,$CK$4:$CM$27,2,FALSE)*VLOOKUP(O226,$CK$4:$CM$27,3,FALSE)*($CM$2/2))/10000,RAND()))</f>
        <v>0</v>
      </c>
      <c r="N226">
        <f ca="1">IF(ISBLANK(Scores_and_Fixtures[[#This Row],[Away Score]])=FALSE,Scores_and_Fixtures[[#This Row],[Away Score]],_xlfn.BINOM.INV(10000,(VLOOKUP(O226,$CK$4:$CM$27,2,FALSE)*VLOOKUP(L226,$CK$4:$CM$27,3,FALSE)*($CM$2/2))/10000,RAND()))</f>
        <v>0</v>
      </c>
      <c r="O226" t="str">
        <f>Scores_and_Fixtures[[#This Row],[Away]]</f>
        <v>Rotherham Utd</v>
      </c>
      <c r="U226">
        <v>125</v>
      </c>
      <c r="V226">
        <v>17</v>
      </c>
      <c r="W226">
        <v>12</v>
      </c>
      <c r="X226">
        <v>15</v>
      </c>
      <c r="Y226">
        <v>10</v>
      </c>
      <c r="Z226">
        <v>14</v>
      </c>
      <c r="AA226">
        <v>22</v>
      </c>
      <c r="AB226">
        <v>5</v>
      </c>
      <c r="AC226">
        <v>2</v>
      </c>
      <c r="AD226">
        <v>3</v>
      </c>
      <c r="AE226">
        <v>1</v>
      </c>
      <c r="AF226">
        <v>7</v>
      </c>
      <c r="AG226">
        <v>18</v>
      </c>
      <c r="AH226">
        <v>11</v>
      </c>
      <c r="AI226">
        <v>16</v>
      </c>
      <c r="AJ226">
        <v>13</v>
      </c>
      <c r="AK226">
        <v>20</v>
      </c>
      <c r="AL226">
        <v>24</v>
      </c>
      <c r="AM226">
        <v>23</v>
      </c>
      <c r="AN226">
        <v>4</v>
      </c>
      <c r="AO226">
        <v>21</v>
      </c>
      <c r="AP226">
        <v>9</v>
      </c>
      <c r="AQ226">
        <v>19</v>
      </c>
      <c r="AR226">
        <v>6</v>
      </c>
      <c r="AS226">
        <v>8</v>
      </c>
    </row>
    <row r="227" spans="1:45" x14ac:dyDescent="0.25">
      <c r="A227">
        <v>19</v>
      </c>
      <c r="B227" t="s">
        <v>385</v>
      </c>
      <c r="C227">
        <v>2</v>
      </c>
      <c r="D227">
        <v>1</v>
      </c>
      <c r="E227" t="s">
        <v>382</v>
      </c>
      <c r="K227">
        <f>Scores_and_Fixtures[[#This Row],[Wk]]</f>
        <v>19</v>
      </c>
      <c r="L227" t="str">
        <f>Scores_and_Fixtures[[#This Row],[Home]]</f>
        <v>Ipswich Town</v>
      </c>
      <c r="M227">
        <f ca="1">IF(ISBLANK(Scores_and_Fixtures[[#This Row],[Home Score]])=FALSE,Scores_and_Fixtures[[#This Row],[Home Score]],_xlfn.BINOM.INV(10000,(VLOOKUP(L227,$CK$4:$CM$27,2,FALSE)*VLOOKUP(O227,$CK$4:$CM$27,3,FALSE)*($CM$2/2))/10000,RAND()))</f>
        <v>2</v>
      </c>
      <c r="N227">
        <f ca="1">IF(ISBLANK(Scores_and_Fixtures[[#This Row],[Away Score]])=FALSE,Scores_and_Fixtures[[#This Row],[Away Score]],_xlfn.BINOM.INV(10000,(VLOOKUP(O227,$CK$4:$CM$27,2,FALSE)*VLOOKUP(L227,$CK$4:$CM$27,3,FALSE)*($CM$2/2))/10000,RAND()))</f>
        <v>1</v>
      </c>
      <c r="O227" t="str">
        <f>Scores_and_Fixtures[[#This Row],[Away]]</f>
        <v>Coventry City</v>
      </c>
      <c r="U227">
        <v>126</v>
      </c>
      <c r="V227">
        <v>9</v>
      </c>
      <c r="W227">
        <v>13</v>
      </c>
      <c r="X227">
        <v>16</v>
      </c>
      <c r="Y227">
        <v>10</v>
      </c>
      <c r="Z227">
        <v>15</v>
      </c>
      <c r="AA227">
        <v>19</v>
      </c>
      <c r="AB227">
        <v>8</v>
      </c>
      <c r="AC227">
        <v>2</v>
      </c>
      <c r="AD227">
        <v>4</v>
      </c>
      <c r="AE227">
        <v>1</v>
      </c>
      <c r="AF227">
        <v>14</v>
      </c>
      <c r="AG227">
        <v>21</v>
      </c>
      <c r="AH227">
        <v>11</v>
      </c>
      <c r="AI227">
        <v>17</v>
      </c>
      <c r="AJ227">
        <v>12</v>
      </c>
      <c r="AK227">
        <v>22</v>
      </c>
      <c r="AL227">
        <v>24</v>
      </c>
      <c r="AM227">
        <v>23</v>
      </c>
      <c r="AN227">
        <v>3</v>
      </c>
      <c r="AO227">
        <v>20</v>
      </c>
      <c r="AP227">
        <v>7</v>
      </c>
      <c r="AQ227">
        <v>18</v>
      </c>
      <c r="AR227">
        <v>6</v>
      </c>
      <c r="AS227">
        <v>5</v>
      </c>
    </row>
    <row r="228" spans="1:45" x14ac:dyDescent="0.25">
      <c r="A228">
        <v>19</v>
      </c>
      <c r="B228" t="s">
        <v>399</v>
      </c>
      <c r="C228">
        <v>1</v>
      </c>
      <c r="D228">
        <v>1</v>
      </c>
      <c r="E228" t="s">
        <v>383</v>
      </c>
      <c r="K228">
        <f>Scores_and_Fixtures[[#This Row],[Wk]]</f>
        <v>19</v>
      </c>
      <c r="L228" t="str">
        <f>Scores_and_Fixtures[[#This Row],[Home]]</f>
        <v>Swansea City</v>
      </c>
      <c r="M228">
        <f ca="1">IF(ISBLANK(Scores_and_Fixtures[[#This Row],[Home Score]])=FALSE,Scores_and_Fixtures[[#This Row],[Home Score]],_xlfn.BINOM.INV(10000,(VLOOKUP(L228,$CK$4:$CM$27,2,FALSE)*VLOOKUP(O228,$CK$4:$CM$27,3,FALSE)*($CM$2/2))/10000,RAND()))</f>
        <v>1</v>
      </c>
      <c r="N228">
        <f ca="1">IF(ISBLANK(Scores_and_Fixtures[[#This Row],[Away Score]])=FALSE,Scores_and_Fixtures[[#This Row],[Away Score]],_xlfn.BINOM.INV(10000,(VLOOKUP(O228,$CK$4:$CM$27,2,FALSE)*VLOOKUP(L228,$CK$4:$CM$27,3,FALSE)*($CM$2/2))/10000,RAND()))</f>
        <v>1</v>
      </c>
      <c r="O228" t="str">
        <f>Scores_and_Fixtures[[#This Row],[Away]]</f>
        <v>Huddersfield</v>
      </c>
      <c r="U228">
        <v>127</v>
      </c>
      <c r="V228">
        <v>9</v>
      </c>
      <c r="W228">
        <v>8</v>
      </c>
      <c r="X228">
        <v>14</v>
      </c>
      <c r="Y228">
        <v>11</v>
      </c>
      <c r="Z228">
        <v>19</v>
      </c>
      <c r="AA228">
        <v>22</v>
      </c>
      <c r="AB228">
        <v>4</v>
      </c>
      <c r="AC228">
        <v>2</v>
      </c>
      <c r="AD228">
        <v>6</v>
      </c>
      <c r="AE228">
        <v>1</v>
      </c>
      <c r="AF228">
        <v>5</v>
      </c>
      <c r="AG228">
        <v>18</v>
      </c>
      <c r="AH228">
        <v>15</v>
      </c>
      <c r="AI228">
        <v>17</v>
      </c>
      <c r="AJ228">
        <v>12</v>
      </c>
      <c r="AK228">
        <v>21</v>
      </c>
      <c r="AL228">
        <v>24</v>
      </c>
      <c r="AM228">
        <v>23</v>
      </c>
      <c r="AN228">
        <v>3</v>
      </c>
      <c r="AO228">
        <v>20</v>
      </c>
      <c r="AP228">
        <v>10</v>
      </c>
      <c r="AQ228">
        <v>16</v>
      </c>
      <c r="AR228">
        <v>13</v>
      </c>
      <c r="AS228">
        <v>7</v>
      </c>
    </row>
    <row r="229" spans="1:45" x14ac:dyDescent="0.25">
      <c r="A229">
        <v>19</v>
      </c>
      <c r="B229" t="s">
        <v>380</v>
      </c>
      <c r="C229">
        <v>1</v>
      </c>
      <c r="D229">
        <v>2</v>
      </c>
      <c r="E229" t="s">
        <v>390</v>
      </c>
      <c r="K229">
        <f>Scores_and_Fixtures[[#This Row],[Wk]]</f>
        <v>19</v>
      </c>
      <c r="L229" t="str">
        <f>Scores_and_Fixtures[[#This Row],[Home]]</f>
        <v>Bristol City</v>
      </c>
      <c r="M229">
        <f ca="1">IF(ISBLANK(Scores_and_Fixtures[[#This Row],[Home Score]])=FALSE,Scores_and_Fixtures[[#This Row],[Home Score]],_xlfn.BINOM.INV(10000,(VLOOKUP(L229,$CK$4:$CM$27,2,FALSE)*VLOOKUP(O229,$CK$4:$CM$27,3,FALSE)*($CM$2/2))/10000,RAND()))</f>
        <v>1</v>
      </c>
      <c r="N229">
        <f ca="1">IF(ISBLANK(Scores_and_Fixtures[[#This Row],[Away Score]])=FALSE,Scores_and_Fixtures[[#This Row],[Away Score]],_xlfn.BINOM.INV(10000,(VLOOKUP(O229,$CK$4:$CM$27,2,FALSE)*VLOOKUP(L229,$CK$4:$CM$27,3,FALSE)*($CM$2/2))/10000,RAND()))</f>
        <v>2</v>
      </c>
      <c r="O229" t="str">
        <f>Scores_and_Fixtures[[#This Row],[Away]]</f>
        <v>Norwich City</v>
      </c>
      <c r="U229">
        <v>128</v>
      </c>
      <c r="V229">
        <v>18</v>
      </c>
      <c r="W229">
        <v>10</v>
      </c>
      <c r="X229">
        <v>17</v>
      </c>
      <c r="Y229">
        <v>13</v>
      </c>
      <c r="Z229">
        <v>14</v>
      </c>
      <c r="AA229">
        <v>22</v>
      </c>
      <c r="AB229">
        <v>6</v>
      </c>
      <c r="AC229">
        <v>2</v>
      </c>
      <c r="AD229">
        <v>3</v>
      </c>
      <c r="AE229">
        <v>1</v>
      </c>
      <c r="AF229">
        <v>8</v>
      </c>
      <c r="AG229">
        <v>15</v>
      </c>
      <c r="AH229">
        <v>9</v>
      </c>
      <c r="AI229">
        <v>19</v>
      </c>
      <c r="AJ229">
        <v>11</v>
      </c>
      <c r="AK229">
        <v>21</v>
      </c>
      <c r="AL229">
        <v>24</v>
      </c>
      <c r="AM229">
        <v>23</v>
      </c>
      <c r="AN229">
        <v>5</v>
      </c>
      <c r="AO229">
        <v>20</v>
      </c>
      <c r="AP229">
        <v>12</v>
      </c>
      <c r="AQ229">
        <v>16</v>
      </c>
      <c r="AR229">
        <v>7</v>
      </c>
      <c r="AS229">
        <v>4</v>
      </c>
    </row>
    <row r="230" spans="1:45" x14ac:dyDescent="0.25">
      <c r="A230">
        <v>20</v>
      </c>
      <c r="B230" t="s">
        <v>382</v>
      </c>
      <c r="C230">
        <v>2</v>
      </c>
      <c r="D230">
        <v>0</v>
      </c>
      <c r="E230" t="s">
        <v>378</v>
      </c>
      <c r="K230">
        <f>Scores_and_Fixtures[[#This Row],[Wk]]</f>
        <v>20</v>
      </c>
      <c r="L230" t="str">
        <f>Scores_and_Fixtures[[#This Row],[Home]]</f>
        <v>Coventry City</v>
      </c>
      <c r="M230">
        <f ca="1">IF(ISBLANK(Scores_and_Fixtures[[#This Row],[Home Score]])=FALSE,Scores_and_Fixtures[[#This Row],[Home Score]],_xlfn.BINOM.INV(10000,(VLOOKUP(L230,$CK$4:$CM$27,2,FALSE)*VLOOKUP(O230,$CK$4:$CM$27,3,FALSE)*($CM$2/2))/10000,RAND()))</f>
        <v>2</v>
      </c>
      <c r="N230">
        <f ca="1">IF(ISBLANK(Scores_and_Fixtures[[#This Row],[Away Score]])=FALSE,Scores_and_Fixtures[[#This Row],[Away Score]],_xlfn.BINOM.INV(10000,(VLOOKUP(O230,$CK$4:$CM$27,2,FALSE)*VLOOKUP(L230,$CK$4:$CM$27,3,FALSE)*($CM$2/2))/10000,RAND()))</f>
        <v>0</v>
      </c>
      <c r="O230" t="str">
        <f>Scores_and_Fixtures[[#This Row],[Away]]</f>
        <v>Birmingham City</v>
      </c>
      <c r="U230">
        <v>129</v>
      </c>
      <c r="V230">
        <v>15</v>
      </c>
      <c r="W230">
        <v>10</v>
      </c>
      <c r="X230">
        <v>17</v>
      </c>
      <c r="Y230">
        <v>9</v>
      </c>
      <c r="Z230">
        <v>14</v>
      </c>
      <c r="AA230">
        <v>22</v>
      </c>
      <c r="AB230">
        <v>5</v>
      </c>
      <c r="AC230">
        <v>2</v>
      </c>
      <c r="AD230">
        <v>3</v>
      </c>
      <c r="AE230">
        <v>1</v>
      </c>
      <c r="AF230">
        <v>12</v>
      </c>
      <c r="AG230">
        <v>19</v>
      </c>
      <c r="AH230">
        <v>8</v>
      </c>
      <c r="AI230">
        <v>18</v>
      </c>
      <c r="AJ230">
        <v>11</v>
      </c>
      <c r="AK230">
        <v>21</v>
      </c>
      <c r="AL230">
        <v>24</v>
      </c>
      <c r="AM230">
        <v>23</v>
      </c>
      <c r="AN230">
        <v>4</v>
      </c>
      <c r="AO230">
        <v>20</v>
      </c>
      <c r="AP230">
        <v>7</v>
      </c>
      <c r="AQ230">
        <v>16</v>
      </c>
      <c r="AR230">
        <v>13</v>
      </c>
      <c r="AS230">
        <v>6</v>
      </c>
    </row>
    <row r="231" spans="1:45" x14ac:dyDescent="0.25">
      <c r="A231">
        <v>20</v>
      </c>
      <c r="B231" t="s">
        <v>398</v>
      </c>
      <c r="C231">
        <v>2</v>
      </c>
      <c r="D231">
        <v>1</v>
      </c>
      <c r="E231" t="s">
        <v>401</v>
      </c>
      <c r="K231">
        <f>Scores_and_Fixtures[[#This Row],[Wk]]</f>
        <v>20</v>
      </c>
      <c r="L231" t="str">
        <f>Scores_and_Fixtures[[#This Row],[Home]]</f>
        <v>Sunderland</v>
      </c>
      <c r="M231">
        <f ca="1">IF(ISBLANK(Scores_and_Fixtures[[#This Row],[Home Score]])=FALSE,Scores_and_Fixtures[[#This Row],[Home Score]],_xlfn.BINOM.INV(10000,(VLOOKUP(L231,$CK$4:$CM$27,2,FALSE)*VLOOKUP(O231,$CK$4:$CM$27,3,FALSE)*($CM$2/2))/10000,RAND()))</f>
        <v>2</v>
      </c>
      <c r="N231">
        <f ca="1">IF(ISBLANK(Scores_and_Fixtures[[#This Row],[Away Score]])=FALSE,Scores_and_Fixtures[[#This Row],[Away Score]],_xlfn.BINOM.INV(10000,(VLOOKUP(O231,$CK$4:$CM$27,2,FALSE)*VLOOKUP(L231,$CK$4:$CM$27,3,FALSE)*($CM$2/2))/10000,RAND()))</f>
        <v>1</v>
      </c>
      <c r="O231" t="str">
        <f>Scores_and_Fixtures[[#This Row],[Away]]</f>
        <v>West Brom</v>
      </c>
      <c r="U231">
        <v>130</v>
      </c>
      <c r="V231">
        <v>14</v>
      </c>
      <c r="W231">
        <v>9</v>
      </c>
      <c r="X231">
        <v>12</v>
      </c>
      <c r="Y231">
        <v>6</v>
      </c>
      <c r="Z231">
        <v>13</v>
      </c>
      <c r="AA231">
        <v>19</v>
      </c>
      <c r="AB231">
        <v>8</v>
      </c>
      <c r="AC231">
        <v>2</v>
      </c>
      <c r="AD231">
        <v>3</v>
      </c>
      <c r="AE231">
        <v>1</v>
      </c>
      <c r="AF231">
        <v>15</v>
      </c>
      <c r="AG231">
        <v>17</v>
      </c>
      <c r="AH231">
        <v>10</v>
      </c>
      <c r="AI231">
        <v>20</v>
      </c>
      <c r="AJ231">
        <v>16</v>
      </c>
      <c r="AK231">
        <v>22</v>
      </c>
      <c r="AL231">
        <v>24</v>
      </c>
      <c r="AM231">
        <v>23</v>
      </c>
      <c r="AN231">
        <v>4</v>
      </c>
      <c r="AO231">
        <v>21</v>
      </c>
      <c r="AP231">
        <v>5</v>
      </c>
      <c r="AQ231">
        <v>18</v>
      </c>
      <c r="AR231">
        <v>11</v>
      </c>
      <c r="AS231">
        <v>7</v>
      </c>
    </row>
    <row r="232" spans="1:45" x14ac:dyDescent="0.25">
      <c r="A232">
        <v>20</v>
      </c>
      <c r="B232" t="s">
        <v>379</v>
      </c>
      <c r="C232">
        <v>0</v>
      </c>
      <c r="D232">
        <v>2</v>
      </c>
      <c r="E232" t="s">
        <v>386</v>
      </c>
      <c r="K232">
        <f>Scores_and_Fixtures[[#This Row],[Wk]]</f>
        <v>20</v>
      </c>
      <c r="L232" t="str">
        <f>Scores_and_Fixtures[[#This Row],[Home]]</f>
        <v>Blackburn</v>
      </c>
      <c r="M232">
        <f ca="1">IF(ISBLANK(Scores_and_Fixtures[[#This Row],[Home Score]])=FALSE,Scores_and_Fixtures[[#This Row],[Home Score]],_xlfn.BINOM.INV(10000,(VLOOKUP(L232,$CK$4:$CM$27,2,FALSE)*VLOOKUP(O232,$CK$4:$CM$27,3,FALSE)*($CM$2/2))/10000,RAND()))</f>
        <v>0</v>
      </c>
      <c r="N232">
        <f ca="1">IF(ISBLANK(Scores_and_Fixtures[[#This Row],[Away Score]])=FALSE,Scores_and_Fixtures[[#This Row],[Away Score]],_xlfn.BINOM.INV(10000,(VLOOKUP(O232,$CK$4:$CM$27,2,FALSE)*VLOOKUP(L232,$CK$4:$CM$27,3,FALSE)*($CM$2/2))/10000,RAND()))</f>
        <v>2</v>
      </c>
      <c r="O232" t="str">
        <f>Scores_and_Fixtures[[#This Row],[Away]]</f>
        <v>Leeds United</v>
      </c>
      <c r="U232">
        <v>131</v>
      </c>
      <c r="V232">
        <v>11</v>
      </c>
      <c r="W232">
        <v>13</v>
      </c>
      <c r="X232">
        <v>17</v>
      </c>
      <c r="Y232">
        <v>14</v>
      </c>
      <c r="Z232">
        <v>15</v>
      </c>
      <c r="AA232">
        <v>16</v>
      </c>
      <c r="AB232">
        <v>6</v>
      </c>
      <c r="AC232">
        <v>2</v>
      </c>
      <c r="AD232">
        <v>4</v>
      </c>
      <c r="AE232">
        <v>1</v>
      </c>
      <c r="AF232">
        <v>9</v>
      </c>
      <c r="AG232">
        <v>18</v>
      </c>
      <c r="AH232">
        <v>10</v>
      </c>
      <c r="AI232">
        <v>21</v>
      </c>
      <c r="AJ232">
        <v>12</v>
      </c>
      <c r="AK232">
        <v>20</v>
      </c>
      <c r="AL232">
        <v>24</v>
      </c>
      <c r="AM232">
        <v>23</v>
      </c>
      <c r="AN232">
        <v>3</v>
      </c>
      <c r="AO232">
        <v>22</v>
      </c>
      <c r="AP232">
        <v>7</v>
      </c>
      <c r="AQ232">
        <v>19</v>
      </c>
      <c r="AR232">
        <v>8</v>
      </c>
      <c r="AS232">
        <v>5</v>
      </c>
    </row>
    <row r="233" spans="1:45" x14ac:dyDescent="0.25">
      <c r="A233">
        <v>20</v>
      </c>
      <c r="B233" t="s">
        <v>381</v>
      </c>
      <c r="C233">
        <v>1</v>
      </c>
      <c r="D233">
        <v>0</v>
      </c>
      <c r="E233" t="s">
        <v>389</v>
      </c>
      <c r="K233">
        <f>Scores_and_Fixtures[[#This Row],[Wk]]</f>
        <v>20</v>
      </c>
      <c r="L233" t="str">
        <f>Scores_and_Fixtures[[#This Row],[Home]]</f>
        <v>Cardiff City</v>
      </c>
      <c r="M233">
        <f ca="1">IF(ISBLANK(Scores_and_Fixtures[[#This Row],[Home Score]])=FALSE,Scores_and_Fixtures[[#This Row],[Home Score]],_xlfn.BINOM.INV(10000,(VLOOKUP(L233,$CK$4:$CM$27,2,FALSE)*VLOOKUP(O233,$CK$4:$CM$27,3,FALSE)*($CM$2/2))/10000,RAND()))</f>
        <v>1</v>
      </c>
      <c r="N233">
        <f ca="1">IF(ISBLANK(Scores_and_Fixtures[[#This Row],[Away Score]])=FALSE,Scores_and_Fixtures[[#This Row],[Away Score]],_xlfn.BINOM.INV(10000,(VLOOKUP(O233,$CK$4:$CM$27,2,FALSE)*VLOOKUP(L233,$CK$4:$CM$27,3,FALSE)*($CM$2/2))/10000,RAND()))</f>
        <v>0</v>
      </c>
      <c r="O233" t="str">
        <f>Scores_and_Fixtures[[#This Row],[Away]]</f>
        <v>Millwall</v>
      </c>
      <c r="U233">
        <v>132</v>
      </c>
      <c r="V233">
        <v>14</v>
      </c>
      <c r="W233">
        <v>16</v>
      </c>
      <c r="X233">
        <v>17</v>
      </c>
      <c r="Y233">
        <v>15</v>
      </c>
      <c r="Z233">
        <v>9</v>
      </c>
      <c r="AA233">
        <v>19</v>
      </c>
      <c r="AB233">
        <v>7</v>
      </c>
      <c r="AC233">
        <v>2</v>
      </c>
      <c r="AD233">
        <v>4</v>
      </c>
      <c r="AE233">
        <v>1</v>
      </c>
      <c r="AF233">
        <v>8</v>
      </c>
      <c r="AG233">
        <v>18</v>
      </c>
      <c r="AH233">
        <v>12</v>
      </c>
      <c r="AI233">
        <v>13</v>
      </c>
      <c r="AJ233">
        <v>11</v>
      </c>
      <c r="AK233">
        <v>22</v>
      </c>
      <c r="AL233">
        <v>24</v>
      </c>
      <c r="AM233">
        <v>23</v>
      </c>
      <c r="AN233">
        <v>3</v>
      </c>
      <c r="AO233">
        <v>21</v>
      </c>
      <c r="AP233">
        <v>10</v>
      </c>
      <c r="AQ233">
        <v>20</v>
      </c>
      <c r="AR233">
        <v>6</v>
      </c>
      <c r="AS233">
        <v>5</v>
      </c>
    </row>
    <row r="234" spans="1:45" x14ac:dyDescent="0.25">
      <c r="A234">
        <v>20</v>
      </c>
      <c r="B234" t="s">
        <v>390</v>
      </c>
      <c r="C234">
        <v>0</v>
      </c>
      <c r="D234">
        <v>0</v>
      </c>
      <c r="E234" t="s">
        <v>392</v>
      </c>
      <c r="K234">
        <f>Scores_and_Fixtures[[#This Row],[Wk]]</f>
        <v>20</v>
      </c>
      <c r="L234" t="str">
        <f>Scores_and_Fixtures[[#This Row],[Home]]</f>
        <v>Norwich City</v>
      </c>
      <c r="M234">
        <f ca="1">IF(ISBLANK(Scores_and_Fixtures[[#This Row],[Home Score]])=FALSE,Scores_and_Fixtures[[#This Row],[Home Score]],_xlfn.BINOM.INV(10000,(VLOOKUP(L234,$CK$4:$CM$27,2,FALSE)*VLOOKUP(O234,$CK$4:$CM$27,3,FALSE)*($CM$2/2))/10000,RAND()))</f>
        <v>0</v>
      </c>
      <c r="N234">
        <f ca="1">IF(ISBLANK(Scores_and_Fixtures[[#This Row],[Away Score]])=FALSE,Scores_and_Fixtures[[#This Row],[Away Score]],_xlfn.BINOM.INV(10000,(VLOOKUP(O234,$CK$4:$CM$27,2,FALSE)*VLOOKUP(L234,$CK$4:$CM$27,3,FALSE)*($CM$2/2))/10000,RAND()))</f>
        <v>0</v>
      </c>
      <c r="O234" t="str">
        <f>Scores_and_Fixtures[[#This Row],[Away]]</f>
        <v>Preston</v>
      </c>
      <c r="U234">
        <v>133</v>
      </c>
      <c r="V234">
        <v>12</v>
      </c>
      <c r="W234">
        <v>13</v>
      </c>
      <c r="X234">
        <v>11</v>
      </c>
      <c r="Y234">
        <v>10</v>
      </c>
      <c r="Z234">
        <v>18</v>
      </c>
      <c r="AA234">
        <v>20</v>
      </c>
      <c r="AB234">
        <v>5</v>
      </c>
      <c r="AC234">
        <v>2</v>
      </c>
      <c r="AD234">
        <v>4</v>
      </c>
      <c r="AE234">
        <v>1</v>
      </c>
      <c r="AF234">
        <v>8</v>
      </c>
      <c r="AG234">
        <v>22</v>
      </c>
      <c r="AH234">
        <v>16</v>
      </c>
      <c r="AI234">
        <v>15</v>
      </c>
      <c r="AJ234">
        <v>17</v>
      </c>
      <c r="AK234">
        <v>21</v>
      </c>
      <c r="AL234">
        <v>24</v>
      </c>
      <c r="AM234">
        <v>23</v>
      </c>
      <c r="AN234">
        <v>3</v>
      </c>
      <c r="AO234">
        <v>19</v>
      </c>
      <c r="AP234">
        <v>9</v>
      </c>
      <c r="AQ234">
        <v>14</v>
      </c>
      <c r="AR234">
        <v>7</v>
      </c>
      <c r="AS234">
        <v>6</v>
      </c>
    </row>
    <row r="235" spans="1:45" x14ac:dyDescent="0.25">
      <c r="A235">
        <v>20</v>
      </c>
      <c r="B235" t="s">
        <v>397</v>
      </c>
      <c r="C235">
        <v>0</v>
      </c>
      <c r="D235">
        <v>1</v>
      </c>
      <c r="E235" t="s">
        <v>395</v>
      </c>
      <c r="K235">
        <f>Scores_and_Fixtures[[#This Row],[Wk]]</f>
        <v>20</v>
      </c>
      <c r="L235" t="str">
        <f>Scores_and_Fixtures[[#This Row],[Home]]</f>
        <v>Stoke City</v>
      </c>
      <c r="M235">
        <f ca="1">IF(ISBLANK(Scores_and_Fixtures[[#This Row],[Home Score]])=FALSE,Scores_and_Fixtures[[#This Row],[Home Score]],_xlfn.BINOM.INV(10000,(VLOOKUP(L235,$CK$4:$CM$27,2,FALSE)*VLOOKUP(O235,$CK$4:$CM$27,3,FALSE)*($CM$2/2))/10000,RAND()))</f>
        <v>0</v>
      </c>
      <c r="N235">
        <f ca="1">IF(ISBLANK(Scores_and_Fixtures[[#This Row],[Away Score]])=FALSE,Scores_and_Fixtures[[#This Row],[Away Score]],_xlfn.BINOM.INV(10000,(VLOOKUP(O235,$CK$4:$CM$27,2,FALSE)*VLOOKUP(L235,$CK$4:$CM$27,3,FALSE)*($CM$2/2))/10000,RAND()))</f>
        <v>1</v>
      </c>
      <c r="O235" t="str">
        <f>Scores_and_Fixtures[[#This Row],[Away]]</f>
        <v>Sheffield Weds</v>
      </c>
      <c r="U235">
        <v>134</v>
      </c>
      <c r="V235">
        <v>19</v>
      </c>
      <c r="W235">
        <v>7</v>
      </c>
      <c r="X235">
        <v>13</v>
      </c>
      <c r="Y235">
        <v>16</v>
      </c>
      <c r="Z235">
        <v>14</v>
      </c>
      <c r="AA235">
        <v>23</v>
      </c>
      <c r="AB235">
        <v>4</v>
      </c>
      <c r="AC235">
        <v>2</v>
      </c>
      <c r="AD235">
        <v>6</v>
      </c>
      <c r="AE235">
        <v>1</v>
      </c>
      <c r="AF235">
        <v>9</v>
      </c>
      <c r="AG235">
        <v>20</v>
      </c>
      <c r="AH235">
        <v>10</v>
      </c>
      <c r="AI235">
        <v>15</v>
      </c>
      <c r="AJ235">
        <v>11</v>
      </c>
      <c r="AK235">
        <v>22</v>
      </c>
      <c r="AL235">
        <v>24</v>
      </c>
      <c r="AM235">
        <v>21</v>
      </c>
      <c r="AN235">
        <v>3</v>
      </c>
      <c r="AO235">
        <v>18</v>
      </c>
      <c r="AP235">
        <v>8</v>
      </c>
      <c r="AQ235">
        <v>17</v>
      </c>
      <c r="AR235">
        <v>12</v>
      </c>
      <c r="AS235">
        <v>5</v>
      </c>
    </row>
    <row r="236" spans="1:45" x14ac:dyDescent="0.25">
      <c r="A236">
        <v>20</v>
      </c>
      <c r="B236" t="s">
        <v>394</v>
      </c>
      <c r="C236">
        <v>1</v>
      </c>
      <c r="D236">
        <v>2</v>
      </c>
      <c r="E236" t="s">
        <v>399</v>
      </c>
      <c r="K236">
        <f>Scores_and_Fixtures[[#This Row],[Wk]]</f>
        <v>20</v>
      </c>
      <c r="L236" t="str">
        <f>Scores_and_Fixtures[[#This Row],[Home]]</f>
        <v>Rotherham Utd</v>
      </c>
      <c r="M236">
        <f ca="1">IF(ISBLANK(Scores_and_Fixtures[[#This Row],[Home Score]])=FALSE,Scores_and_Fixtures[[#This Row],[Home Score]],_xlfn.BINOM.INV(10000,(VLOOKUP(L236,$CK$4:$CM$27,2,FALSE)*VLOOKUP(O236,$CK$4:$CM$27,3,FALSE)*($CM$2/2))/10000,RAND()))</f>
        <v>1</v>
      </c>
      <c r="N236">
        <f ca="1">IF(ISBLANK(Scores_and_Fixtures[[#This Row],[Away Score]])=FALSE,Scores_and_Fixtures[[#This Row],[Away Score]],_xlfn.BINOM.INV(10000,(VLOOKUP(O236,$CK$4:$CM$27,2,FALSE)*VLOOKUP(L236,$CK$4:$CM$27,3,FALSE)*($CM$2/2))/10000,RAND()))</f>
        <v>2</v>
      </c>
      <c r="O236" t="str">
        <f>Scores_and_Fixtures[[#This Row],[Away]]</f>
        <v>Swansea City</v>
      </c>
      <c r="U236">
        <v>135</v>
      </c>
      <c r="V236">
        <v>19</v>
      </c>
      <c r="W236">
        <v>7</v>
      </c>
      <c r="X236">
        <v>12</v>
      </c>
      <c r="Y236">
        <v>10</v>
      </c>
      <c r="Z236">
        <v>18</v>
      </c>
      <c r="AA236">
        <v>23</v>
      </c>
      <c r="AB236">
        <v>5</v>
      </c>
      <c r="AC236">
        <v>2</v>
      </c>
      <c r="AD236">
        <v>3</v>
      </c>
      <c r="AE236">
        <v>1</v>
      </c>
      <c r="AF236">
        <v>11</v>
      </c>
      <c r="AG236">
        <v>17</v>
      </c>
      <c r="AH236">
        <v>14</v>
      </c>
      <c r="AI236">
        <v>15</v>
      </c>
      <c r="AJ236">
        <v>13</v>
      </c>
      <c r="AK236">
        <v>21</v>
      </c>
      <c r="AL236">
        <v>22</v>
      </c>
      <c r="AM236">
        <v>24</v>
      </c>
      <c r="AN236">
        <v>4</v>
      </c>
      <c r="AO236">
        <v>20</v>
      </c>
      <c r="AP236">
        <v>9</v>
      </c>
      <c r="AQ236">
        <v>16</v>
      </c>
      <c r="AR236">
        <v>8</v>
      </c>
      <c r="AS236">
        <v>6</v>
      </c>
    </row>
    <row r="237" spans="1:45" x14ac:dyDescent="0.25">
      <c r="A237">
        <v>20</v>
      </c>
      <c r="B237" t="s">
        <v>387</v>
      </c>
      <c r="C237">
        <v>4</v>
      </c>
      <c r="D237">
        <v>0</v>
      </c>
      <c r="E237" t="s">
        <v>391</v>
      </c>
      <c r="K237">
        <f>Scores_and_Fixtures[[#This Row],[Wk]]</f>
        <v>20</v>
      </c>
      <c r="L237" t="str">
        <f>Scores_and_Fixtures[[#This Row],[Home]]</f>
        <v>Leicester City</v>
      </c>
      <c r="M237">
        <f ca="1">IF(ISBLANK(Scores_and_Fixtures[[#This Row],[Home Score]])=FALSE,Scores_and_Fixtures[[#This Row],[Home Score]],_xlfn.BINOM.INV(10000,(VLOOKUP(L237,$CK$4:$CM$27,2,FALSE)*VLOOKUP(O237,$CK$4:$CM$27,3,FALSE)*($CM$2/2))/10000,RAND()))</f>
        <v>4</v>
      </c>
      <c r="N237">
        <f ca="1">IF(ISBLANK(Scores_and_Fixtures[[#This Row],[Away Score]])=FALSE,Scores_and_Fixtures[[#This Row],[Away Score]],_xlfn.BINOM.INV(10000,(VLOOKUP(O237,$CK$4:$CM$27,2,FALSE)*VLOOKUP(L237,$CK$4:$CM$27,3,FALSE)*($CM$2/2))/10000,RAND()))</f>
        <v>0</v>
      </c>
      <c r="O237" t="str">
        <f>Scores_and_Fixtures[[#This Row],[Away]]</f>
        <v>Plymouth Argyle</v>
      </c>
      <c r="U237">
        <v>136</v>
      </c>
      <c r="V237">
        <v>19</v>
      </c>
      <c r="W237">
        <v>6</v>
      </c>
      <c r="X237">
        <v>10</v>
      </c>
      <c r="Y237">
        <v>13</v>
      </c>
      <c r="Z237">
        <v>7</v>
      </c>
      <c r="AA237">
        <v>21</v>
      </c>
      <c r="AB237">
        <v>5</v>
      </c>
      <c r="AC237">
        <v>2</v>
      </c>
      <c r="AD237">
        <v>4</v>
      </c>
      <c r="AE237">
        <v>1</v>
      </c>
      <c r="AF237">
        <v>14</v>
      </c>
      <c r="AG237">
        <v>17</v>
      </c>
      <c r="AH237">
        <v>12</v>
      </c>
      <c r="AI237">
        <v>18</v>
      </c>
      <c r="AJ237">
        <v>11</v>
      </c>
      <c r="AK237">
        <v>22</v>
      </c>
      <c r="AL237">
        <v>24</v>
      </c>
      <c r="AM237">
        <v>23</v>
      </c>
      <c r="AN237">
        <v>3</v>
      </c>
      <c r="AO237">
        <v>15</v>
      </c>
      <c r="AP237">
        <v>16</v>
      </c>
      <c r="AQ237">
        <v>20</v>
      </c>
      <c r="AR237">
        <v>9</v>
      </c>
      <c r="AS237">
        <v>8</v>
      </c>
    </row>
    <row r="238" spans="1:45" x14ac:dyDescent="0.25">
      <c r="A238">
        <v>20</v>
      </c>
      <c r="B238" t="s">
        <v>393</v>
      </c>
      <c r="C238">
        <v>2</v>
      </c>
      <c r="D238">
        <v>0</v>
      </c>
      <c r="E238" t="s">
        <v>384</v>
      </c>
      <c r="K238">
        <f>Scores_and_Fixtures[[#This Row],[Wk]]</f>
        <v>20</v>
      </c>
      <c r="L238" t="str">
        <f>Scores_and_Fixtures[[#This Row],[Home]]</f>
        <v>QPR</v>
      </c>
      <c r="M238">
        <f ca="1">IF(ISBLANK(Scores_and_Fixtures[[#This Row],[Home Score]])=FALSE,Scores_and_Fixtures[[#This Row],[Home Score]],_xlfn.BINOM.INV(10000,(VLOOKUP(L238,$CK$4:$CM$27,2,FALSE)*VLOOKUP(O238,$CK$4:$CM$27,3,FALSE)*($CM$2/2))/10000,RAND()))</f>
        <v>2</v>
      </c>
      <c r="N238">
        <f ca="1">IF(ISBLANK(Scores_and_Fixtures[[#This Row],[Away Score]])=FALSE,Scores_and_Fixtures[[#This Row],[Away Score]],_xlfn.BINOM.INV(10000,(VLOOKUP(O238,$CK$4:$CM$27,2,FALSE)*VLOOKUP(L238,$CK$4:$CM$27,3,FALSE)*($CM$2/2))/10000,RAND()))</f>
        <v>0</v>
      </c>
      <c r="O238" t="str">
        <f>Scores_and_Fixtures[[#This Row],[Away]]</f>
        <v>Hull City</v>
      </c>
      <c r="U238">
        <v>137</v>
      </c>
      <c r="V238">
        <v>17</v>
      </c>
      <c r="W238">
        <v>13</v>
      </c>
      <c r="X238">
        <v>16</v>
      </c>
      <c r="Y238">
        <v>10</v>
      </c>
      <c r="Z238">
        <v>12</v>
      </c>
      <c r="AA238">
        <v>21</v>
      </c>
      <c r="AB238">
        <v>5</v>
      </c>
      <c r="AC238">
        <v>2</v>
      </c>
      <c r="AD238">
        <v>3</v>
      </c>
      <c r="AE238">
        <v>1</v>
      </c>
      <c r="AF238">
        <v>9</v>
      </c>
      <c r="AG238">
        <v>19</v>
      </c>
      <c r="AH238">
        <v>11</v>
      </c>
      <c r="AI238">
        <v>18</v>
      </c>
      <c r="AJ238">
        <v>14</v>
      </c>
      <c r="AK238">
        <v>22</v>
      </c>
      <c r="AL238">
        <v>24</v>
      </c>
      <c r="AM238">
        <v>23</v>
      </c>
      <c r="AN238">
        <v>6</v>
      </c>
      <c r="AO238">
        <v>20</v>
      </c>
      <c r="AP238">
        <v>8</v>
      </c>
      <c r="AQ238">
        <v>15</v>
      </c>
      <c r="AR238">
        <v>7</v>
      </c>
      <c r="AS238">
        <v>4</v>
      </c>
    </row>
    <row r="239" spans="1:45" x14ac:dyDescent="0.25">
      <c r="A239">
        <v>20</v>
      </c>
      <c r="B239" t="s">
        <v>383</v>
      </c>
      <c r="C239">
        <v>1</v>
      </c>
      <c r="D239">
        <v>1</v>
      </c>
      <c r="E239" t="s">
        <v>380</v>
      </c>
      <c r="K239">
        <f>Scores_and_Fixtures[[#This Row],[Wk]]</f>
        <v>20</v>
      </c>
      <c r="L239" t="str">
        <f>Scores_and_Fixtures[[#This Row],[Home]]</f>
        <v>Huddersfield</v>
      </c>
      <c r="M239">
        <f ca="1">IF(ISBLANK(Scores_and_Fixtures[[#This Row],[Home Score]])=FALSE,Scores_and_Fixtures[[#This Row],[Home Score]],_xlfn.BINOM.INV(10000,(VLOOKUP(L239,$CK$4:$CM$27,2,FALSE)*VLOOKUP(O239,$CK$4:$CM$27,3,FALSE)*($CM$2/2))/10000,RAND()))</f>
        <v>1</v>
      </c>
      <c r="N239">
        <f ca="1">IF(ISBLANK(Scores_and_Fixtures[[#This Row],[Away Score]])=FALSE,Scores_and_Fixtures[[#This Row],[Away Score]],_xlfn.BINOM.INV(10000,(VLOOKUP(O239,$CK$4:$CM$27,2,FALSE)*VLOOKUP(L239,$CK$4:$CM$27,3,FALSE)*($CM$2/2))/10000,RAND()))</f>
        <v>1</v>
      </c>
      <c r="O239" t="str">
        <f>Scores_and_Fixtures[[#This Row],[Away]]</f>
        <v>Bristol City</v>
      </c>
      <c r="U239">
        <v>138</v>
      </c>
      <c r="V239">
        <v>16</v>
      </c>
      <c r="W239">
        <v>11</v>
      </c>
      <c r="X239">
        <v>10</v>
      </c>
      <c r="Y239">
        <v>8</v>
      </c>
      <c r="Z239">
        <v>13</v>
      </c>
      <c r="AA239">
        <v>19</v>
      </c>
      <c r="AB239">
        <v>5</v>
      </c>
      <c r="AC239">
        <v>1</v>
      </c>
      <c r="AD239">
        <v>3</v>
      </c>
      <c r="AE239">
        <v>2</v>
      </c>
      <c r="AF239">
        <v>15</v>
      </c>
      <c r="AG239">
        <v>18</v>
      </c>
      <c r="AH239">
        <v>12</v>
      </c>
      <c r="AI239">
        <v>14</v>
      </c>
      <c r="AJ239">
        <v>17</v>
      </c>
      <c r="AK239">
        <v>23</v>
      </c>
      <c r="AL239">
        <v>22</v>
      </c>
      <c r="AM239">
        <v>24</v>
      </c>
      <c r="AN239">
        <v>4</v>
      </c>
      <c r="AO239">
        <v>21</v>
      </c>
      <c r="AP239">
        <v>9</v>
      </c>
      <c r="AQ239">
        <v>20</v>
      </c>
      <c r="AR239">
        <v>7</v>
      </c>
      <c r="AS239">
        <v>6</v>
      </c>
    </row>
    <row r="240" spans="1:45" x14ac:dyDescent="0.25">
      <c r="A240">
        <v>20</v>
      </c>
      <c r="B240" t="s">
        <v>400</v>
      </c>
      <c r="C240">
        <v>1</v>
      </c>
      <c r="D240">
        <v>1</v>
      </c>
      <c r="E240" t="s">
        <v>396</v>
      </c>
      <c r="K240">
        <f>Scores_and_Fixtures[[#This Row],[Wk]]</f>
        <v>20</v>
      </c>
      <c r="L240" t="str">
        <f>Scores_and_Fixtures[[#This Row],[Home]]</f>
        <v>Watford</v>
      </c>
      <c r="M240">
        <f ca="1">IF(ISBLANK(Scores_and_Fixtures[[#This Row],[Home Score]])=FALSE,Scores_and_Fixtures[[#This Row],[Home Score]],_xlfn.BINOM.INV(10000,(VLOOKUP(L240,$CK$4:$CM$27,2,FALSE)*VLOOKUP(O240,$CK$4:$CM$27,3,FALSE)*($CM$2/2))/10000,RAND()))</f>
        <v>1</v>
      </c>
      <c r="N240">
        <f ca="1">IF(ISBLANK(Scores_and_Fixtures[[#This Row],[Away Score]])=FALSE,Scores_and_Fixtures[[#This Row],[Away Score]],_xlfn.BINOM.INV(10000,(VLOOKUP(O240,$CK$4:$CM$27,2,FALSE)*VLOOKUP(L240,$CK$4:$CM$27,3,FALSE)*($CM$2/2))/10000,RAND()))</f>
        <v>1</v>
      </c>
      <c r="O240" t="str">
        <f>Scores_and_Fixtures[[#This Row],[Away]]</f>
        <v>Southampton</v>
      </c>
      <c r="U240">
        <v>139</v>
      </c>
      <c r="V240">
        <v>14</v>
      </c>
      <c r="W240">
        <v>15</v>
      </c>
      <c r="X240">
        <v>19</v>
      </c>
      <c r="Y240">
        <v>6</v>
      </c>
      <c r="Z240">
        <v>10</v>
      </c>
      <c r="AA240">
        <v>21</v>
      </c>
      <c r="AB240">
        <v>5</v>
      </c>
      <c r="AC240">
        <v>2</v>
      </c>
      <c r="AD240">
        <v>3</v>
      </c>
      <c r="AE240">
        <v>1</v>
      </c>
      <c r="AF240">
        <v>9</v>
      </c>
      <c r="AG240">
        <v>13</v>
      </c>
      <c r="AH240">
        <v>8</v>
      </c>
      <c r="AI240">
        <v>17</v>
      </c>
      <c r="AJ240">
        <v>12</v>
      </c>
      <c r="AK240">
        <v>20</v>
      </c>
      <c r="AL240">
        <v>23</v>
      </c>
      <c r="AM240">
        <v>24</v>
      </c>
      <c r="AN240">
        <v>4</v>
      </c>
      <c r="AO240">
        <v>22</v>
      </c>
      <c r="AP240">
        <v>16</v>
      </c>
      <c r="AQ240">
        <v>18</v>
      </c>
      <c r="AR240">
        <v>11</v>
      </c>
      <c r="AS240">
        <v>7</v>
      </c>
    </row>
    <row r="241" spans="1:45" x14ac:dyDescent="0.25">
      <c r="A241">
        <v>20</v>
      </c>
      <c r="B241" t="s">
        <v>388</v>
      </c>
      <c r="C241">
        <v>0</v>
      </c>
      <c r="D241">
        <v>2</v>
      </c>
      <c r="E241" t="s">
        <v>385</v>
      </c>
      <c r="K241">
        <f>Scores_and_Fixtures[[#This Row],[Wk]]</f>
        <v>20</v>
      </c>
      <c r="L241" t="str">
        <f>Scores_and_Fixtures[[#This Row],[Home]]</f>
        <v>Middlesbrough</v>
      </c>
      <c r="M241">
        <f ca="1">IF(ISBLANK(Scores_and_Fixtures[[#This Row],[Home Score]])=FALSE,Scores_and_Fixtures[[#This Row],[Home Score]],_xlfn.BINOM.INV(10000,(VLOOKUP(L241,$CK$4:$CM$27,2,FALSE)*VLOOKUP(O241,$CK$4:$CM$27,3,FALSE)*($CM$2/2))/10000,RAND()))</f>
        <v>0</v>
      </c>
      <c r="N241">
        <f ca="1">IF(ISBLANK(Scores_and_Fixtures[[#This Row],[Away Score]])=FALSE,Scores_and_Fixtures[[#This Row],[Away Score]],_xlfn.BINOM.INV(10000,(VLOOKUP(O241,$CK$4:$CM$27,2,FALSE)*VLOOKUP(L241,$CK$4:$CM$27,3,FALSE)*($CM$2/2))/10000,RAND()))</f>
        <v>2</v>
      </c>
      <c r="O241" t="str">
        <f>Scores_and_Fixtures[[#This Row],[Away]]</f>
        <v>Ipswich Town</v>
      </c>
      <c r="U241">
        <v>140</v>
      </c>
      <c r="V241">
        <v>15</v>
      </c>
      <c r="W241">
        <v>14</v>
      </c>
      <c r="X241">
        <v>11</v>
      </c>
      <c r="Y241">
        <v>9</v>
      </c>
      <c r="Z241">
        <v>18</v>
      </c>
      <c r="AA241">
        <v>21</v>
      </c>
      <c r="AB241">
        <v>7</v>
      </c>
      <c r="AC241">
        <v>2</v>
      </c>
      <c r="AD241">
        <v>4</v>
      </c>
      <c r="AE241">
        <v>1</v>
      </c>
      <c r="AF241">
        <v>13</v>
      </c>
      <c r="AG241">
        <v>17</v>
      </c>
      <c r="AH241">
        <v>12</v>
      </c>
      <c r="AI241">
        <v>16</v>
      </c>
      <c r="AJ241">
        <v>10</v>
      </c>
      <c r="AK241">
        <v>22</v>
      </c>
      <c r="AL241">
        <v>24</v>
      </c>
      <c r="AM241">
        <v>23</v>
      </c>
      <c r="AN241">
        <v>3</v>
      </c>
      <c r="AO241">
        <v>20</v>
      </c>
      <c r="AP241">
        <v>8</v>
      </c>
      <c r="AQ241">
        <v>19</v>
      </c>
      <c r="AR241">
        <v>6</v>
      </c>
      <c r="AS241">
        <v>5</v>
      </c>
    </row>
    <row r="242" spans="1:45" x14ac:dyDescent="0.25">
      <c r="A242">
        <v>21</v>
      </c>
      <c r="B242" t="s">
        <v>400</v>
      </c>
      <c r="C242">
        <v>1</v>
      </c>
      <c r="D242">
        <v>2</v>
      </c>
      <c r="E242" t="s">
        <v>385</v>
      </c>
      <c r="K242">
        <f>Scores_and_Fixtures[[#This Row],[Wk]]</f>
        <v>21</v>
      </c>
      <c r="L242" t="str">
        <f>Scores_and_Fixtures[[#This Row],[Home]]</f>
        <v>Watford</v>
      </c>
      <c r="M242">
        <f ca="1">IF(ISBLANK(Scores_and_Fixtures[[#This Row],[Home Score]])=FALSE,Scores_and_Fixtures[[#This Row],[Home Score]],_xlfn.BINOM.INV(10000,(VLOOKUP(L242,$CK$4:$CM$27,2,FALSE)*VLOOKUP(O242,$CK$4:$CM$27,3,FALSE)*($CM$2/2))/10000,RAND()))</f>
        <v>1</v>
      </c>
      <c r="N242">
        <f ca="1">IF(ISBLANK(Scores_and_Fixtures[[#This Row],[Away Score]])=FALSE,Scores_and_Fixtures[[#This Row],[Away Score]],_xlfn.BINOM.INV(10000,(VLOOKUP(O242,$CK$4:$CM$27,2,FALSE)*VLOOKUP(L242,$CK$4:$CM$27,3,FALSE)*($CM$2/2))/10000,RAND()))</f>
        <v>2</v>
      </c>
      <c r="O242" t="str">
        <f>Scores_and_Fixtures[[#This Row],[Away]]</f>
        <v>Ipswich Town</v>
      </c>
      <c r="U242">
        <v>141</v>
      </c>
      <c r="V242">
        <v>18</v>
      </c>
      <c r="W242">
        <v>13</v>
      </c>
      <c r="X242">
        <v>11</v>
      </c>
      <c r="Y242">
        <v>16</v>
      </c>
      <c r="Z242">
        <v>17</v>
      </c>
      <c r="AA242">
        <v>22</v>
      </c>
      <c r="AB242">
        <v>5</v>
      </c>
      <c r="AC242">
        <v>3</v>
      </c>
      <c r="AD242">
        <v>4</v>
      </c>
      <c r="AE242">
        <v>1</v>
      </c>
      <c r="AF242">
        <v>12</v>
      </c>
      <c r="AG242">
        <v>21</v>
      </c>
      <c r="AH242">
        <v>15</v>
      </c>
      <c r="AI242">
        <v>10</v>
      </c>
      <c r="AJ242">
        <v>9</v>
      </c>
      <c r="AK242">
        <v>19</v>
      </c>
      <c r="AL242">
        <v>24</v>
      </c>
      <c r="AM242">
        <v>23</v>
      </c>
      <c r="AN242">
        <v>2</v>
      </c>
      <c r="AO242">
        <v>20</v>
      </c>
      <c r="AP242">
        <v>6</v>
      </c>
      <c r="AQ242">
        <v>14</v>
      </c>
      <c r="AR242">
        <v>7</v>
      </c>
      <c r="AS242">
        <v>8</v>
      </c>
    </row>
    <row r="243" spans="1:45" x14ac:dyDescent="0.25">
      <c r="A243">
        <v>21</v>
      </c>
      <c r="B243" t="s">
        <v>397</v>
      </c>
      <c r="C243">
        <v>1</v>
      </c>
      <c r="D243">
        <v>1</v>
      </c>
      <c r="E243" t="s">
        <v>399</v>
      </c>
      <c r="K243">
        <f>Scores_and_Fixtures[[#This Row],[Wk]]</f>
        <v>21</v>
      </c>
      <c r="L243" t="str">
        <f>Scores_and_Fixtures[[#This Row],[Home]]</f>
        <v>Stoke City</v>
      </c>
      <c r="M243">
        <f ca="1">IF(ISBLANK(Scores_and_Fixtures[[#This Row],[Home Score]])=FALSE,Scores_and_Fixtures[[#This Row],[Home Score]],_xlfn.BINOM.INV(10000,(VLOOKUP(L243,$CK$4:$CM$27,2,FALSE)*VLOOKUP(O243,$CK$4:$CM$27,3,FALSE)*($CM$2/2))/10000,RAND()))</f>
        <v>1</v>
      </c>
      <c r="N243">
        <f ca="1">IF(ISBLANK(Scores_and_Fixtures[[#This Row],[Away Score]])=FALSE,Scores_and_Fixtures[[#This Row],[Away Score]],_xlfn.BINOM.INV(10000,(VLOOKUP(O243,$CK$4:$CM$27,2,FALSE)*VLOOKUP(L243,$CK$4:$CM$27,3,FALSE)*($CM$2/2))/10000,RAND()))</f>
        <v>1</v>
      </c>
      <c r="O243" t="str">
        <f>Scores_and_Fixtures[[#This Row],[Away]]</f>
        <v>Swansea City</v>
      </c>
      <c r="U243">
        <v>142</v>
      </c>
      <c r="V243">
        <v>19</v>
      </c>
      <c r="W243">
        <v>14</v>
      </c>
      <c r="X243">
        <v>12</v>
      </c>
      <c r="Y243">
        <v>11</v>
      </c>
      <c r="Z243">
        <v>9</v>
      </c>
      <c r="AA243">
        <v>20</v>
      </c>
      <c r="AB243">
        <v>5</v>
      </c>
      <c r="AC243">
        <v>2</v>
      </c>
      <c r="AD243">
        <v>3</v>
      </c>
      <c r="AE243">
        <v>1</v>
      </c>
      <c r="AF243">
        <v>7</v>
      </c>
      <c r="AG243">
        <v>21</v>
      </c>
      <c r="AH243">
        <v>13</v>
      </c>
      <c r="AI243">
        <v>15</v>
      </c>
      <c r="AJ243">
        <v>16</v>
      </c>
      <c r="AK243">
        <v>22</v>
      </c>
      <c r="AL243">
        <v>24</v>
      </c>
      <c r="AM243">
        <v>23</v>
      </c>
      <c r="AN243">
        <v>4</v>
      </c>
      <c r="AO243">
        <v>18</v>
      </c>
      <c r="AP243">
        <v>10</v>
      </c>
      <c r="AQ243">
        <v>17</v>
      </c>
      <c r="AR243">
        <v>6</v>
      </c>
      <c r="AS243">
        <v>8</v>
      </c>
    </row>
    <row r="244" spans="1:45" x14ac:dyDescent="0.25">
      <c r="A244">
        <v>21</v>
      </c>
      <c r="B244" t="s">
        <v>379</v>
      </c>
      <c r="C244">
        <v>2</v>
      </c>
      <c r="D244">
        <v>1</v>
      </c>
      <c r="E244" t="s">
        <v>380</v>
      </c>
      <c r="K244">
        <f>Scores_and_Fixtures[[#This Row],[Wk]]</f>
        <v>21</v>
      </c>
      <c r="L244" t="str">
        <f>Scores_and_Fixtures[[#This Row],[Home]]</f>
        <v>Blackburn</v>
      </c>
      <c r="M244">
        <f ca="1">IF(ISBLANK(Scores_and_Fixtures[[#This Row],[Home Score]])=FALSE,Scores_and_Fixtures[[#This Row],[Home Score]],_xlfn.BINOM.INV(10000,(VLOOKUP(L244,$CK$4:$CM$27,2,FALSE)*VLOOKUP(O244,$CK$4:$CM$27,3,FALSE)*($CM$2/2))/10000,RAND()))</f>
        <v>2</v>
      </c>
      <c r="N244">
        <f ca="1">IF(ISBLANK(Scores_and_Fixtures[[#This Row],[Away Score]])=FALSE,Scores_and_Fixtures[[#This Row],[Away Score]],_xlfn.BINOM.INV(10000,(VLOOKUP(O244,$CK$4:$CM$27,2,FALSE)*VLOOKUP(L244,$CK$4:$CM$27,3,FALSE)*($CM$2/2))/10000,RAND()))</f>
        <v>1</v>
      </c>
      <c r="O244" t="str">
        <f>Scores_and_Fixtures[[#This Row],[Away]]</f>
        <v>Bristol City</v>
      </c>
      <c r="U244">
        <v>143</v>
      </c>
      <c r="V244">
        <v>11</v>
      </c>
      <c r="W244">
        <v>8</v>
      </c>
      <c r="X244">
        <v>14</v>
      </c>
      <c r="Y244">
        <v>12</v>
      </c>
      <c r="Z244">
        <v>17</v>
      </c>
      <c r="AA244">
        <v>21</v>
      </c>
      <c r="AB244">
        <v>7</v>
      </c>
      <c r="AC244">
        <v>2</v>
      </c>
      <c r="AD244">
        <v>4</v>
      </c>
      <c r="AE244">
        <v>1</v>
      </c>
      <c r="AF244">
        <v>10</v>
      </c>
      <c r="AG244">
        <v>18</v>
      </c>
      <c r="AH244">
        <v>13</v>
      </c>
      <c r="AI244">
        <v>15</v>
      </c>
      <c r="AJ244">
        <v>16</v>
      </c>
      <c r="AK244">
        <v>22</v>
      </c>
      <c r="AL244">
        <v>24</v>
      </c>
      <c r="AM244">
        <v>23</v>
      </c>
      <c r="AN244">
        <v>3</v>
      </c>
      <c r="AO244">
        <v>20</v>
      </c>
      <c r="AP244">
        <v>6</v>
      </c>
      <c r="AQ244">
        <v>19</v>
      </c>
      <c r="AR244">
        <v>9</v>
      </c>
      <c r="AS244">
        <v>5</v>
      </c>
    </row>
    <row r="245" spans="1:45" x14ac:dyDescent="0.25">
      <c r="A245">
        <v>21</v>
      </c>
      <c r="B245" t="s">
        <v>394</v>
      </c>
      <c r="C245">
        <v>0</v>
      </c>
      <c r="D245">
        <v>2</v>
      </c>
      <c r="E245" t="s">
        <v>401</v>
      </c>
      <c r="K245">
        <f>Scores_and_Fixtures[[#This Row],[Wk]]</f>
        <v>21</v>
      </c>
      <c r="L245" t="str">
        <f>Scores_and_Fixtures[[#This Row],[Home]]</f>
        <v>Rotherham Utd</v>
      </c>
      <c r="M245">
        <f ca="1">IF(ISBLANK(Scores_and_Fixtures[[#This Row],[Home Score]])=FALSE,Scores_and_Fixtures[[#This Row],[Home Score]],_xlfn.BINOM.INV(10000,(VLOOKUP(L245,$CK$4:$CM$27,2,FALSE)*VLOOKUP(O245,$CK$4:$CM$27,3,FALSE)*($CM$2/2))/10000,RAND()))</f>
        <v>0</v>
      </c>
      <c r="N245">
        <f ca="1">IF(ISBLANK(Scores_and_Fixtures[[#This Row],[Away Score]])=FALSE,Scores_and_Fixtures[[#This Row],[Away Score]],_xlfn.BINOM.INV(10000,(VLOOKUP(O245,$CK$4:$CM$27,2,FALSE)*VLOOKUP(L245,$CK$4:$CM$27,3,FALSE)*($CM$2/2))/10000,RAND()))</f>
        <v>2</v>
      </c>
      <c r="O245" t="str">
        <f>Scores_and_Fixtures[[#This Row],[Away]]</f>
        <v>West Brom</v>
      </c>
      <c r="U245">
        <v>144</v>
      </c>
      <c r="V245">
        <v>15</v>
      </c>
      <c r="W245">
        <v>16</v>
      </c>
      <c r="X245">
        <v>11</v>
      </c>
      <c r="Y245">
        <v>8</v>
      </c>
      <c r="Z245">
        <v>12</v>
      </c>
      <c r="AA245">
        <v>20</v>
      </c>
      <c r="AB245">
        <v>7</v>
      </c>
      <c r="AC245">
        <v>2</v>
      </c>
      <c r="AD245">
        <v>3</v>
      </c>
      <c r="AE245">
        <v>1</v>
      </c>
      <c r="AF245">
        <v>9</v>
      </c>
      <c r="AG245">
        <v>19</v>
      </c>
      <c r="AH245">
        <v>6</v>
      </c>
      <c r="AI245">
        <v>13</v>
      </c>
      <c r="AJ245">
        <v>17</v>
      </c>
      <c r="AK245">
        <v>22</v>
      </c>
      <c r="AL245">
        <v>24</v>
      </c>
      <c r="AM245">
        <v>23</v>
      </c>
      <c r="AN245">
        <v>4</v>
      </c>
      <c r="AO245">
        <v>21</v>
      </c>
      <c r="AP245">
        <v>14</v>
      </c>
      <c r="AQ245">
        <v>18</v>
      </c>
      <c r="AR245">
        <v>10</v>
      </c>
      <c r="AS245">
        <v>5</v>
      </c>
    </row>
    <row r="246" spans="1:45" x14ac:dyDescent="0.25">
      <c r="A246">
        <v>21</v>
      </c>
      <c r="B246" t="s">
        <v>383</v>
      </c>
      <c r="C246">
        <v>1</v>
      </c>
      <c r="D246">
        <v>3</v>
      </c>
      <c r="E246" t="s">
        <v>392</v>
      </c>
      <c r="K246">
        <f>Scores_and_Fixtures[[#This Row],[Wk]]</f>
        <v>21</v>
      </c>
      <c r="L246" t="str">
        <f>Scores_and_Fixtures[[#This Row],[Home]]</f>
        <v>Huddersfield</v>
      </c>
      <c r="M246">
        <f ca="1">IF(ISBLANK(Scores_and_Fixtures[[#This Row],[Home Score]])=FALSE,Scores_and_Fixtures[[#This Row],[Home Score]],_xlfn.BINOM.INV(10000,(VLOOKUP(L246,$CK$4:$CM$27,2,FALSE)*VLOOKUP(O246,$CK$4:$CM$27,3,FALSE)*($CM$2/2))/10000,RAND()))</f>
        <v>1</v>
      </c>
      <c r="N246">
        <f ca="1">IF(ISBLANK(Scores_and_Fixtures[[#This Row],[Away Score]])=FALSE,Scores_and_Fixtures[[#This Row],[Away Score]],_xlfn.BINOM.INV(10000,(VLOOKUP(O246,$CK$4:$CM$27,2,FALSE)*VLOOKUP(L246,$CK$4:$CM$27,3,FALSE)*($CM$2/2))/10000,RAND()))</f>
        <v>3</v>
      </c>
      <c r="O246" t="str">
        <f>Scores_and_Fixtures[[#This Row],[Away]]</f>
        <v>Preston</v>
      </c>
      <c r="U246">
        <v>145</v>
      </c>
      <c r="V246">
        <v>16</v>
      </c>
      <c r="W246">
        <v>6</v>
      </c>
      <c r="X246">
        <v>9</v>
      </c>
      <c r="Y246">
        <v>14</v>
      </c>
      <c r="Z246">
        <v>12</v>
      </c>
      <c r="AA246">
        <v>21</v>
      </c>
      <c r="AB246">
        <v>5</v>
      </c>
      <c r="AC246">
        <v>2</v>
      </c>
      <c r="AD246">
        <v>3</v>
      </c>
      <c r="AE246">
        <v>1</v>
      </c>
      <c r="AF246">
        <v>10</v>
      </c>
      <c r="AG246">
        <v>20</v>
      </c>
      <c r="AH246">
        <v>13</v>
      </c>
      <c r="AI246">
        <v>18</v>
      </c>
      <c r="AJ246">
        <v>17</v>
      </c>
      <c r="AK246">
        <v>22</v>
      </c>
      <c r="AL246">
        <v>24</v>
      </c>
      <c r="AM246">
        <v>23</v>
      </c>
      <c r="AN246">
        <v>4</v>
      </c>
      <c r="AO246">
        <v>19</v>
      </c>
      <c r="AP246">
        <v>8</v>
      </c>
      <c r="AQ246">
        <v>11</v>
      </c>
      <c r="AR246">
        <v>15</v>
      </c>
      <c r="AS246">
        <v>7</v>
      </c>
    </row>
    <row r="247" spans="1:45" x14ac:dyDescent="0.25">
      <c r="A247">
        <v>21</v>
      </c>
      <c r="B247" t="s">
        <v>398</v>
      </c>
      <c r="C247">
        <v>1</v>
      </c>
      <c r="D247">
        <v>0</v>
      </c>
      <c r="E247" t="s">
        <v>386</v>
      </c>
      <c r="K247">
        <f>Scores_and_Fixtures[[#This Row],[Wk]]</f>
        <v>21</v>
      </c>
      <c r="L247" t="str">
        <f>Scores_and_Fixtures[[#This Row],[Home]]</f>
        <v>Sunderland</v>
      </c>
      <c r="M247">
        <f ca="1">IF(ISBLANK(Scores_and_Fixtures[[#This Row],[Home Score]])=FALSE,Scores_and_Fixtures[[#This Row],[Home Score]],_xlfn.BINOM.INV(10000,(VLOOKUP(L247,$CK$4:$CM$27,2,FALSE)*VLOOKUP(O247,$CK$4:$CM$27,3,FALSE)*($CM$2/2))/10000,RAND()))</f>
        <v>1</v>
      </c>
      <c r="N247">
        <f ca="1">IF(ISBLANK(Scores_and_Fixtures[[#This Row],[Away Score]])=FALSE,Scores_and_Fixtures[[#This Row],[Away Score]],_xlfn.BINOM.INV(10000,(VLOOKUP(O247,$CK$4:$CM$27,2,FALSE)*VLOOKUP(L247,$CK$4:$CM$27,3,FALSE)*($CM$2/2))/10000,RAND()))</f>
        <v>0</v>
      </c>
      <c r="O247" t="str">
        <f>Scores_and_Fixtures[[#This Row],[Away]]</f>
        <v>Leeds United</v>
      </c>
      <c r="U247">
        <v>146</v>
      </c>
      <c r="V247">
        <v>18</v>
      </c>
      <c r="W247">
        <v>9</v>
      </c>
      <c r="X247">
        <v>16</v>
      </c>
      <c r="Y247">
        <v>14</v>
      </c>
      <c r="Z247">
        <v>12</v>
      </c>
      <c r="AA247">
        <v>22</v>
      </c>
      <c r="AB247">
        <v>5</v>
      </c>
      <c r="AC247">
        <v>2</v>
      </c>
      <c r="AD247">
        <v>3</v>
      </c>
      <c r="AE247">
        <v>1</v>
      </c>
      <c r="AF247">
        <v>13</v>
      </c>
      <c r="AG247">
        <v>15</v>
      </c>
      <c r="AH247">
        <v>8</v>
      </c>
      <c r="AI247">
        <v>10</v>
      </c>
      <c r="AJ247">
        <v>11</v>
      </c>
      <c r="AK247">
        <v>20</v>
      </c>
      <c r="AL247">
        <v>24</v>
      </c>
      <c r="AM247">
        <v>23</v>
      </c>
      <c r="AN247">
        <v>4</v>
      </c>
      <c r="AO247">
        <v>19</v>
      </c>
      <c r="AP247">
        <v>17</v>
      </c>
      <c r="AQ247">
        <v>21</v>
      </c>
      <c r="AR247">
        <v>7</v>
      </c>
      <c r="AS247">
        <v>6</v>
      </c>
    </row>
    <row r="248" spans="1:45" x14ac:dyDescent="0.25">
      <c r="A248">
        <v>21</v>
      </c>
      <c r="B248" t="s">
        <v>390</v>
      </c>
      <c r="C248">
        <v>3</v>
      </c>
      <c r="D248">
        <v>1</v>
      </c>
      <c r="E248" t="s">
        <v>395</v>
      </c>
      <c r="K248">
        <f>Scores_and_Fixtures[[#This Row],[Wk]]</f>
        <v>21</v>
      </c>
      <c r="L248" t="str">
        <f>Scores_and_Fixtures[[#This Row],[Home]]</f>
        <v>Norwich City</v>
      </c>
      <c r="M248">
        <f ca="1">IF(ISBLANK(Scores_and_Fixtures[[#This Row],[Home Score]])=FALSE,Scores_and_Fixtures[[#This Row],[Home Score]],_xlfn.BINOM.INV(10000,(VLOOKUP(L248,$CK$4:$CM$27,2,FALSE)*VLOOKUP(O248,$CK$4:$CM$27,3,FALSE)*($CM$2/2))/10000,RAND()))</f>
        <v>3</v>
      </c>
      <c r="N248">
        <f ca="1">IF(ISBLANK(Scores_and_Fixtures[[#This Row],[Away Score]])=FALSE,Scores_and_Fixtures[[#This Row],[Away Score]],_xlfn.BINOM.INV(10000,(VLOOKUP(O248,$CK$4:$CM$27,2,FALSE)*VLOOKUP(L248,$CK$4:$CM$27,3,FALSE)*($CM$2/2))/10000,RAND()))</f>
        <v>1</v>
      </c>
      <c r="O248" t="str">
        <f>Scores_and_Fixtures[[#This Row],[Away]]</f>
        <v>Sheffield Weds</v>
      </c>
      <c r="U248">
        <v>147</v>
      </c>
      <c r="V248">
        <v>16</v>
      </c>
      <c r="W248">
        <v>6</v>
      </c>
      <c r="X248">
        <v>13</v>
      </c>
      <c r="Y248">
        <v>18</v>
      </c>
      <c r="Z248">
        <v>11</v>
      </c>
      <c r="AA248">
        <v>22</v>
      </c>
      <c r="AB248">
        <v>5</v>
      </c>
      <c r="AC248">
        <v>2</v>
      </c>
      <c r="AD248">
        <v>3</v>
      </c>
      <c r="AE248">
        <v>1</v>
      </c>
      <c r="AF248">
        <v>14</v>
      </c>
      <c r="AG248">
        <v>19</v>
      </c>
      <c r="AH248">
        <v>9</v>
      </c>
      <c r="AI248">
        <v>15</v>
      </c>
      <c r="AJ248">
        <v>12</v>
      </c>
      <c r="AK248">
        <v>21</v>
      </c>
      <c r="AL248">
        <v>24</v>
      </c>
      <c r="AM248">
        <v>23</v>
      </c>
      <c r="AN248">
        <v>7</v>
      </c>
      <c r="AO248">
        <v>20</v>
      </c>
      <c r="AP248">
        <v>10</v>
      </c>
      <c r="AQ248">
        <v>17</v>
      </c>
      <c r="AR248">
        <v>4</v>
      </c>
      <c r="AS248">
        <v>8</v>
      </c>
    </row>
    <row r="249" spans="1:45" x14ac:dyDescent="0.25">
      <c r="A249">
        <v>21</v>
      </c>
      <c r="B249" t="s">
        <v>387</v>
      </c>
      <c r="C249">
        <v>3</v>
      </c>
      <c r="D249">
        <v>2</v>
      </c>
      <c r="E249" t="s">
        <v>389</v>
      </c>
      <c r="K249">
        <f>Scores_and_Fixtures[[#This Row],[Wk]]</f>
        <v>21</v>
      </c>
      <c r="L249" t="str">
        <f>Scores_and_Fixtures[[#This Row],[Home]]</f>
        <v>Leicester City</v>
      </c>
      <c r="M249">
        <f ca="1">IF(ISBLANK(Scores_and_Fixtures[[#This Row],[Home Score]])=FALSE,Scores_and_Fixtures[[#This Row],[Home Score]],_xlfn.BINOM.INV(10000,(VLOOKUP(L249,$CK$4:$CM$27,2,FALSE)*VLOOKUP(O249,$CK$4:$CM$27,3,FALSE)*($CM$2/2))/10000,RAND()))</f>
        <v>3</v>
      </c>
      <c r="N249">
        <f ca="1">IF(ISBLANK(Scores_and_Fixtures[[#This Row],[Away Score]])=FALSE,Scores_and_Fixtures[[#This Row],[Away Score]],_xlfn.BINOM.INV(10000,(VLOOKUP(O249,$CK$4:$CM$27,2,FALSE)*VLOOKUP(L249,$CK$4:$CM$27,3,FALSE)*($CM$2/2))/10000,RAND()))</f>
        <v>2</v>
      </c>
      <c r="O249" t="str">
        <f>Scores_and_Fixtures[[#This Row],[Away]]</f>
        <v>Millwall</v>
      </c>
      <c r="U249">
        <v>148</v>
      </c>
      <c r="V249">
        <v>16</v>
      </c>
      <c r="W249">
        <v>13</v>
      </c>
      <c r="X249">
        <v>11</v>
      </c>
      <c r="Y249">
        <v>9</v>
      </c>
      <c r="Z249">
        <v>18</v>
      </c>
      <c r="AA249">
        <v>21</v>
      </c>
      <c r="AB249">
        <v>6</v>
      </c>
      <c r="AC249">
        <v>2</v>
      </c>
      <c r="AD249">
        <v>3</v>
      </c>
      <c r="AE249">
        <v>1</v>
      </c>
      <c r="AF249">
        <v>7</v>
      </c>
      <c r="AG249">
        <v>19</v>
      </c>
      <c r="AH249">
        <v>12</v>
      </c>
      <c r="AI249">
        <v>15</v>
      </c>
      <c r="AJ249">
        <v>14</v>
      </c>
      <c r="AK249">
        <v>22</v>
      </c>
      <c r="AL249">
        <v>24</v>
      </c>
      <c r="AM249">
        <v>23</v>
      </c>
      <c r="AN249">
        <v>5</v>
      </c>
      <c r="AO249">
        <v>20</v>
      </c>
      <c r="AP249">
        <v>10</v>
      </c>
      <c r="AQ249">
        <v>17</v>
      </c>
      <c r="AR249">
        <v>8</v>
      </c>
      <c r="AS249">
        <v>4</v>
      </c>
    </row>
    <row r="250" spans="1:45" x14ac:dyDescent="0.25">
      <c r="A250">
        <v>21</v>
      </c>
      <c r="B250" t="s">
        <v>381</v>
      </c>
      <c r="C250">
        <v>0</v>
      </c>
      <c r="D250">
        <v>1</v>
      </c>
      <c r="E250" t="s">
        <v>378</v>
      </c>
      <c r="K250">
        <f>Scores_and_Fixtures[[#This Row],[Wk]]</f>
        <v>21</v>
      </c>
      <c r="L250" t="str">
        <f>Scores_and_Fixtures[[#This Row],[Home]]</f>
        <v>Cardiff City</v>
      </c>
      <c r="M250">
        <f ca="1">IF(ISBLANK(Scores_and_Fixtures[[#This Row],[Home Score]])=FALSE,Scores_and_Fixtures[[#This Row],[Home Score]],_xlfn.BINOM.INV(10000,(VLOOKUP(L250,$CK$4:$CM$27,2,FALSE)*VLOOKUP(O250,$CK$4:$CM$27,3,FALSE)*($CM$2/2))/10000,RAND()))</f>
        <v>0</v>
      </c>
      <c r="N250">
        <f ca="1">IF(ISBLANK(Scores_and_Fixtures[[#This Row],[Away Score]])=FALSE,Scores_and_Fixtures[[#This Row],[Away Score]],_xlfn.BINOM.INV(10000,(VLOOKUP(O250,$CK$4:$CM$27,2,FALSE)*VLOOKUP(L250,$CK$4:$CM$27,3,FALSE)*($CM$2/2))/10000,RAND()))</f>
        <v>1</v>
      </c>
      <c r="O250" t="str">
        <f>Scores_and_Fixtures[[#This Row],[Away]]</f>
        <v>Birmingham City</v>
      </c>
      <c r="U250">
        <v>149</v>
      </c>
      <c r="V250">
        <v>15</v>
      </c>
      <c r="W250">
        <v>11</v>
      </c>
      <c r="X250">
        <v>12</v>
      </c>
      <c r="Y250">
        <v>9</v>
      </c>
      <c r="Z250">
        <v>19</v>
      </c>
      <c r="AA250">
        <v>21</v>
      </c>
      <c r="AB250">
        <v>6</v>
      </c>
      <c r="AC250">
        <v>3</v>
      </c>
      <c r="AD250">
        <v>4</v>
      </c>
      <c r="AE250">
        <v>1</v>
      </c>
      <c r="AF250">
        <v>10</v>
      </c>
      <c r="AG250">
        <v>14</v>
      </c>
      <c r="AH250">
        <v>13</v>
      </c>
      <c r="AI250">
        <v>18</v>
      </c>
      <c r="AJ250">
        <v>17</v>
      </c>
      <c r="AK250">
        <v>22</v>
      </c>
      <c r="AL250">
        <v>24</v>
      </c>
      <c r="AM250">
        <v>23</v>
      </c>
      <c r="AN250">
        <v>2</v>
      </c>
      <c r="AO250">
        <v>20</v>
      </c>
      <c r="AP250">
        <v>8</v>
      </c>
      <c r="AQ250">
        <v>16</v>
      </c>
      <c r="AR250">
        <v>7</v>
      </c>
      <c r="AS250">
        <v>5</v>
      </c>
    </row>
    <row r="251" spans="1:45" x14ac:dyDescent="0.25">
      <c r="A251">
        <v>21</v>
      </c>
      <c r="B251" t="s">
        <v>382</v>
      </c>
      <c r="C251">
        <v>1</v>
      </c>
      <c r="D251">
        <v>1</v>
      </c>
      <c r="E251" t="s">
        <v>396</v>
      </c>
      <c r="K251">
        <f>Scores_and_Fixtures[[#This Row],[Wk]]</f>
        <v>21</v>
      </c>
      <c r="L251" t="str">
        <f>Scores_and_Fixtures[[#This Row],[Home]]</f>
        <v>Coventry City</v>
      </c>
      <c r="M251">
        <f ca="1">IF(ISBLANK(Scores_and_Fixtures[[#This Row],[Home Score]])=FALSE,Scores_and_Fixtures[[#This Row],[Home Score]],_xlfn.BINOM.INV(10000,(VLOOKUP(L251,$CK$4:$CM$27,2,FALSE)*VLOOKUP(O251,$CK$4:$CM$27,3,FALSE)*($CM$2/2))/10000,RAND()))</f>
        <v>1</v>
      </c>
      <c r="N251">
        <f ca="1">IF(ISBLANK(Scores_and_Fixtures[[#This Row],[Away Score]])=FALSE,Scores_and_Fixtures[[#This Row],[Away Score]],_xlfn.BINOM.INV(10000,(VLOOKUP(O251,$CK$4:$CM$27,2,FALSE)*VLOOKUP(L251,$CK$4:$CM$27,3,FALSE)*($CM$2/2))/10000,RAND()))</f>
        <v>1</v>
      </c>
      <c r="O251" t="str">
        <f>Scores_and_Fixtures[[#This Row],[Away]]</f>
        <v>Southampton</v>
      </c>
      <c r="U251">
        <v>150</v>
      </c>
      <c r="V251">
        <v>13</v>
      </c>
      <c r="W251">
        <v>9</v>
      </c>
      <c r="X251">
        <v>17</v>
      </c>
      <c r="Y251">
        <v>12</v>
      </c>
      <c r="Z251">
        <v>11</v>
      </c>
      <c r="AA251">
        <v>19</v>
      </c>
      <c r="AB251">
        <v>5</v>
      </c>
      <c r="AC251">
        <v>2</v>
      </c>
      <c r="AD251">
        <v>3</v>
      </c>
      <c r="AE251">
        <v>1</v>
      </c>
      <c r="AF251">
        <v>6</v>
      </c>
      <c r="AG251">
        <v>18</v>
      </c>
      <c r="AH251">
        <v>14</v>
      </c>
      <c r="AI251">
        <v>16</v>
      </c>
      <c r="AJ251">
        <v>15</v>
      </c>
      <c r="AK251">
        <v>22</v>
      </c>
      <c r="AL251">
        <v>24</v>
      </c>
      <c r="AM251">
        <v>23</v>
      </c>
      <c r="AN251">
        <v>4</v>
      </c>
      <c r="AO251">
        <v>21</v>
      </c>
      <c r="AP251">
        <v>10</v>
      </c>
      <c r="AQ251">
        <v>20</v>
      </c>
      <c r="AR251">
        <v>7</v>
      </c>
      <c r="AS251">
        <v>8</v>
      </c>
    </row>
    <row r="252" spans="1:45" x14ac:dyDescent="0.25">
      <c r="A252">
        <v>21</v>
      </c>
      <c r="B252" t="s">
        <v>393</v>
      </c>
      <c r="C252">
        <v>0</v>
      </c>
      <c r="D252">
        <v>0</v>
      </c>
      <c r="E252" t="s">
        <v>391</v>
      </c>
      <c r="K252">
        <f>Scores_and_Fixtures[[#This Row],[Wk]]</f>
        <v>21</v>
      </c>
      <c r="L252" t="str">
        <f>Scores_and_Fixtures[[#This Row],[Home]]</f>
        <v>QPR</v>
      </c>
      <c r="M252">
        <f ca="1">IF(ISBLANK(Scores_and_Fixtures[[#This Row],[Home Score]])=FALSE,Scores_and_Fixtures[[#This Row],[Home Score]],_xlfn.BINOM.INV(10000,(VLOOKUP(L252,$CK$4:$CM$27,2,FALSE)*VLOOKUP(O252,$CK$4:$CM$27,3,FALSE)*($CM$2/2))/10000,RAND()))</f>
        <v>0</v>
      </c>
      <c r="N252">
        <f ca="1">IF(ISBLANK(Scores_and_Fixtures[[#This Row],[Away Score]])=FALSE,Scores_and_Fixtures[[#This Row],[Away Score]],_xlfn.BINOM.INV(10000,(VLOOKUP(O252,$CK$4:$CM$27,2,FALSE)*VLOOKUP(L252,$CK$4:$CM$27,3,FALSE)*($CM$2/2))/10000,RAND()))</f>
        <v>0</v>
      </c>
      <c r="O252" t="str">
        <f>Scores_and_Fixtures[[#This Row],[Away]]</f>
        <v>Plymouth Argyle</v>
      </c>
      <c r="U252">
        <v>151</v>
      </c>
      <c r="V252">
        <v>11</v>
      </c>
      <c r="W252">
        <v>16</v>
      </c>
      <c r="X252">
        <v>14</v>
      </c>
      <c r="Y252">
        <v>17</v>
      </c>
      <c r="Z252">
        <v>9</v>
      </c>
      <c r="AA252">
        <v>21</v>
      </c>
      <c r="AB252">
        <v>5</v>
      </c>
      <c r="AC252">
        <v>2</v>
      </c>
      <c r="AD252">
        <v>3</v>
      </c>
      <c r="AE252">
        <v>1</v>
      </c>
      <c r="AF252">
        <v>15</v>
      </c>
      <c r="AG252">
        <v>19</v>
      </c>
      <c r="AH252">
        <v>10</v>
      </c>
      <c r="AI252">
        <v>18</v>
      </c>
      <c r="AJ252">
        <v>12</v>
      </c>
      <c r="AK252">
        <v>22</v>
      </c>
      <c r="AL252">
        <v>24</v>
      </c>
      <c r="AM252">
        <v>23</v>
      </c>
      <c r="AN252">
        <v>6</v>
      </c>
      <c r="AO252">
        <v>20</v>
      </c>
      <c r="AP252">
        <v>7</v>
      </c>
      <c r="AQ252">
        <v>13</v>
      </c>
      <c r="AR252">
        <v>8</v>
      </c>
      <c r="AS252">
        <v>4</v>
      </c>
    </row>
    <row r="253" spans="1:45" x14ac:dyDescent="0.25">
      <c r="A253">
        <v>21</v>
      </c>
      <c r="B253" t="s">
        <v>388</v>
      </c>
      <c r="C253">
        <v>1</v>
      </c>
      <c r="D253">
        <v>2</v>
      </c>
      <c r="E253" t="s">
        <v>384</v>
      </c>
      <c r="K253">
        <f>Scores_and_Fixtures[[#This Row],[Wk]]</f>
        <v>21</v>
      </c>
      <c r="L253" t="str">
        <f>Scores_and_Fixtures[[#This Row],[Home]]</f>
        <v>Middlesbrough</v>
      </c>
      <c r="M253">
        <f ca="1">IF(ISBLANK(Scores_and_Fixtures[[#This Row],[Home Score]])=FALSE,Scores_and_Fixtures[[#This Row],[Home Score]],_xlfn.BINOM.INV(10000,(VLOOKUP(L253,$CK$4:$CM$27,2,FALSE)*VLOOKUP(O253,$CK$4:$CM$27,3,FALSE)*($CM$2/2))/10000,RAND()))</f>
        <v>1</v>
      </c>
      <c r="N253">
        <f ca="1">IF(ISBLANK(Scores_and_Fixtures[[#This Row],[Away Score]])=FALSE,Scores_and_Fixtures[[#This Row],[Away Score]],_xlfn.BINOM.INV(10000,(VLOOKUP(O253,$CK$4:$CM$27,2,FALSE)*VLOOKUP(L253,$CK$4:$CM$27,3,FALSE)*($CM$2/2))/10000,RAND()))</f>
        <v>2</v>
      </c>
      <c r="O253" t="str">
        <f>Scores_and_Fixtures[[#This Row],[Away]]</f>
        <v>Hull City</v>
      </c>
      <c r="U253">
        <v>152</v>
      </c>
      <c r="V253">
        <v>15</v>
      </c>
      <c r="W253">
        <v>13</v>
      </c>
      <c r="X253">
        <v>17</v>
      </c>
      <c r="Y253">
        <v>10</v>
      </c>
      <c r="Z253">
        <v>14</v>
      </c>
      <c r="AA253">
        <v>22</v>
      </c>
      <c r="AB253">
        <v>4</v>
      </c>
      <c r="AC253">
        <v>2</v>
      </c>
      <c r="AD253">
        <v>5</v>
      </c>
      <c r="AE253">
        <v>1</v>
      </c>
      <c r="AF253">
        <v>11</v>
      </c>
      <c r="AG253">
        <v>18</v>
      </c>
      <c r="AH253">
        <v>8</v>
      </c>
      <c r="AI253">
        <v>19</v>
      </c>
      <c r="AJ253">
        <v>9</v>
      </c>
      <c r="AK253">
        <v>21</v>
      </c>
      <c r="AL253">
        <v>24</v>
      </c>
      <c r="AM253">
        <v>23</v>
      </c>
      <c r="AN253">
        <v>3</v>
      </c>
      <c r="AO253">
        <v>16</v>
      </c>
      <c r="AP253">
        <v>12</v>
      </c>
      <c r="AQ253">
        <v>20</v>
      </c>
      <c r="AR253">
        <v>7</v>
      </c>
      <c r="AS253">
        <v>6</v>
      </c>
    </row>
    <row r="254" spans="1:45" x14ac:dyDescent="0.25">
      <c r="A254">
        <v>22</v>
      </c>
      <c r="B254" t="s">
        <v>385</v>
      </c>
      <c r="C254">
        <v>2</v>
      </c>
      <c r="D254">
        <v>2</v>
      </c>
      <c r="E254" t="s">
        <v>390</v>
      </c>
      <c r="K254">
        <f>Scores_and_Fixtures[[#This Row],[Wk]]</f>
        <v>22</v>
      </c>
      <c r="L254" t="str">
        <f>Scores_and_Fixtures[[#This Row],[Home]]</f>
        <v>Ipswich Town</v>
      </c>
      <c r="M254">
        <f ca="1">IF(ISBLANK(Scores_and_Fixtures[[#This Row],[Home Score]])=FALSE,Scores_and_Fixtures[[#This Row],[Home Score]],_xlfn.BINOM.INV(10000,(VLOOKUP(L254,$CK$4:$CM$27,2,FALSE)*VLOOKUP(O254,$CK$4:$CM$27,3,FALSE)*($CM$2/2))/10000,RAND()))</f>
        <v>2</v>
      </c>
      <c r="N254">
        <f ca="1">IF(ISBLANK(Scores_and_Fixtures[[#This Row],[Away Score]])=FALSE,Scores_and_Fixtures[[#This Row],[Away Score]],_xlfn.BINOM.INV(10000,(VLOOKUP(O254,$CK$4:$CM$27,2,FALSE)*VLOOKUP(L254,$CK$4:$CM$27,3,FALSE)*($CM$2/2))/10000,RAND()))</f>
        <v>2</v>
      </c>
      <c r="O254" t="str">
        <f>Scores_and_Fixtures[[#This Row],[Away]]</f>
        <v>Norwich City</v>
      </c>
      <c r="U254">
        <v>153</v>
      </c>
      <c r="V254">
        <v>19</v>
      </c>
      <c r="W254">
        <v>14</v>
      </c>
      <c r="X254">
        <v>13</v>
      </c>
      <c r="Y254">
        <v>12</v>
      </c>
      <c r="Z254">
        <v>6</v>
      </c>
      <c r="AA254">
        <v>20</v>
      </c>
      <c r="AB254">
        <v>7</v>
      </c>
      <c r="AC254">
        <v>2</v>
      </c>
      <c r="AD254">
        <v>3</v>
      </c>
      <c r="AE254">
        <v>1</v>
      </c>
      <c r="AF254">
        <v>10</v>
      </c>
      <c r="AG254">
        <v>17</v>
      </c>
      <c r="AH254">
        <v>15</v>
      </c>
      <c r="AI254">
        <v>16</v>
      </c>
      <c r="AJ254">
        <v>11</v>
      </c>
      <c r="AK254">
        <v>22</v>
      </c>
      <c r="AL254">
        <v>23</v>
      </c>
      <c r="AM254">
        <v>24</v>
      </c>
      <c r="AN254">
        <v>4</v>
      </c>
      <c r="AO254">
        <v>21</v>
      </c>
      <c r="AP254">
        <v>9</v>
      </c>
      <c r="AQ254">
        <v>18</v>
      </c>
      <c r="AR254">
        <v>8</v>
      </c>
      <c r="AS254">
        <v>5</v>
      </c>
    </row>
    <row r="255" spans="1:45" x14ac:dyDescent="0.25">
      <c r="A255">
        <v>22</v>
      </c>
      <c r="B255" t="s">
        <v>391</v>
      </c>
      <c r="C255">
        <v>3</v>
      </c>
      <c r="D255">
        <v>2</v>
      </c>
      <c r="E255" t="s">
        <v>394</v>
      </c>
      <c r="K255">
        <f>Scores_and_Fixtures[[#This Row],[Wk]]</f>
        <v>22</v>
      </c>
      <c r="L255" t="str">
        <f>Scores_and_Fixtures[[#This Row],[Home]]</f>
        <v>Plymouth Argyle</v>
      </c>
      <c r="M255">
        <f ca="1">IF(ISBLANK(Scores_and_Fixtures[[#This Row],[Home Score]])=FALSE,Scores_and_Fixtures[[#This Row],[Home Score]],_xlfn.BINOM.INV(10000,(VLOOKUP(L255,$CK$4:$CM$27,2,FALSE)*VLOOKUP(O255,$CK$4:$CM$27,3,FALSE)*($CM$2/2))/10000,RAND()))</f>
        <v>3</v>
      </c>
      <c r="N255">
        <f ca="1">IF(ISBLANK(Scores_and_Fixtures[[#This Row],[Away Score]])=FALSE,Scores_and_Fixtures[[#This Row],[Away Score]],_xlfn.BINOM.INV(10000,(VLOOKUP(O255,$CK$4:$CM$27,2,FALSE)*VLOOKUP(L255,$CK$4:$CM$27,3,FALSE)*($CM$2/2))/10000,RAND()))</f>
        <v>2</v>
      </c>
      <c r="O255" t="str">
        <f>Scores_and_Fixtures[[#This Row],[Away]]</f>
        <v>Rotherham Utd</v>
      </c>
      <c r="U255">
        <v>154</v>
      </c>
      <c r="V255">
        <v>18</v>
      </c>
      <c r="W255">
        <v>8</v>
      </c>
      <c r="X255">
        <v>14</v>
      </c>
      <c r="Y255">
        <v>11</v>
      </c>
      <c r="Z255">
        <v>13</v>
      </c>
      <c r="AA255">
        <v>20</v>
      </c>
      <c r="AB255">
        <v>4</v>
      </c>
      <c r="AC255">
        <v>2</v>
      </c>
      <c r="AD255">
        <v>5</v>
      </c>
      <c r="AE255">
        <v>1</v>
      </c>
      <c r="AF255">
        <v>15</v>
      </c>
      <c r="AG255">
        <v>17</v>
      </c>
      <c r="AH255">
        <v>9</v>
      </c>
      <c r="AI255">
        <v>21</v>
      </c>
      <c r="AJ255">
        <v>10</v>
      </c>
      <c r="AK255">
        <v>22</v>
      </c>
      <c r="AL255">
        <v>24</v>
      </c>
      <c r="AM255">
        <v>23</v>
      </c>
      <c r="AN255">
        <v>3</v>
      </c>
      <c r="AO255">
        <v>19</v>
      </c>
      <c r="AP255">
        <v>6</v>
      </c>
      <c r="AQ255">
        <v>16</v>
      </c>
      <c r="AR255">
        <v>12</v>
      </c>
      <c r="AS255">
        <v>7</v>
      </c>
    </row>
    <row r="256" spans="1:45" x14ac:dyDescent="0.25">
      <c r="A256">
        <v>22</v>
      </c>
      <c r="B256" t="s">
        <v>386</v>
      </c>
      <c r="C256">
        <v>1</v>
      </c>
      <c r="D256">
        <v>1</v>
      </c>
      <c r="E256" t="s">
        <v>382</v>
      </c>
      <c r="K256">
        <f>Scores_and_Fixtures[[#This Row],[Wk]]</f>
        <v>22</v>
      </c>
      <c r="L256" t="str">
        <f>Scores_and_Fixtures[[#This Row],[Home]]</f>
        <v>Leeds United</v>
      </c>
      <c r="M256">
        <f ca="1">IF(ISBLANK(Scores_and_Fixtures[[#This Row],[Home Score]])=FALSE,Scores_and_Fixtures[[#This Row],[Home Score]],_xlfn.BINOM.INV(10000,(VLOOKUP(L256,$CK$4:$CM$27,2,FALSE)*VLOOKUP(O256,$CK$4:$CM$27,3,FALSE)*($CM$2/2))/10000,RAND()))</f>
        <v>1</v>
      </c>
      <c r="N256">
        <f ca="1">IF(ISBLANK(Scores_and_Fixtures[[#This Row],[Away Score]])=FALSE,Scores_and_Fixtures[[#This Row],[Away Score]],_xlfn.BINOM.INV(10000,(VLOOKUP(O256,$CK$4:$CM$27,2,FALSE)*VLOOKUP(L256,$CK$4:$CM$27,3,FALSE)*($CM$2/2))/10000,RAND()))</f>
        <v>1</v>
      </c>
      <c r="O256" t="str">
        <f>Scores_and_Fixtures[[#This Row],[Away]]</f>
        <v>Coventry City</v>
      </c>
      <c r="U256">
        <v>155</v>
      </c>
      <c r="V256">
        <v>12</v>
      </c>
      <c r="W256">
        <v>13</v>
      </c>
      <c r="X256">
        <v>8</v>
      </c>
      <c r="Y256">
        <v>11</v>
      </c>
      <c r="Z256">
        <v>15</v>
      </c>
      <c r="AA256">
        <v>19</v>
      </c>
      <c r="AB256">
        <v>6</v>
      </c>
      <c r="AC256">
        <v>2</v>
      </c>
      <c r="AD256">
        <v>3</v>
      </c>
      <c r="AE256">
        <v>1</v>
      </c>
      <c r="AF256">
        <v>10</v>
      </c>
      <c r="AG256">
        <v>21</v>
      </c>
      <c r="AH256">
        <v>17</v>
      </c>
      <c r="AI256">
        <v>18</v>
      </c>
      <c r="AJ256">
        <v>14</v>
      </c>
      <c r="AK256">
        <v>22</v>
      </c>
      <c r="AL256">
        <v>24</v>
      </c>
      <c r="AM256">
        <v>23</v>
      </c>
      <c r="AN256">
        <v>4</v>
      </c>
      <c r="AO256">
        <v>20</v>
      </c>
      <c r="AP256">
        <v>9</v>
      </c>
      <c r="AQ256">
        <v>16</v>
      </c>
      <c r="AR256">
        <v>7</v>
      </c>
      <c r="AS256">
        <v>5</v>
      </c>
    </row>
    <row r="257" spans="1:45" x14ac:dyDescent="0.25">
      <c r="A257">
        <v>22</v>
      </c>
      <c r="B257" t="s">
        <v>396</v>
      </c>
      <c r="C257">
        <v>4</v>
      </c>
      <c r="D257">
        <v>0</v>
      </c>
      <c r="E257" t="s">
        <v>379</v>
      </c>
      <c r="K257">
        <f>Scores_and_Fixtures[[#This Row],[Wk]]</f>
        <v>22</v>
      </c>
      <c r="L257" t="str">
        <f>Scores_and_Fixtures[[#This Row],[Home]]</f>
        <v>Southampton</v>
      </c>
      <c r="M257">
        <f ca="1">IF(ISBLANK(Scores_and_Fixtures[[#This Row],[Home Score]])=FALSE,Scores_and_Fixtures[[#This Row],[Home Score]],_xlfn.BINOM.INV(10000,(VLOOKUP(L257,$CK$4:$CM$27,2,FALSE)*VLOOKUP(O257,$CK$4:$CM$27,3,FALSE)*($CM$2/2))/10000,RAND()))</f>
        <v>4</v>
      </c>
      <c r="N257">
        <f ca="1">IF(ISBLANK(Scores_and_Fixtures[[#This Row],[Away Score]])=FALSE,Scores_and_Fixtures[[#This Row],[Away Score]],_xlfn.BINOM.INV(10000,(VLOOKUP(O257,$CK$4:$CM$27,2,FALSE)*VLOOKUP(L257,$CK$4:$CM$27,3,FALSE)*($CM$2/2))/10000,RAND()))</f>
        <v>0</v>
      </c>
      <c r="O257" t="str">
        <f>Scores_and_Fixtures[[#This Row],[Away]]</f>
        <v>Blackburn</v>
      </c>
      <c r="U257">
        <v>156</v>
      </c>
      <c r="V257">
        <v>14</v>
      </c>
      <c r="W257">
        <v>11</v>
      </c>
      <c r="X257">
        <v>7</v>
      </c>
      <c r="Y257">
        <v>16</v>
      </c>
      <c r="Z257">
        <v>10</v>
      </c>
      <c r="AA257">
        <v>19</v>
      </c>
      <c r="AB257">
        <v>4</v>
      </c>
      <c r="AC257">
        <v>2</v>
      </c>
      <c r="AD257">
        <v>5</v>
      </c>
      <c r="AE257">
        <v>1</v>
      </c>
      <c r="AF257">
        <v>17</v>
      </c>
      <c r="AG257">
        <v>22</v>
      </c>
      <c r="AH257">
        <v>8</v>
      </c>
      <c r="AI257">
        <v>18</v>
      </c>
      <c r="AJ257">
        <v>15</v>
      </c>
      <c r="AK257">
        <v>20</v>
      </c>
      <c r="AL257">
        <v>23</v>
      </c>
      <c r="AM257">
        <v>24</v>
      </c>
      <c r="AN257">
        <v>6</v>
      </c>
      <c r="AO257">
        <v>21</v>
      </c>
      <c r="AP257">
        <v>9</v>
      </c>
      <c r="AQ257">
        <v>13</v>
      </c>
      <c r="AR257">
        <v>12</v>
      </c>
      <c r="AS257">
        <v>3</v>
      </c>
    </row>
    <row r="258" spans="1:45" x14ac:dyDescent="0.25">
      <c r="A258">
        <v>22</v>
      </c>
      <c r="B258" t="s">
        <v>384</v>
      </c>
      <c r="C258">
        <v>3</v>
      </c>
      <c r="D258">
        <v>0</v>
      </c>
      <c r="E258" t="s">
        <v>381</v>
      </c>
      <c r="K258">
        <f>Scores_and_Fixtures[[#This Row],[Wk]]</f>
        <v>22</v>
      </c>
      <c r="L258" t="str">
        <f>Scores_and_Fixtures[[#This Row],[Home]]</f>
        <v>Hull City</v>
      </c>
      <c r="M258">
        <f ca="1">IF(ISBLANK(Scores_and_Fixtures[[#This Row],[Home Score]])=FALSE,Scores_and_Fixtures[[#This Row],[Home Score]],_xlfn.BINOM.INV(10000,(VLOOKUP(L258,$CK$4:$CM$27,2,FALSE)*VLOOKUP(O258,$CK$4:$CM$27,3,FALSE)*($CM$2/2))/10000,RAND()))</f>
        <v>3</v>
      </c>
      <c r="N258">
        <f ca="1">IF(ISBLANK(Scores_and_Fixtures[[#This Row],[Away Score]])=FALSE,Scores_and_Fixtures[[#This Row],[Away Score]],_xlfn.BINOM.INV(10000,(VLOOKUP(O258,$CK$4:$CM$27,2,FALSE)*VLOOKUP(L258,$CK$4:$CM$27,3,FALSE)*($CM$2/2))/10000,RAND()))</f>
        <v>0</v>
      </c>
      <c r="O258" t="str">
        <f>Scores_and_Fixtures[[#This Row],[Away]]</f>
        <v>Cardiff City</v>
      </c>
      <c r="U258">
        <v>157</v>
      </c>
      <c r="V258">
        <v>15</v>
      </c>
      <c r="W258">
        <v>10</v>
      </c>
      <c r="X258">
        <v>14</v>
      </c>
      <c r="Y258">
        <v>7</v>
      </c>
      <c r="Z258">
        <v>18</v>
      </c>
      <c r="AA258">
        <v>22</v>
      </c>
      <c r="AB258">
        <v>6</v>
      </c>
      <c r="AC258">
        <v>3</v>
      </c>
      <c r="AD258">
        <v>2</v>
      </c>
      <c r="AE258">
        <v>1</v>
      </c>
      <c r="AF258">
        <v>13</v>
      </c>
      <c r="AG258">
        <v>20</v>
      </c>
      <c r="AH258">
        <v>11</v>
      </c>
      <c r="AI258">
        <v>19</v>
      </c>
      <c r="AJ258">
        <v>12</v>
      </c>
      <c r="AK258">
        <v>21</v>
      </c>
      <c r="AL258">
        <v>24</v>
      </c>
      <c r="AM258">
        <v>23</v>
      </c>
      <c r="AN258">
        <v>4</v>
      </c>
      <c r="AO258">
        <v>16</v>
      </c>
      <c r="AP258">
        <v>8</v>
      </c>
      <c r="AQ258">
        <v>17</v>
      </c>
      <c r="AR258">
        <v>9</v>
      </c>
      <c r="AS258">
        <v>5</v>
      </c>
    </row>
    <row r="259" spans="1:45" x14ac:dyDescent="0.25">
      <c r="A259">
        <v>22</v>
      </c>
      <c r="B259" t="s">
        <v>380</v>
      </c>
      <c r="C259">
        <v>1</v>
      </c>
      <c r="D259">
        <v>0</v>
      </c>
      <c r="E259" t="s">
        <v>398</v>
      </c>
      <c r="K259">
        <f>Scores_and_Fixtures[[#This Row],[Wk]]</f>
        <v>22</v>
      </c>
      <c r="L259" t="str">
        <f>Scores_and_Fixtures[[#This Row],[Home]]</f>
        <v>Bristol City</v>
      </c>
      <c r="M259">
        <f ca="1">IF(ISBLANK(Scores_and_Fixtures[[#This Row],[Home Score]])=FALSE,Scores_and_Fixtures[[#This Row],[Home Score]],_xlfn.BINOM.INV(10000,(VLOOKUP(L259,$CK$4:$CM$27,2,FALSE)*VLOOKUP(O259,$CK$4:$CM$27,3,FALSE)*($CM$2/2))/10000,RAND()))</f>
        <v>1</v>
      </c>
      <c r="N259">
        <f ca="1">IF(ISBLANK(Scores_and_Fixtures[[#This Row],[Away Score]])=FALSE,Scores_and_Fixtures[[#This Row],[Away Score]],_xlfn.BINOM.INV(10000,(VLOOKUP(O259,$CK$4:$CM$27,2,FALSE)*VLOOKUP(L259,$CK$4:$CM$27,3,FALSE)*($CM$2/2))/10000,RAND()))</f>
        <v>0</v>
      </c>
      <c r="O259" t="str">
        <f>Scores_and_Fixtures[[#This Row],[Away]]</f>
        <v>Sunderland</v>
      </c>
      <c r="U259">
        <v>158</v>
      </c>
      <c r="V259">
        <v>15</v>
      </c>
      <c r="W259">
        <v>5</v>
      </c>
      <c r="X259">
        <v>10</v>
      </c>
      <c r="Y259">
        <v>13</v>
      </c>
      <c r="Z259">
        <v>12</v>
      </c>
      <c r="AA259">
        <v>20</v>
      </c>
      <c r="AB259">
        <v>14</v>
      </c>
      <c r="AC259">
        <v>2</v>
      </c>
      <c r="AD259">
        <v>3</v>
      </c>
      <c r="AE259">
        <v>1</v>
      </c>
      <c r="AF259">
        <v>17</v>
      </c>
      <c r="AG259">
        <v>22</v>
      </c>
      <c r="AH259">
        <v>6</v>
      </c>
      <c r="AI259">
        <v>18</v>
      </c>
      <c r="AJ259">
        <v>11</v>
      </c>
      <c r="AK259">
        <v>23</v>
      </c>
      <c r="AL259">
        <v>21</v>
      </c>
      <c r="AM259">
        <v>24</v>
      </c>
      <c r="AN259">
        <v>4</v>
      </c>
      <c r="AO259">
        <v>19</v>
      </c>
      <c r="AP259">
        <v>7</v>
      </c>
      <c r="AQ259">
        <v>16</v>
      </c>
      <c r="AR259">
        <v>8</v>
      </c>
      <c r="AS259">
        <v>9</v>
      </c>
    </row>
    <row r="260" spans="1:45" x14ac:dyDescent="0.25">
      <c r="A260">
        <v>22</v>
      </c>
      <c r="B260" t="s">
        <v>395</v>
      </c>
      <c r="C260">
        <v>2</v>
      </c>
      <c r="D260">
        <v>1</v>
      </c>
      <c r="E260" t="s">
        <v>393</v>
      </c>
      <c r="K260">
        <f>Scores_and_Fixtures[[#This Row],[Wk]]</f>
        <v>22</v>
      </c>
      <c r="L260" t="str">
        <f>Scores_and_Fixtures[[#This Row],[Home]]</f>
        <v>Sheffield Weds</v>
      </c>
      <c r="M260">
        <f ca="1">IF(ISBLANK(Scores_and_Fixtures[[#This Row],[Home Score]])=FALSE,Scores_and_Fixtures[[#This Row],[Home Score]],_xlfn.BINOM.INV(10000,(VLOOKUP(L260,$CK$4:$CM$27,2,FALSE)*VLOOKUP(O260,$CK$4:$CM$27,3,FALSE)*($CM$2/2))/10000,RAND()))</f>
        <v>2</v>
      </c>
      <c r="N260">
        <f ca="1">IF(ISBLANK(Scores_and_Fixtures[[#This Row],[Away Score]])=FALSE,Scores_and_Fixtures[[#This Row],[Away Score]],_xlfn.BINOM.INV(10000,(VLOOKUP(O260,$CK$4:$CM$27,2,FALSE)*VLOOKUP(L260,$CK$4:$CM$27,3,FALSE)*($CM$2/2))/10000,RAND()))</f>
        <v>1</v>
      </c>
      <c r="O260" t="str">
        <f>Scores_and_Fixtures[[#This Row],[Away]]</f>
        <v>QPR</v>
      </c>
      <c r="U260">
        <v>159</v>
      </c>
      <c r="V260">
        <v>15</v>
      </c>
      <c r="W260">
        <v>12</v>
      </c>
      <c r="X260">
        <v>14</v>
      </c>
      <c r="Y260">
        <v>11</v>
      </c>
      <c r="Z260">
        <v>9</v>
      </c>
      <c r="AA260">
        <v>18</v>
      </c>
      <c r="AB260">
        <v>5</v>
      </c>
      <c r="AC260">
        <v>2</v>
      </c>
      <c r="AD260">
        <v>3</v>
      </c>
      <c r="AE260">
        <v>1</v>
      </c>
      <c r="AF260">
        <v>16</v>
      </c>
      <c r="AG260">
        <v>22</v>
      </c>
      <c r="AH260">
        <v>13</v>
      </c>
      <c r="AI260">
        <v>20</v>
      </c>
      <c r="AJ260">
        <v>8</v>
      </c>
      <c r="AK260">
        <v>21</v>
      </c>
      <c r="AL260">
        <v>23</v>
      </c>
      <c r="AM260">
        <v>24</v>
      </c>
      <c r="AN260">
        <v>4</v>
      </c>
      <c r="AO260">
        <v>19</v>
      </c>
      <c r="AP260">
        <v>7</v>
      </c>
      <c r="AQ260">
        <v>17</v>
      </c>
      <c r="AR260">
        <v>10</v>
      </c>
      <c r="AS260">
        <v>6</v>
      </c>
    </row>
    <row r="261" spans="1:45" x14ac:dyDescent="0.25">
      <c r="A261">
        <v>22</v>
      </c>
      <c r="B261" t="s">
        <v>399</v>
      </c>
      <c r="C261">
        <v>1</v>
      </c>
      <c r="D261">
        <v>2</v>
      </c>
      <c r="E261" t="s">
        <v>388</v>
      </c>
      <c r="K261">
        <f>Scores_and_Fixtures[[#This Row],[Wk]]</f>
        <v>22</v>
      </c>
      <c r="L261" t="str">
        <f>Scores_and_Fixtures[[#This Row],[Home]]</f>
        <v>Swansea City</v>
      </c>
      <c r="M261">
        <f ca="1">IF(ISBLANK(Scores_and_Fixtures[[#This Row],[Home Score]])=FALSE,Scores_and_Fixtures[[#This Row],[Home Score]],_xlfn.BINOM.INV(10000,(VLOOKUP(L261,$CK$4:$CM$27,2,FALSE)*VLOOKUP(O261,$CK$4:$CM$27,3,FALSE)*($CM$2/2))/10000,RAND()))</f>
        <v>1</v>
      </c>
      <c r="N261">
        <f ca="1">IF(ISBLANK(Scores_and_Fixtures[[#This Row],[Away Score]])=FALSE,Scores_and_Fixtures[[#This Row],[Away Score]],_xlfn.BINOM.INV(10000,(VLOOKUP(O261,$CK$4:$CM$27,2,FALSE)*VLOOKUP(L261,$CK$4:$CM$27,3,FALSE)*($CM$2/2))/10000,RAND()))</f>
        <v>2</v>
      </c>
      <c r="O261" t="str">
        <f>Scores_and_Fixtures[[#This Row],[Away]]</f>
        <v>Middlesbrough</v>
      </c>
      <c r="U261">
        <v>160</v>
      </c>
      <c r="V261">
        <v>16</v>
      </c>
      <c r="W261">
        <v>11</v>
      </c>
      <c r="X261">
        <v>15</v>
      </c>
      <c r="Y261">
        <v>9</v>
      </c>
      <c r="Z261">
        <v>10</v>
      </c>
      <c r="AA261">
        <v>22</v>
      </c>
      <c r="AB261">
        <v>8</v>
      </c>
      <c r="AC261">
        <v>2</v>
      </c>
      <c r="AD261">
        <v>4</v>
      </c>
      <c r="AE261">
        <v>1</v>
      </c>
      <c r="AF261">
        <v>5</v>
      </c>
      <c r="AG261">
        <v>19</v>
      </c>
      <c r="AH261">
        <v>13</v>
      </c>
      <c r="AI261">
        <v>14</v>
      </c>
      <c r="AJ261">
        <v>18</v>
      </c>
      <c r="AK261">
        <v>21</v>
      </c>
      <c r="AL261">
        <v>24</v>
      </c>
      <c r="AM261">
        <v>23</v>
      </c>
      <c r="AN261">
        <v>3</v>
      </c>
      <c r="AO261">
        <v>20</v>
      </c>
      <c r="AP261">
        <v>12</v>
      </c>
      <c r="AQ261">
        <v>17</v>
      </c>
      <c r="AR261">
        <v>6</v>
      </c>
      <c r="AS261">
        <v>7</v>
      </c>
    </row>
    <row r="262" spans="1:45" x14ac:dyDescent="0.25">
      <c r="A262">
        <v>22</v>
      </c>
      <c r="B262" t="s">
        <v>392</v>
      </c>
      <c r="C262">
        <v>1</v>
      </c>
      <c r="D262">
        <v>5</v>
      </c>
      <c r="E262" t="s">
        <v>400</v>
      </c>
      <c r="K262">
        <f>Scores_and_Fixtures[[#This Row],[Wk]]</f>
        <v>22</v>
      </c>
      <c r="L262" t="str">
        <f>Scores_and_Fixtures[[#This Row],[Home]]</f>
        <v>Preston</v>
      </c>
      <c r="M262">
        <f ca="1">IF(ISBLANK(Scores_and_Fixtures[[#This Row],[Home Score]])=FALSE,Scores_and_Fixtures[[#This Row],[Home Score]],_xlfn.BINOM.INV(10000,(VLOOKUP(L262,$CK$4:$CM$27,2,FALSE)*VLOOKUP(O262,$CK$4:$CM$27,3,FALSE)*($CM$2/2))/10000,RAND()))</f>
        <v>1</v>
      </c>
      <c r="N262">
        <f ca="1">IF(ISBLANK(Scores_and_Fixtures[[#This Row],[Away Score]])=FALSE,Scores_and_Fixtures[[#This Row],[Away Score]],_xlfn.BINOM.INV(10000,(VLOOKUP(O262,$CK$4:$CM$27,2,FALSE)*VLOOKUP(L262,$CK$4:$CM$27,3,FALSE)*($CM$2/2))/10000,RAND()))</f>
        <v>5</v>
      </c>
      <c r="O262" t="str">
        <f>Scores_and_Fixtures[[#This Row],[Away]]</f>
        <v>Watford</v>
      </c>
      <c r="U262">
        <v>161</v>
      </c>
      <c r="V262">
        <v>14</v>
      </c>
      <c r="W262">
        <v>13</v>
      </c>
      <c r="X262">
        <v>10</v>
      </c>
      <c r="Y262">
        <v>15</v>
      </c>
      <c r="Z262">
        <v>17</v>
      </c>
      <c r="AA262">
        <v>20</v>
      </c>
      <c r="AB262">
        <v>4</v>
      </c>
      <c r="AC262">
        <v>2</v>
      </c>
      <c r="AD262">
        <v>5</v>
      </c>
      <c r="AE262">
        <v>1</v>
      </c>
      <c r="AF262">
        <v>9</v>
      </c>
      <c r="AG262">
        <v>19</v>
      </c>
      <c r="AH262">
        <v>16</v>
      </c>
      <c r="AI262">
        <v>12</v>
      </c>
      <c r="AJ262">
        <v>11</v>
      </c>
      <c r="AK262">
        <v>21</v>
      </c>
      <c r="AL262">
        <v>24</v>
      </c>
      <c r="AM262">
        <v>23</v>
      </c>
      <c r="AN262">
        <v>3</v>
      </c>
      <c r="AO262">
        <v>22</v>
      </c>
      <c r="AP262">
        <v>8</v>
      </c>
      <c r="AQ262">
        <v>18</v>
      </c>
      <c r="AR262">
        <v>7</v>
      </c>
      <c r="AS262">
        <v>6</v>
      </c>
    </row>
    <row r="263" spans="1:45" x14ac:dyDescent="0.25">
      <c r="A263">
        <v>22</v>
      </c>
      <c r="B263" t="s">
        <v>389</v>
      </c>
      <c r="C263">
        <v>1</v>
      </c>
      <c r="D263">
        <v>1</v>
      </c>
      <c r="E263" t="s">
        <v>383</v>
      </c>
      <c r="K263">
        <f>Scores_and_Fixtures[[#This Row],[Wk]]</f>
        <v>22</v>
      </c>
      <c r="L263" t="str">
        <f>Scores_and_Fixtures[[#This Row],[Home]]</f>
        <v>Millwall</v>
      </c>
      <c r="M263">
        <f ca="1">IF(ISBLANK(Scores_and_Fixtures[[#This Row],[Home Score]])=FALSE,Scores_and_Fixtures[[#This Row],[Home Score]],_xlfn.BINOM.INV(10000,(VLOOKUP(L263,$CK$4:$CM$27,2,FALSE)*VLOOKUP(O263,$CK$4:$CM$27,3,FALSE)*($CM$2/2))/10000,RAND()))</f>
        <v>1</v>
      </c>
      <c r="N263">
        <f ca="1">IF(ISBLANK(Scores_and_Fixtures[[#This Row],[Away Score]])=FALSE,Scores_and_Fixtures[[#This Row],[Away Score]],_xlfn.BINOM.INV(10000,(VLOOKUP(O263,$CK$4:$CM$27,2,FALSE)*VLOOKUP(L263,$CK$4:$CM$27,3,FALSE)*($CM$2/2))/10000,RAND()))</f>
        <v>1</v>
      </c>
      <c r="O263" t="str">
        <f>Scores_and_Fixtures[[#This Row],[Away]]</f>
        <v>Huddersfield</v>
      </c>
      <c r="U263">
        <v>162</v>
      </c>
      <c r="V263">
        <v>14</v>
      </c>
      <c r="W263">
        <v>10</v>
      </c>
      <c r="X263">
        <v>9</v>
      </c>
      <c r="Y263">
        <v>8</v>
      </c>
      <c r="Z263">
        <v>11</v>
      </c>
      <c r="AA263">
        <v>19</v>
      </c>
      <c r="AB263">
        <v>7</v>
      </c>
      <c r="AC263">
        <v>2</v>
      </c>
      <c r="AD263">
        <v>3</v>
      </c>
      <c r="AE263">
        <v>1</v>
      </c>
      <c r="AF263">
        <v>16</v>
      </c>
      <c r="AG263">
        <v>21</v>
      </c>
      <c r="AH263">
        <v>13</v>
      </c>
      <c r="AI263">
        <v>18</v>
      </c>
      <c r="AJ263">
        <v>15</v>
      </c>
      <c r="AK263">
        <v>22</v>
      </c>
      <c r="AL263">
        <v>24</v>
      </c>
      <c r="AM263">
        <v>23</v>
      </c>
      <c r="AN263">
        <v>4</v>
      </c>
      <c r="AO263">
        <v>20</v>
      </c>
      <c r="AP263">
        <v>12</v>
      </c>
      <c r="AQ263">
        <v>17</v>
      </c>
      <c r="AR263">
        <v>6</v>
      </c>
      <c r="AS263">
        <v>5</v>
      </c>
    </row>
    <row r="264" spans="1:45" x14ac:dyDescent="0.25">
      <c r="A264">
        <v>22</v>
      </c>
      <c r="B264" t="s">
        <v>401</v>
      </c>
      <c r="C264">
        <v>1</v>
      </c>
      <c r="D264">
        <v>1</v>
      </c>
      <c r="E264" t="s">
        <v>397</v>
      </c>
      <c r="K264">
        <f>Scores_and_Fixtures[[#This Row],[Wk]]</f>
        <v>22</v>
      </c>
      <c r="L264" t="str">
        <f>Scores_and_Fixtures[[#This Row],[Home]]</f>
        <v>West Brom</v>
      </c>
      <c r="M264">
        <f ca="1">IF(ISBLANK(Scores_and_Fixtures[[#This Row],[Home Score]])=FALSE,Scores_and_Fixtures[[#This Row],[Home Score]],_xlfn.BINOM.INV(10000,(VLOOKUP(L264,$CK$4:$CM$27,2,FALSE)*VLOOKUP(O264,$CK$4:$CM$27,3,FALSE)*($CM$2/2))/10000,RAND()))</f>
        <v>1</v>
      </c>
      <c r="N264">
        <f ca="1">IF(ISBLANK(Scores_and_Fixtures[[#This Row],[Away Score]])=FALSE,Scores_and_Fixtures[[#This Row],[Away Score]],_xlfn.BINOM.INV(10000,(VLOOKUP(O264,$CK$4:$CM$27,2,FALSE)*VLOOKUP(L264,$CK$4:$CM$27,3,FALSE)*($CM$2/2))/10000,RAND()))</f>
        <v>1</v>
      </c>
      <c r="O264" t="str">
        <f>Scores_and_Fixtures[[#This Row],[Away]]</f>
        <v>Stoke City</v>
      </c>
      <c r="U264">
        <v>163</v>
      </c>
      <c r="V264">
        <v>17</v>
      </c>
      <c r="W264">
        <v>6</v>
      </c>
      <c r="X264">
        <v>15</v>
      </c>
      <c r="Y264">
        <v>9</v>
      </c>
      <c r="Z264">
        <v>10</v>
      </c>
      <c r="AA264">
        <v>22</v>
      </c>
      <c r="AB264">
        <v>8</v>
      </c>
      <c r="AC264">
        <v>1</v>
      </c>
      <c r="AD264">
        <v>3</v>
      </c>
      <c r="AE264">
        <v>2</v>
      </c>
      <c r="AF264">
        <v>11</v>
      </c>
      <c r="AG264">
        <v>19</v>
      </c>
      <c r="AH264">
        <v>13</v>
      </c>
      <c r="AI264">
        <v>20</v>
      </c>
      <c r="AJ264">
        <v>16</v>
      </c>
      <c r="AK264">
        <v>21</v>
      </c>
      <c r="AL264">
        <v>24</v>
      </c>
      <c r="AM264">
        <v>23</v>
      </c>
      <c r="AN264">
        <v>4</v>
      </c>
      <c r="AO264">
        <v>18</v>
      </c>
      <c r="AP264">
        <v>12</v>
      </c>
      <c r="AQ264">
        <v>14</v>
      </c>
      <c r="AR264">
        <v>5</v>
      </c>
      <c r="AS264">
        <v>7</v>
      </c>
    </row>
    <row r="265" spans="1:45" x14ac:dyDescent="0.25">
      <c r="A265">
        <v>22</v>
      </c>
      <c r="B265" t="s">
        <v>378</v>
      </c>
      <c r="C265">
        <v>2</v>
      </c>
      <c r="D265">
        <v>3</v>
      </c>
      <c r="E265" t="s">
        <v>387</v>
      </c>
      <c r="K265">
        <f>Scores_and_Fixtures[[#This Row],[Wk]]</f>
        <v>22</v>
      </c>
      <c r="L265" t="str">
        <f>Scores_and_Fixtures[[#This Row],[Home]]</f>
        <v>Birmingham City</v>
      </c>
      <c r="M265">
        <f ca="1">IF(ISBLANK(Scores_and_Fixtures[[#This Row],[Home Score]])=FALSE,Scores_and_Fixtures[[#This Row],[Home Score]],_xlfn.BINOM.INV(10000,(VLOOKUP(L265,$CK$4:$CM$27,2,FALSE)*VLOOKUP(O265,$CK$4:$CM$27,3,FALSE)*($CM$2/2))/10000,RAND()))</f>
        <v>2</v>
      </c>
      <c r="N265">
        <f ca="1">IF(ISBLANK(Scores_and_Fixtures[[#This Row],[Away Score]])=FALSE,Scores_and_Fixtures[[#This Row],[Away Score]],_xlfn.BINOM.INV(10000,(VLOOKUP(O265,$CK$4:$CM$27,2,FALSE)*VLOOKUP(L265,$CK$4:$CM$27,3,FALSE)*($CM$2/2))/10000,RAND()))</f>
        <v>3</v>
      </c>
      <c r="O265" t="str">
        <f>Scores_and_Fixtures[[#This Row],[Away]]</f>
        <v>Leicester City</v>
      </c>
      <c r="U265">
        <v>164</v>
      </c>
      <c r="V265">
        <v>17</v>
      </c>
      <c r="W265">
        <v>13</v>
      </c>
      <c r="X265">
        <v>14</v>
      </c>
      <c r="Y265">
        <v>8</v>
      </c>
      <c r="Z265">
        <v>9</v>
      </c>
      <c r="AA265">
        <v>21</v>
      </c>
      <c r="AB265">
        <v>10</v>
      </c>
      <c r="AC265">
        <v>2</v>
      </c>
      <c r="AD265">
        <v>5</v>
      </c>
      <c r="AE265">
        <v>1</v>
      </c>
      <c r="AF265">
        <v>4</v>
      </c>
      <c r="AG265">
        <v>18</v>
      </c>
      <c r="AH265">
        <v>12</v>
      </c>
      <c r="AI265">
        <v>19</v>
      </c>
      <c r="AJ265">
        <v>15</v>
      </c>
      <c r="AK265">
        <v>23</v>
      </c>
      <c r="AL265">
        <v>22</v>
      </c>
      <c r="AM265">
        <v>24</v>
      </c>
      <c r="AN265">
        <v>3</v>
      </c>
      <c r="AO265">
        <v>20</v>
      </c>
      <c r="AP265">
        <v>11</v>
      </c>
      <c r="AQ265">
        <v>16</v>
      </c>
      <c r="AR265">
        <v>6</v>
      </c>
      <c r="AS265">
        <v>7</v>
      </c>
    </row>
    <row r="266" spans="1:45" x14ac:dyDescent="0.25">
      <c r="A266">
        <v>23</v>
      </c>
      <c r="B266" t="s">
        <v>380</v>
      </c>
      <c r="E266" t="s">
        <v>384</v>
      </c>
      <c r="K266">
        <f>Scores_and_Fixtures[[#This Row],[Wk]]</f>
        <v>23</v>
      </c>
      <c r="L266" t="str">
        <f>Scores_and_Fixtures[[#This Row],[Home]]</f>
        <v>Bristol City</v>
      </c>
      <c r="M266">
        <f ca="1">IF(ISBLANK(Scores_and_Fixtures[[#This Row],[Home Score]])=FALSE,Scores_and_Fixtures[[#This Row],[Home Score]],_xlfn.BINOM.INV(10000,(VLOOKUP(L266,$CK$4:$CM$27,2,FALSE)*VLOOKUP(O266,$CK$4:$CM$27,3,FALSE)*($CM$2/2))/10000,RAND()))</f>
        <v>2</v>
      </c>
      <c r="N266">
        <f ca="1">IF(ISBLANK(Scores_and_Fixtures[[#This Row],[Away Score]])=FALSE,Scores_and_Fixtures[[#This Row],[Away Score]],_xlfn.BINOM.INV(10000,(VLOOKUP(O266,$CK$4:$CM$27,2,FALSE)*VLOOKUP(L266,$CK$4:$CM$27,3,FALSE)*($CM$2/2))/10000,RAND()))</f>
        <v>1</v>
      </c>
      <c r="O266" t="str">
        <f>Scores_and_Fixtures[[#This Row],[Away]]</f>
        <v>Hull City</v>
      </c>
      <c r="U266">
        <v>165</v>
      </c>
      <c r="V266">
        <v>13</v>
      </c>
      <c r="W266">
        <v>7</v>
      </c>
      <c r="X266">
        <v>17</v>
      </c>
      <c r="Y266">
        <v>12</v>
      </c>
      <c r="Z266">
        <v>11</v>
      </c>
      <c r="AA266">
        <v>18</v>
      </c>
      <c r="AB266">
        <v>6</v>
      </c>
      <c r="AC266">
        <v>2</v>
      </c>
      <c r="AD266">
        <v>3</v>
      </c>
      <c r="AE266">
        <v>1</v>
      </c>
      <c r="AF266">
        <v>14</v>
      </c>
      <c r="AG266">
        <v>19</v>
      </c>
      <c r="AH266">
        <v>10</v>
      </c>
      <c r="AI266">
        <v>15</v>
      </c>
      <c r="AJ266">
        <v>20</v>
      </c>
      <c r="AK266">
        <v>22</v>
      </c>
      <c r="AL266">
        <v>24</v>
      </c>
      <c r="AM266">
        <v>23</v>
      </c>
      <c r="AN266">
        <v>4</v>
      </c>
      <c r="AO266">
        <v>16</v>
      </c>
      <c r="AP266">
        <v>9</v>
      </c>
      <c r="AQ266">
        <v>21</v>
      </c>
      <c r="AR266">
        <v>5</v>
      </c>
      <c r="AS266">
        <v>8</v>
      </c>
    </row>
    <row r="267" spans="1:45" x14ac:dyDescent="0.25">
      <c r="A267">
        <v>23</v>
      </c>
      <c r="B267" t="s">
        <v>399</v>
      </c>
      <c r="E267" t="s">
        <v>392</v>
      </c>
      <c r="K267">
        <f>Scores_and_Fixtures[[#This Row],[Wk]]</f>
        <v>23</v>
      </c>
      <c r="L267" t="str">
        <f>Scores_and_Fixtures[[#This Row],[Home]]</f>
        <v>Swansea City</v>
      </c>
      <c r="M267">
        <f ca="1">IF(ISBLANK(Scores_and_Fixtures[[#This Row],[Home Score]])=FALSE,Scores_and_Fixtures[[#This Row],[Home Score]],_xlfn.BINOM.INV(10000,(VLOOKUP(L267,$CK$4:$CM$27,2,FALSE)*VLOOKUP(O267,$CK$4:$CM$27,3,FALSE)*($CM$2/2))/10000,RAND()))</f>
        <v>2</v>
      </c>
      <c r="N267">
        <f ca="1">IF(ISBLANK(Scores_and_Fixtures[[#This Row],[Away Score]])=FALSE,Scores_and_Fixtures[[#This Row],[Away Score]],_xlfn.BINOM.INV(10000,(VLOOKUP(O267,$CK$4:$CM$27,2,FALSE)*VLOOKUP(L267,$CK$4:$CM$27,3,FALSE)*($CM$2/2))/10000,RAND()))</f>
        <v>1</v>
      </c>
      <c r="O267" t="str">
        <f>Scores_and_Fixtures[[#This Row],[Away]]</f>
        <v>Preston</v>
      </c>
      <c r="U267">
        <v>166</v>
      </c>
      <c r="V267">
        <v>16</v>
      </c>
      <c r="W267">
        <v>13</v>
      </c>
      <c r="X267">
        <v>14</v>
      </c>
      <c r="Y267">
        <v>10</v>
      </c>
      <c r="Z267">
        <v>12</v>
      </c>
      <c r="AA267">
        <v>21</v>
      </c>
      <c r="AB267">
        <v>7</v>
      </c>
      <c r="AC267">
        <v>2</v>
      </c>
      <c r="AD267">
        <v>3</v>
      </c>
      <c r="AE267">
        <v>1</v>
      </c>
      <c r="AF267">
        <v>17</v>
      </c>
      <c r="AG267">
        <v>18</v>
      </c>
      <c r="AH267">
        <v>15</v>
      </c>
      <c r="AI267">
        <v>9</v>
      </c>
      <c r="AJ267">
        <v>8</v>
      </c>
      <c r="AK267">
        <v>20</v>
      </c>
      <c r="AL267">
        <v>24</v>
      </c>
      <c r="AM267">
        <v>23</v>
      </c>
      <c r="AN267">
        <v>4</v>
      </c>
      <c r="AO267">
        <v>22</v>
      </c>
      <c r="AP267">
        <v>11</v>
      </c>
      <c r="AQ267">
        <v>19</v>
      </c>
      <c r="AR267">
        <v>5</v>
      </c>
      <c r="AS267">
        <v>6</v>
      </c>
    </row>
    <row r="268" spans="1:45" x14ac:dyDescent="0.25">
      <c r="A268">
        <v>23</v>
      </c>
      <c r="B268" t="s">
        <v>386</v>
      </c>
      <c r="E268" t="s">
        <v>385</v>
      </c>
      <c r="K268">
        <f>Scores_and_Fixtures[[#This Row],[Wk]]</f>
        <v>23</v>
      </c>
      <c r="L268" t="str">
        <f>Scores_and_Fixtures[[#This Row],[Home]]</f>
        <v>Leeds United</v>
      </c>
      <c r="M268">
        <f ca="1">IF(ISBLANK(Scores_and_Fixtures[[#This Row],[Home Score]])=FALSE,Scores_and_Fixtures[[#This Row],[Home Score]],_xlfn.BINOM.INV(10000,(VLOOKUP(L268,$CK$4:$CM$27,2,FALSE)*VLOOKUP(O268,$CK$4:$CM$27,3,FALSE)*($CM$2/2))/10000,RAND()))</f>
        <v>1</v>
      </c>
      <c r="N268">
        <f ca="1">IF(ISBLANK(Scores_and_Fixtures[[#This Row],[Away Score]])=FALSE,Scores_and_Fixtures[[#This Row],[Away Score]],_xlfn.BINOM.INV(10000,(VLOOKUP(O268,$CK$4:$CM$27,2,FALSE)*VLOOKUP(L268,$CK$4:$CM$27,3,FALSE)*($CM$2/2))/10000,RAND()))</f>
        <v>1</v>
      </c>
      <c r="O268" t="str">
        <f>Scores_and_Fixtures[[#This Row],[Away]]</f>
        <v>Ipswich Town</v>
      </c>
      <c r="U268">
        <v>167</v>
      </c>
      <c r="V268">
        <v>18</v>
      </c>
      <c r="W268">
        <v>14</v>
      </c>
      <c r="X268">
        <v>15</v>
      </c>
      <c r="Y268">
        <v>8</v>
      </c>
      <c r="Z268">
        <v>12</v>
      </c>
      <c r="AA268">
        <v>20</v>
      </c>
      <c r="AB268">
        <v>5</v>
      </c>
      <c r="AC268">
        <v>2</v>
      </c>
      <c r="AD268">
        <v>3</v>
      </c>
      <c r="AE268">
        <v>1</v>
      </c>
      <c r="AF268">
        <v>13</v>
      </c>
      <c r="AG268">
        <v>22</v>
      </c>
      <c r="AH268">
        <v>9</v>
      </c>
      <c r="AI268">
        <v>17</v>
      </c>
      <c r="AJ268">
        <v>11</v>
      </c>
      <c r="AK268">
        <v>21</v>
      </c>
      <c r="AL268">
        <v>24</v>
      </c>
      <c r="AM268">
        <v>23</v>
      </c>
      <c r="AN268">
        <v>6</v>
      </c>
      <c r="AO268">
        <v>19</v>
      </c>
      <c r="AP268">
        <v>7</v>
      </c>
      <c r="AQ268">
        <v>16</v>
      </c>
      <c r="AR268">
        <v>10</v>
      </c>
      <c r="AS268">
        <v>4</v>
      </c>
    </row>
    <row r="269" spans="1:45" x14ac:dyDescent="0.25">
      <c r="A269">
        <v>23</v>
      </c>
      <c r="B269" t="s">
        <v>387</v>
      </c>
      <c r="E269" t="s">
        <v>394</v>
      </c>
      <c r="K269">
        <f>Scores_and_Fixtures[[#This Row],[Wk]]</f>
        <v>23</v>
      </c>
      <c r="L269" t="str">
        <f>Scores_and_Fixtures[[#This Row],[Home]]</f>
        <v>Leicester City</v>
      </c>
      <c r="M269">
        <f ca="1">IF(ISBLANK(Scores_and_Fixtures[[#This Row],[Home Score]])=FALSE,Scores_and_Fixtures[[#This Row],[Home Score]],_xlfn.BINOM.INV(10000,(VLOOKUP(L269,$CK$4:$CM$27,2,FALSE)*VLOOKUP(O269,$CK$4:$CM$27,3,FALSE)*($CM$2/2))/10000,RAND()))</f>
        <v>3</v>
      </c>
      <c r="N269">
        <f ca="1">IF(ISBLANK(Scores_and_Fixtures[[#This Row],[Away Score]])=FALSE,Scores_and_Fixtures[[#This Row],[Away Score]],_xlfn.BINOM.INV(10000,(VLOOKUP(O269,$CK$4:$CM$27,2,FALSE)*VLOOKUP(L269,$CK$4:$CM$27,3,FALSE)*($CM$2/2))/10000,RAND()))</f>
        <v>0</v>
      </c>
      <c r="O269" t="str">
        <f>Scores_and_Fixtures[[#This Row],[Away]]</f>
        <v>Rotherham Utd</v>
      </c>
      <c r="U269">
        <v>168</v>
      </c>
      <c r="V269">
        <v>11</v>
      </c>
      <c r="W269">
        <v>9</v>
      </c>
      <c r="X269">
        <v>12</v>
      </c>
      <c r="Y269">
        <v>17</v>
      </c>
      <c r="Z269">
        <v>18</v>
      </c>
      <c r="AA269">
        <v>21</v>
      </c>
      <c r="AB269">
        <v>6</v>
      </c>
      <c r="AC269">
        <v>4</v>
      </c>
      <c r="AD269">
        <v>3</v>
      </c>
      <c r="AE269">
        <v>1</v>
      </c>
      <c r="AF269">
        <v>10</v>
      </c>
      <c r="AG269">
        <v>19</v>
      </c>
      <c r="AH269">
        <v>8</v>
      </c>
      <c r="AI269">
        <v>16</v>
      </c>
      <c r="AJ269">
        <v>14</v>
      </c>
      <c r="AK269">
        <v>20</v>
      </c>
      <c r="AL269">
        <v>24</v>
      </c>
      <c r="AM269">
        <v>23</v>
      </c>
      <c r="AN269">
        <v>2</v>
      </c>
      <c r="AO269">
        <v>22</v>
      </c>
      <c r="AP269">
        <v>7</v>
      </c>
      <c r="AQ269">
        <v>15</v>
      </c>
      <c r="AR269">
        <v>13</v>
      </c>
      <c r="AS269">
        <v>5</v>
      </c>
    </row>
    <row r="270" spans="1:45" x14ac:dyDescent="0.25">
      <c r="A270">
        <v>23</v>
      </c>
      <c r="B270" t="s">
        <v>393</v>
      </c>
      <c r="E270" t="s">
        <v>396</v>
      </c>
      <c r="K270">
        <f>Scores_and_Fixtures[[#This Row],[Wk]]</f>
        <v>23</v>
      </c>
      <c r="L270" t="str">
        <f>Scores_and_Fixtures[[#This Row],[Home]]</f>
        <v>QPR</v>
      </c>
      <c r="M270">
        <f ca="1">IF(ISBLANK(Scores_and_Fixtures[[#This Row],[Home Score]])=FALSE,Scores_and_Fixtures[[#This Row],[Home Score]],_xlfn.BINOM.INV(10000,(VLOOKUP(L270,$CK$4:$CM$27,2,FALSE)*VLOOKUP(O270,$CK$4:$CM$27,3,FALSE)*($CM$2/2))/10000,RAND()))</f>
        <v>0</v>
      </c>
      <c r="N270">
        <f ca="1">IF(ISBLANK(Scores_and_Fixtures[[#This Row],[Away Score]])=FALSE,Scores_and_Fixtures[[#This Row],[Away Score]],_xlfn.BINOM.INV(10000,(VLOOKUP(O270,$CK$4:$CM$27,2,FALSE)*VLOOKUP(L270,$CK$4:$CM$27,3,FALSE)*($CM$2/2))/10000,RAND()))</f>
        <v>2</v>
      </c>
      <c r="O270" t="str">
        <f>Scores_and_Fixtures[[#This Row],[Away]]</f>
        <v>Southampton</v>
      </c>
      <c r="U270">
        <v>169</v>
      </c>
      <c r="V270">
        <v>17</v>
      </c>
      <c r="W270">
        <v>11</v>
      </c>
      <c r="X270">
        <v>16</v>
      </c>
      <c r="Y270">
        <v>10</v>
      </c>
      <c r="Z270">
        <v>9</v>
      </c>
      <c r="AA270">
        <v>21</v>
      </c>
      <c r="AB270">
        <v>5</v>
      </c>
      <c r="AC270">
        <v>2</v>
      </c>
      <c r="AD270">
        <v>4</v>
      </c>
      <c r="AE270">
        <v>1</v>
      </c>
      <c r="AF270">
        <v>13</v>
      </c>
      <c r="AG270">
        <v>19</v>
      </c>
      <c r="AH270">
        <v>12</v>
      </c>
      <c r="AI270">
        <v>15</v>
      </c>
      <c r="AJ270">
        <v>14</v>
      </c>
      <c r="AK270">
        <v>22</v>
      </c>
      <c r="AL270">
        <v>24</v>
      </c>
      <c r="AM270">
        <v>23</v>
      </c>
      <c r="AN270">
        <v>3</v>
      </c>
      <c r="AO270">
        <v>18</v>
      </c>
      <c r="AP270">
        <v>6</v>
      </c>
      <c r="AQ270">
        <v>20</v>
      </c>
      <c r="AR270">
        <v>8</v>
      </c>
      <c r="AS270">
        <v>7</v>
      </c>
    </row>
    <row r="271" spans="1:45" x14ac:dyDescent="0.25">
      <c r="A271">
        <v>23</v>
      </c>
      <c r="B271" t="s">
        <v>379</v>
      </c>
      <c r="E271" t="s">
        <v>400</v>
      </c>
      <c r="K271">
        <f>Scores_and_Fixtures[[#This Row],[Wk]]</f>
        <v>23</v>
      </c>
      <c r="L271" t="str">
        <f>Scores_and_Fixtures[[#This Row],[Home]]</f>
        <v>Blackburn</v>
      </c>
      <c r="M271">
        <f ca="1">IF(ISBLANK(Scores_and_Fixtures[[#This Row],[Home Score]])=FALSE,Scores_and_Fixtures[[#This Row],[Home Score]],_xlfn.BINOM.INV(10000,(VLOOKUP(L271,$CK$4:$CM$27,2,FALSE)*VLOOKUP(O271,$CK$4:$CM$27,3,FALSE)*($CM$2/2))/10000,RAND()))</f>
        <v>0</v>
      </c>
      <c r="N271">
        <f ca="1">IF(ISBLANK(Scores_and_Fixtures[[#This Row],[Away Score]])=FALSE,Scores_and_Fixtures[[#This Row],[Away Score]],_xlfn.BINOM.INV(10000,(VLOOKUP(O271,$CK$4:$CM$27,2,FALSE)*VLOOKUP(L271,$CK$4:$CM$27,3,FALSE)*($CM$2/2))/10000,RAND()))</f>
        <v>1</v>
      </c>
      <c r="O271" t="str">
        <f>Scores_and_Fixtures[[#This Row],[Away]]</f>
        <v>Watford</v>
      </c>
      <c r="U271">
        <v>170</v>
      </c>
      <c r="V271">
        <v>13</v>
      </c>
      <c r="W271">
        <v>14</v>
      </c>
      <c r="X271">
        <v>12</v>
      </c>
      <c r="Y271">
        <v>17</v>
      </c>
      <c r="Z271">
        <v>16</v>
      </c>
      <c r="AA271">
        <v>20</v>
      </c>
      <c r="AB271">
        <v>5</v>
      </c>
      <c r="AC271">
        <v>3</v>
      </c>
      <c r="AD271">
        <v>2</v>
      </c>
      <c r="AE271">
        <v>1</v>
      </c>
      <c r="AF271">
        <v>7</v>
      </c>
      <c r="AG271">
        <v>18</v>
      </c>
      <c r="AH271">
        <v>10</v>
      </c>
      <c r="AI271">
        <v>15</v>
      </c>
      <c r="AJ271">
        <v>11</v>
      </c>
      <c r="AK271">
        <v>23</v>
      </c>
      <c r="AL271">
        <v>24</v>
      </c>
      <c r="AM271">
        <v>22</v>
      </c>
      <c r="AN271">
        <v>4</v>
      </c>
      <c r="AO271">
        <v>21</v>
      </c>
      <c r="AP271">
        <v>9</v>
      </c>
      <c r="AQ271">
        <v>19</v>
      </c>
      <c r="AR271">
        <v>8</v>
      </c>
      <c r="AS271">
        <v>6</v>
      </c>
    </row>
    <row r="272" spans="1:45" x14ac:dyDescent="0.25">
      <c r="A272">
        <v>23</v>
      </c>
      <c r="B272" t="s">
        <v>398</v>
      </c>
      <c r="E272" t="s">
        <v>382</v>
      </c>
      <c r="K272">
        <f>Scores_and_Fixtures[[#This Row],[Wk]]</f>
        <v>23</v>
      </c>
      <c r="L272" t="str">
        <f>Scores_and_Fixtures[[#This Row],[Home]]</f>
        <v>Sunderland</v>
      </c>
      <c r="M272">
        <f ca="1">IF(ISBLANK(Scores_and_Fixtures[[#This Row],[Home Score]])=FALSE,Scores_and_Fixtures[[#This Row],[Home Score]],_xlfn.BINOM.INV(10000,(VLOOKUP(L272,$CK$4:$CM$27,2,FALSE)*VLOOKUP(O272,$CK$4:$CM$27,3,FALSE)*($CM$2/2))/10000,RAND()))</f>
        <v>3</v>
      </c>
      <c r="N272">
        <f ca="1">IF(ISBLANK(Scores_and_Fixtures[[#This Row],[Away Score]])=FALSE,Scores_and_Fixtures[[#This Row],[Away Score]],_xlfn.BINOM.INV(10000,(VLOOKUP(O272,$CK$4:$CM$27,2,FALSE)*VLOOKUP(L272,$CK$4:$CM$27,3,FALSE)*($CM$2/2))/10000,RAND()))</f>
        <v>3</v>
      </c>
      <c r="O272" t="str">
        <f>Scores_and_Fixtures[[#This Row],[Away]]</f>
        <v>Coventry City</v>
      </c>
      <c r="U272">
        <v>171</v>
      </c>
      <c r="V272">
        <v>14</v>
      </c>
      <c r="W272">
        <v>6</v>
      </c>
      <c r="X272">
        <v>13</v>
      </c>
      <c r="Y272">
        <v>12</v>
      </c>
      <c r="Z272">
        <v>18</v>
      </c>
      <c r="AA272">
        <v>15</v>
      </c>
      <c r="AB272">
        <v>7</v>
      </c>
      <c r="AC272">
        <v>2</v>
      </c>
      <c r="AD272">
        <v>3</v>
      </c>
      <c r="AE272">
        <v>1</v>
      </c>
      <c r="AF272">
        <v>8</v>
      </c>
      <c r="AG272">
        <v>19</v>
      </c>
      <c r="AH272">
        <v>5</v>
      </c>
      <c r="AI272">
        <v>17</v>
      </c>
      <c r="AJ272">
        <v>16</v>
      </c>
      <c r="AK272">
        <v>22</v>
      </c>
      <c r="AL272">
        <v>24</v>
      </c>
      <c r="AM272">
        <v>23</v>
      </c>
      <c r="AN272">
        <v>4</v>
      </c>
      <c r="AO272">
        <v>21</v>
      </c>
      <c r="AP272">
        <v>10</v>
      </c>
      <c r="AQ272">
        <v>20</v>
      </c>
      <c r="AR272">
        <v>11</v>
      </c>
      <c r="AS272">
        <v>9</v>
      </c>
    </row>
    <row r="273" spans="1:45" x14ac:dyDescent="0.25">
      <c r="A273">
        <v>23</v>
      </c>
      <c r="B273" t="s">
        <v>395</v>
      </c>
      <c r="E273" t="s">
        <v>381</v>
      </c>
      <c r="K273">
        <f>Scores_and_Fixtures[[#This Row],[Wk]]</f>
        <v>23</v>
      </c>
      <c r="L273" t="str">
        <f>Scores_and_Fixtures[[#This Row],[Home]]</f>
        <v>Sheffield Weds</v>
      </c>
      <c r="M273">
        <f ca="1">IF(ISBLANK(Scores_and_Fixtures[[#This Row],[Home Score]])=FALSE,Scores_and_Fixtures[[#This Row],[Home Score]],_xlfn.BINOM.INV(10000,(VLOOKUP(L273,$CK$4:$CM$27,2,FALSE)*VLOOKUP(O273,$CK$4:$CM$27,3,FALSE)*($CM$2/2))/10000,RAND()))</f>
        <v>0</v>
      </c>
      <c r="N273">
        <f ca="1">IF(ISBLANK(Scores_and_Fixtures[[#This Row],[Away Score]])=FALSE,Scores_and_Fixtures[[#This Row],[Away Score]],_xlfn.BINOM.INV(10000,(VLOOKUP(O273,$CK$4:$CM$27,2,FALSE)*VLOOKUP(L273,$CK$4:$CM$27,3,FALSE)*($CM$2/2))/10000,RAND()))</f>
        <v>3</v>
      </c>
      <c r="O273" t="str">
        <f>Scores_and_Fixtures[[#This Row],[Away]]</f>
        <v>Cardiff City</v>
      </c>
      <c r="U273">
        <v>172</v>
      </c>
      <c r="V273">
        <v>13</v>
      </c>
      <c r="W273">
        <v>8</v>
      </c>
      <c r="X273">
        <v>21</v>
      </c>
      <c r="Y273">
        <v>9</v>
      </c>
      <c r="Z273">
        <v>16</v>
      </c>
      <c r="AA273">
        <v>22</v>
      </c>
      <c r="AB273">
        <v>6</v>
      </c>
      <c r="AC273">
        <v>2</v>
      </c>
      <c r="AD273">
        <v>3</v>
      </c>
      <c r="AE273">
        <v>1</v>
      </c>
      <c r="AF273">
        <v>12</v>
      </c>
      <c r="AG273">
        <v>17</v>
      </c>
      <c r="AH273">
        <v>7</v>
      </c>
      <c r="AI273">
        <v>15</v>
      </c>
      <c r="AJ273">
        <v>14</v>
      </c>
      <c r="AK273">
        <v>20</v>
      </c>
      <c r="AL273">
        <v>24</v>
      </c>
      <c r="AM273">
        <v>23</v>
      </c>
      <c r="AN273">
        <v>4</v>
      </c>
      <c r="AO273">
        <v>19</v>
      </c>
      <c r="AP273">
        <v>10</v>
      </c>
      <c r="AQ273">
        <v>18</v>
      </c>
      <c r="AR273">
        <v>11</v>
      </c>
      <c r="AS273">
        <v>5</v>
      </c>
    </row>
    <row r="274" spans="1:45" x14ac:dyDescent="0.25">
      <c r="A274">
        <v>23</v>
      </c>
      <c r="B274" t="s">
        <v>388</v>
      </c>
      <c r="E274" t="s">
        <v>401</v>
      </c>
      <c r="K274">
        <f>Scores_and_Fixtures[[#This Row],[Wk]]</f>
        <v>23</v>
      </c>
      <c r="L274" t="str">
        <f>Scores_and_Fixtures[[#This Row],[Home]]</f>
        <v>Middlesbrough</v>
      </c>
      <c r="M274">
        <f ca="1">IF(ISBLANK(Scores_and_Fixtures[[#This Row],[Home Score]])=FALSE,Scores_and_Fixtures[[#This Row],[Home Score]],_xlfn.BINOM.INV(10000,(VLOOKUP(L274,$CK$4:$CM$27,2,FALSE)*VLOOKUP(O274,$CK$4:$CM$27,3,FALSE)*($CM$2/2))/10000,RAND()))</f>
        <v>1</v>
      </c>
      <c r="N274">
        <f ca="1">IF(ISBLANK(Scores_and_Fixtures[[#This Row],[Away Score]])=FALSE,Scores_and_Fixtures[[#This Row],[Away Score]],_xlfn.BINOM.INV(10000,(VLOOKUP(O274,$CK$4:$CM$27,2,FALSE)*VLOOKUP(L274,$CK$4:$CM$27,3,FALSE)*($CM$2/2))/10000,RAND()))</f>
        <v>7</v>
      </c>
      <c r="O274" t="str">
        <f>Scores_and_Fixtures[[#This Row],[Away]]</f>
        <v>West Brom</v>
      </c>
      <c r="U274">
        <v>173</v>
      </c>
      <c r="V274">
        <v>19</v>
      </c>
      <c r="W274">
        <v>18</v>
      </c>
      <c r="X274">
        <v>11</v>
      </c>
      <c r="Y274">
        <v>9</v>
      </c>
      <c r="Z274">
        <v>16</v>
      </c>
      <c r="AA274">
        <v>21</v>
      </c>
      <c r="AB274">
        <v>4</v>
      </c>
      <c r="AC274">
        <v>2</v>
      </c>
      <c r="AD274">
        <v>3</v>
      </c>
      <c r="AE274">
        <v>1</v>
      </c>
      <c r="AF274">
        <v>13</v>
      </c>
      <c r="AG274">
        <v>20</v>
      </c>
      <c r="AH274">
        <v>10</v>
      </c>
      <c r="AI274">
        <v>12</v>
      </c>
      <c r="AJ274">
        <v>14</v>
      </c>
      <c r="AK274">
        <v>22</v>
      </c>
      <c r="AL274">
        <v>24</v>
      </c>
      <c r="AM274">
        <v>23</v>
      </c>
      <c r="AN274">
        <v>5</v>
      </c>
      <c r="AO274">
        <v>15</v>
      </c>
      <c r="AP274">
        <v>7</v>
      </c>
      <c r="AQ274">
        <v>17</v>
      </c>
      <c r="AR274">
        <v>8</v>
      </c>
      <c r="AS274">
        <v>6</v>
      </c>
    </row>
    <row r="275" spans="1:45" x14ac:dyDescent="0.25">
      <c r="A275">
        <v>23</v>
      </c>
      <c r="B275" t="s">
        <v>397</v>
      </c>
      <c r="E275" t="s">
        <v>389</v>
      </c>
      <c r="K275">
        <f>Scores_and_Fixtures[[#This Row],[Wk]]</f>
        <v>23</v>
      </c>
      <c r="L275" t="str">
        <f>Scores_and_Fixtures[[#This Row],[Home]]</f>
        <v>Stoke City</v>
      </c>
      <c r="M275">
        <f ca="1">IF(ISBLANK(Scores_and_Fixtures[[#This Row],[Home Score]])=FALSE,Scores_and_Fixtures[[#This Row],[Home Score]],_xlfn.BINOM.INV(10000,(VLOOKUP(L275,$CK$4:$CM$27,2,FALSE)*VLOOKUP(O275,$CK$4:$CM$27,3,FALSE)*($CM$2/2))/10000,RAND()))</f>
        <v>0</v>
      </c>
      <c r="N275">
        <f ca="1">IF(ISBLANK(Scores_and_Fixtures[[#This Row],[Away Score]])=FALSE,Scores_and_Fixtures[[#This Row],[Away Score]],_xlfn.BINOM.INV(10000,(VLOOKUP(O275,$CK$4:$CM$27,2,FALSE)*VLOOKUP(L275,$CK$4:$CM$27,3,FALSE)*($CM$2/2))/10000,RAND()))</f>
        <v>0</v>
      </c>
      <c r="O275" t="str">
        <f>Scores_and_Fixtures[[#This Row],[Away]]</f>
        <v>Millwall</v>
      </c>
      <c r="U275">
        <v>174</v>
      </c>
      <c r="V275">
        <v>13</v>
      </c>
      <c r="W275">
        <v>11</v>
      </c>
      <c r="X275">
        <v>12</v>
      </c>
      <c r="Y275">
        <v>17</v>
      </c>
      <c r="Z275">
        <v>14</v>
      </c>
      <c r="AA275">
        <v>20</v>
      </c>
      <c r="AB275">
        <v>6</v>
      </c>
      <c r="AC275">
        <v>2</v>
      </c>
      <c r="AD275">
        <v>4</v>
      </c>
      <c r="AE275">
        <v>1</v>
      </c>
      <c r="AF275">
        <v>9</v>
      </c>
      <c r="AG275">
        <v>18</v>
      </c>
      <c r="AH275">
        <v>8</v>
      </c>
      <c r="AI275">
        <v>15</v>
      </c>
      <c r="AJ275">
        <v>16</v>
      </c>
      <c r="AK275">
        <v>22</v>
      </c>
      <c r="AL275">
        <v>24</v>
      </c>
      <c r="AM275">
        <v>23</v>
      </c>
      <c r="AN275">
        <v>3</v>
      </c>
      <c r="AO275">
        <v>21</v>
      </c>
      <c r="AP275">
        <v>10</v>
      </c>
      <c r="AQ275">
        <v>19</v>
      </c>
      <c r="AR275">
        <v>7</v>
      </c>
      <c r="AS275">
        <v>5</v>
      </c>
    </row>
    <row r="276" spans="1:45" x14ac:dyDescent="0.25">
      <c r="A276">
        <v>23</v>
      </c>
      <c r="B276" t="s">
        <v>390</v>
      </c>
      <c r="E276" t="s">
        <v>383</v>
      </c>
      <c r="K276">
        <f>Scores_and_Fixtures[[#This Row],[Wk]]</f>
        <v>23</v>
      </c>
      <c r="L276" t="str">
        <f>Scores_and_Fixtures[[#This Row],[Home]]</f>
        <v>Norwich City</v>
      </c>
      <c r="M276">
        <f ca="1">IF(ISBLANK(Scores_and_Fixtures[[#This Row],[Home Score]])=FALSE,Scores_and_Fixtures[[#This Row],[Home Score]],_xlfn.BINOM.INV(10000,(VLOOKUP(L276,$CK$4:$CM$27,2,FALSE)*VLOOKUP(O276,$CK$4:$CM$27,3,FALSE)*($CM$2/2))/10000,RAND()))</f>
        <v>2</v>
      </c>
      <c r="N276">
        <f ca="1">IF(ISBLANK(Scores_and_Fixtures[[#This Row],[Away Score]])=FALSE,Scores_and_Fixtures[[#This Row],[Away Score]],_xlfn.BINOM.INV(10000,(VLOOKUP(O276,$CK$4:$CM$27,2,FALSE)*VLOOKUP(L276,$CK$4:$CM$27,3,FALSE)*($CM$2/2))/10000,RAND()))</f>
        <v>0</v>
      </c>
      <c r="O276" t="str">
        <f>Scores_and_Fixtures[[#This Row],[Away]]</f>
        <v>Huddersfield</v>
      </c>
      <c r="U276">
        <v>175</v>
      </c>
      <c r="V276">
        <v>19</v>
      </c>
      <c r="W276">
        <v>6</v>
      </c>
      <c r="X276">
        <v>13</v>
      </c>
      <c r="Y276">
        <v>9</v>
      </c>
      <c r="Z276">
        <v>16</v>
      </c>
      <c r="AA276">
        <v>21</v>
      </c>
      <c r="AB276">
        <v>4</v>
      </c>
      <c r="AC276">
        <v>2</v>
      </c>
      <c r="AD276">
        <v>3</v>
      </c>
      <c r="AE276">
        <v>1</v>
      </c>
      <c r="AF276">
        <v>15</v>
      </c>
      <c r="AG276">
        <v>14</v>
      </c>
      <c r="AH276">
        <v>8</v>
      </c>
      <c r="AI276">
        <v>18</v>
      </c>
      <c r="AJ276">
        <v>11</v>
      </c>
      <c r="AK276">
        <v>22</v>
      </c>
      <c r="AL276">
        <v>24</v>
      </c>
      <c r="AM276">
        <v>23</v>
      </c>
      <c r="AN276">
        <v>5</v>
      </c>
      <c r="AO276">
        <v>20</v>
      </c>
      <c r="AP276">
        <v>12</v>
      </c>
      <c r="AQ276">
        <v>17</v>
      </c>
      <c r="AR276">
        <v>10</v>
      </c>
      <c r="AS276">
        <v>7</v>
      </c>
    </row>
    <row r="277" spans="1:45" x14ac:dyDescent="0.25">
      <c r="A277">
        <v>23</v>
      </c>
      <c r="B277" t="s">
        <v>391</v>
      </c>
      <c r="E277" t="s">
        <v>378</v>
      </c>
      <c r="K277">
        <f>Scores_and_Fixtures[[#This Row],[Wk]]</f>
        <v>23</v>
      </c>
      <c r="L277" t="str">
        <f>Scores_and_Fixtures[[#This Row],[Home]]</f>
        <v>Plymouth Argyle</v>
      </c>
      <c r="M277">
        <f ca="1">IF(ISBLANK(Scores_and_Fixtures[[#This Row],[Home Score]])=FALSE,Scores_and_Fixtures[[#This Row],[Home Score]],_xlfn.BINOM.INV(10000,(VLOOKUP(L277,$CK$4:$CM$27,2,FALSE)*VLOOKUP(O277,$CK$4:$CM$27,3,FALSE)*($CM$2/2))/10000,RAND()))</f>
        <v>1</v>
      </c>
      <c r="N277">
        <f ca="1">IF(ISBLANK(Scores_and_Fixtures[[#This Row],[Away Score]])=FALSE,Scores_and_Fixtures[[#This Row],[Away Score]],_xlfn.BINOM.INV(10000,(VLOOKUP(O277,$CK$4:$CM$27,2,FALSE)*VLOOKUP(L277,$CK$4:$CM$27,3,FALSE)*($CM$2/2))/10000,RAND()))</f>
        <v>1</v>
      </c>
      <c r="O277" t="str">
        <f>Scores_and_Fixtures[[#This Row],[Away]]</f>
        <v>Birmingham City</v>
      </c>
      <c r="U277">
        <v>176</v>
      </c>
      <c r="V277">
        <v>13</v>
      </c>
      <c r="W277">
        <v>8</v>
      </c>
      <c r="X277">
        <v>18</v>
      </c>
      <c r="Y277">
        <v>5</v>
      </c>
      <c r="Z277">
        <v>12</v>
      </c>
      <c r="AA277">
        <v>20</v>
      </c>
      <c r="AB277">
        <v>7</v>
      </c>
      <c r="AC277">
        <v>2</v>
      </c>
      <c r="AD277">
        <v>3</v>
      </c>
      <c r="AE277">
        <v>1</v>
      </c>
      <c r="AF277">
        <v>16</v>
      </c>
      <c r="AG277">
        <v>14</v>
      </c>
      <c r="AH277">
        <v>6</v>
      </c>
      <c r="AI277">
        <v>19</v>
      </c>
      <c r="AJ277">
        <v>17</v>
      </c>
      <c r="AK277">
        <v>22</v>
      </c>
      <c r="AL277">
        <v>24</v>
      </c>
      <c r="AM277">
        <v>23</v>
      </c>
      <c r="AN277">
        <v>4</v>
      </c>
      <c r="AO277">
        <v>21</v>
      </c>
      <c r="AP277">
        <v>9</v>
      </c>
      <c r="AQ277" t="e">
        <v>#N/A</v>
      </c>
      <c r="AR277">
        <v>11</v>
      </c>
      <c r="AS277">
        <v>10</v>
      </c>
    </row>
    <row r="278" spans="1:45" x14ac:dyDescent="0.25">
      <c r="A278">
        <v>24</v>
      </c>
      <c r="B278" t="s">
        <v>389</v>
      </c>
      <c r="E278" t="s">
        <v>393</v>
      </c>
      <c r="K278">
        <f>Scores_and_Fixtures[[#This Row],[Wk]]</f>
        <v>24</v>
      </c>
      <c r="L278" t="str">
        <f>Scores_and_Fixtures[[#This Row],[Home]]</f>
        <v>Millwall</v>
      </c>
      <c r="M278">
        <f ca="1">IF(ISBLANK(Scores_and_Fixtures[[#This Row],[Home Score]])=FALSE,Scores_and_Fixtures[[#This Row],[Home Score]],_xlfn.BINOM.INV(10000,(VLOOKUP(L278,$CK$4:$CM$27,2,FALSE)*VLOOKUP(O278,$CK$4:$CM$27,3,FALSE)*($CM$2/2))/10000,RAND()))</f>
        <v>2</v>
      </c>
      <c r="N278">
        <f ca="1">IF(ISBLANK(Scores_and_Fixtures[[#This Row],[Away Score]])=FALSE,Scores_and_Fixtures[[#This Row],[Away Score]],_xlfn.BINOM.INV(10000,(VLOOKUP(O278,$CK$4:$CM$27,2,FALSE)*VLOOKUP(L278,$CK$4:$CM$27,3,FALSE)*($CM$2/2))/10000,RAND()))</f>
        <v>1</v>
      </c>
      <c r="O278" t="str">
        <f>Scores_and_Fixtures[[#This Row],[Away]]</f>
        <v>QPR</v>
      </c>
      <c r="U278">
        <v>177</v>
      </c>
      <c r="V278">
        <v>18</v>
      </c>
      <c r="W278">
        <v>14</v>
      </c>
      <c r="X278">
        <v>10</v>
      </c>
      <c r="Y278">
        <v>8</v>
      </c>
      <c r="Z278">
        <v>13</v>
      </c>
      <c r="AA278">
        <v>20</v>
      </c>
      <c r="AB278">
        <v>6</v>
      </c>
      <c r="AC278">
        <v>2</v>
      </c>
      <c r="AD278">
        <v>4</v>
      </c>
      <c r="AE278">
        <v>1</v>
      </c>
      <c r="AF278">
        <v>11</v>
      </c>
      <c r="AG278">
        <v>19</v>
      </c>
      <c r="AH278">
        <v>15</v>
      </c>
      <c r="AI278">
        <v>21</v>
      </c>
      <c r="AJ278">
        <v>12</v>
      </c>
      <c r="AK278">
        <v>22</v>
      </c>
      <c r="AL278">
        <v>23</v>
      </c>
      <c r="AM278">
        <v>24</v>
      </c>
      <c r="AN278">
        <v>3</v>
      </c>
      <c r="AO278">
        <v>17</v>
      </c>
      <c r="AP278">
        <v>9</v>
      </c>
      <c r="AQ278">
        <v>16</v>
      </c>
      <c r="AR278">
        <v>7</v>
      </c>
      <c r="AS278">
        <v>5</v>
      </c>
    </row>
    <row r="279" spans="1:45" x14ac:dyDescent="0.25">
      <c r="A279">
        <v>24</v>
      </c>
      <c r="B279" t="s">
        <v>400</v>
      </c>
      <c r="E279" t="s">
        <v>380</v>
      </c>
      <c r="K279">
        <f>Scores_and_Fixtures[[#This Row],[Wk]]</f>
        <v>24</v>
      </c>
      <c r="L279" t="str">
        <f>Scores_and_Fixtures[[#This Row],[Home]]</f>
        <v>Watford</v>
      </c>
      <c r="M279">
        <f ca="1">IF(ISBLANK(Scores_and_Fixtures[[#This Row],[Home Score]])=FALSE,Scores_and_Fixtures[[#This Row],[Home Score]],_xlfn.BINOM.INV(10000,(VLOOKUP(L279,$CK$4:$CM$27,2,FALSE)*VLOOKUP(O279,$CK$4:$CM$27,3,FALSE)*($CM$2/2))/10000,RAND()))</f>
        <v>0</v>
      </c>
      <c r="N279">
        <f ca="1">IF(ISBLANK(Scores_and_Fixtures[[#This Row],[Away Score]])=FALSE,Scores_and_Fixtures[[#This Row],[Away Score]],_xlfn.BINOM.INV(10000,(VLOOKUP(O279,$CK$4:$CM$27,2,FALSE)*VLOOKUP(L279,$CK$4:$CM$27,3,FALSE)*($CM$2/2))/10000,RAND()))</f>
        <v>0</v>
      </c>
      <c r="O279" t="str">
        <f>Scores_and_Fixtures[[#This Row],[Away]]</f>
        <v>Bristol City</v>
      </c>
      <c r="U279">
        <v>178</v>
      </c>
      <c r="V279">
        <v>15</v>
      </c>
      <c r="W279">
        <v>11</v>
      </c>
      <c r="X279">
        <v>17</v>
      </c>
      <c r="Y279">
        <v>19</v>
      </c>
      <c r="Z279">
        <v>13</v>
      </c>
      <c r="AA279">
        <v>23</v>
      </c>
      <c r="AB279">
        <v>5</v>
      </c>
      <c r="AC279">
        <v>2</v>
      </c>
      <c r="AD279">
        <v>3</v>
      </c>
      <c r="AE279">
        <v>1</v>
      </c>
      <c r="AF279">
        <v>9</v>
      </c>
      <c r="AG279">
        <v>20</v>
      </c>
      <c r="AH279">
        <v>10</v>
      </c>
      <c r="AI279">
        <v>14</v>
      </c>
      <c r="AJ279">
        <v>8</v>
      </c>
      <c r="AK279">
        <v>18</v>
      </c>
      <c r="AL279">
        <v>24</v>
      </c>
      <c r="AM279">
        <v>22</v>
      </c>
      <c r="AN279">
        <v>4</v>
      </c>
      <c r="AO279">
        <v>21</v>
      </c>
      <c r="AP279">
        <v>6</v>
      </c>
      <c r="AQ279">
        <v>16</v>
      </c>
      <c r="AR279">
        <v>7</v>
      </c>
      <c r="AS279">
        <v>12</v>
      </c>
    </row>
    <row r="280" spans="1:45" x14ac:dyDescent="0.25">
      <c r="A280">
        <v>24</v>
      </c>
      <c r="B280" t="s">
        <v>384</v>
      </c>
      <c r="E280" t="s">
        <v>398</v>
      </c>
      <c r="K280">
        <f>Scores_and_Fixtures[[#This Row],[Wk]]</f>
        <v>24</v>
      </c>
      <c r="L280" t="str">
        <f>Scores_and_Fixtures[[#This Row],[Home]]</f>
        <v>Hull City</v>
      </c>
      <c r="M280">
        <f ca="1">IF(ISBLANK(Scores_and_Fixtures[[#This Row],[Home Score]])=FALSE,Scores_and_Fixtures[[#This Row],[Home Score]],_xlfn.BINOM.INV(10000,(VLOOKUP(L280,$CK$4:$CM$27,2,FALSE)*VLOOKUP(O280,$CK$4:$CM$27,3,FALSE)*($CM$2/2))/10000,RAND()))</f>
        <v>1</v>
      </c>
      <c r="N280">
        <f ca="1">IF(ISBLANK(Scores_and_Fixtures[[#This Row],[Away Score]])=FALSE,Scores_and_Fixtures[[#This Row],[Away Score]],_xlfn.BINOM.INV(10000,(VLOOKUP(O280,$CK$4:$CM$27,2,FALSE)*VLOOKUP(L280,$CK$4:$CM$27,3,FALSE)*($CM$2/2))/10000,RAND()))</f>
        <v>1</v>
      </c>
      <c r="O280" t="str">
        <f>Scores_and_Fixtures[[#This Row],[Away]]</f>
        <v>Sunderland</v>
      </c>
      <c r="U280">
        <v>179</v>
      </c>
      <c r="V280">
        <v>13</v>
      </c>
      <c r="W280">
        <v>9</v>
      </c>
      <c r="X280">
        <v>16</v>
      </c>
      <c r="Y280">
        <v>10</v>
      </c>
      <c r="Z280">
        <v>14</v>
      </c>
      <c r="AA280">
        <v>21</v>
      </c>
      <c r="AB280">
        <v>6</v>
      </c>
      <c r="AC280">
        <v>3</v>
      </c>
      <c r="AD280">
        <v>2</v>
      </c>
      <c r="AE280">
        <v>1</v>
      </c>
      <c r="AF280">
        <v>8</v>
      </c>
      <c r="AG280">
        <v>15</v>
      </c>
      <c r="AH280">
        <v>18</v>
      </c>
      <c r="AI280">
        <v>19</v>
      </c>
      <c r="AJ280">
        <v>11</v>
      </c>
      <c r="AK280">
        <v>22</v>
      </c>
      <c r="AL280">
        <v>24</v>
      </c>
      <c r="AM280">
        <v>23</v>
      </c>
      <c r="AN280">
        <v>4</v>
      </c>
      <c r="AO280">
        <v>20</v>
      </c>
      <c r="AP280">
        <v>12</v>
      </c>
      <c r="AQ280">
        <v>17</v>
      </c>
      <c r="AR280">
        <v>7</v>
      </c>
      <c r="AS280">
        <v>5</v>
      </c>
    </row>
    <row r="281" spans="1:45" x14ac:dyDescent="0.25">
      <c r="A281">
        <v>24</v>
      </c>
      <c r="B281" t="s">
        <v>383</v>
      </c>
      <c r="E281" t="s">
        <v>379</v>
      </c>
      <c r="K281">
        <f>Scores_and_Fixtures[[#This Row],[Wk]]</f>
        <v>24</v>
      </c>
      <c r="L281" t="str">
        <f>Scores_and_Fixtures[[#This Row],[Home]]</f>
        <v>Huddersfield</v>
      </c>
      <c r="M281">
        <f ca="1">IF(ISBLANK(Scores_and_Fixtures[[#This Row],[Home Score]])=FALSE,Scores_and_Fixtures[[#This Row],[Home Score]],_xlfn.BINOM.INV(10000,(VLOOKUP(L281,$CK$4:$CM$27,2,FALSE)*VLOOKUP(O281,$CK$4:$CM$27,3,FALSE)*($CM$2/2))/10000,RAND()))</f>
        <v>0</v>
      </c>
      <c r="N281">
        <f ca="1">IF(ISBLANK(Scores_and_Fixtures[[#This Row],[Away Score]])=FALSE,Scores_and_Fixtures[[#This Row],[Away Score]],_xlfn.BINOM.INV(10000,(VLOOKUP(O281,$CK$4:$CM$27,2,FALSE)*VLOOKUP(L281,$CK$4:$CM$27,3,FALSE)*($CM$2/2))/10000,RAND()))</f>
        <v>0</v>
      </c>
      <c r="O281" t="str">
        <f>Scores_and_Fixtures[[#This Row],[Away]]</f>
        <v>Blackburn</v>
      </c>
      <c r="U281">
        <v>180</v>
      </c>
      <c r="V281">
        <v>19</v>
      </c>
      <c r="W281">
        <v>10</v>
      </c>
      <c r="X281">
        <v>15</v>
      </c>
      <c r="Y281">
        <v>9</v>
      </c>
      <c r="Z281">
        <v>12</v>
      </c>
      <c r="AA281">
        <v>22</v>
      </c>
      <c r="AB281">
        <v>6</v>
      </c>
      <c r="AC281">
        <v>2</v>
      </c>
      <c r="AD281">
        <v>3</v>
      </c>
      <c r="AE281">
        <v>1</v>
      </c>
      <c r="AF281">
        <v>8</v>
      </c>
      <c r="AG281">
        <v>13</v>
      </c>
      <c r="AH281">
        <v>17</v>
      </c>
      <c r="AI281">
        <v>16</v>
      </c>
      <c r="AJ281">
        <v>18</v>
      </c>
      <c r="AK281">
        <v>20</v>
      </c>
      <c r="AL281">
        <v>24</v>
      </c>
      <c r="AM281">
        <v>23</v>
      </c>
      <c r="AN281">
        <v>5</v>
      </c>
      <c r="AO281">
        <v>21</v>
      </c>
      <c r="AP281">
        <v>11</v>
      </c>
      <c r="AQ281">
        <v>14</v>
      </c>
      <c r="AR281">
        <v>7</v>
      </c>
      <c r="AS281">
        <v>4</v>
      </c>
    </row>
    <row r="282" spans="1:45" x14ac:dyDescent="0.25">
      <c r="A282">
        <v>24</v>
      </c>
      <c r="B282" t="s">
        <v>394</v>
      </c>
      <c r="E282" t="s">
        <v>388</v>
      </c>
      <c r="K282">
        <f>Scores_and_Fixtures[[#This Row],[Wk]]</f>
        <v>24</v>
      </c>
      <c r="L282" t="str">
        <f>Scores_and_Fixtures[[#This Row],[Home]]</f>
        <v>Rotherham Utd</v>
      </c>
      <c r="M282">
        <f ca="1">IF(ISBLANK(Scores_and_Fixtures[[#This Row],[Home Score]])=FALSE,Scores_and_Fixtures[[#This Row],[Home Score]],_xlfn.BINOM.INV(10000,(VLOOKUP(L282,$CK$4:$CM$27,2,FALSE)*VLOOKUP(O282,$CK$4:$CM$27,3,FALSE)*($CM$2/2))/10000,RAND()))</f>
        <v>1</v>
      </c>
      <c r="N282">
        <f ca="1">IF(ISBLANK(Scores_and_Fixtures[[#This Row],[Away Score]])=FALSE,Scores_and_Fixtures[[#This Row],[Away Score]],_xlfn.BINOM.INV(10000,(VLOOKUP(O282,$CK$4:$CM$27,2,FALSE)*VLOOKUP(L282,$CK$4:$CM$27,3,FALSE)*($CM$2/2))/10000,RAND()))</f>
        <v>2</v>
      </c>
      <c r="O282" t="str">
        <f>Scores_and_Fixtures[[#This Row],[Away]]</f>
        <v>Middlesbrough</v>
      </c>
      <c r="U282">
        <v>181</v>
      </c>
      <c r="V282">
        <v>9</v>
      </c>
      <c r="W282">
        <v>10</v>
      </c>
      <c r="X282">
        <v>8</v>
      </c>
      <c r="Y282">
        <v>7</v>
      </c>
      <c r="Z282">
        <v>16</v>
      </c>
      <c r="AA282">
        <v>21</v>
      </c>
      <c r="AB282">
        <v>6</v>
      </c>
      <c r="AC282">
        <v>2</v>
      </c>
      <c r="AD282">
        <v>4</v>
      </c>
      <c r="AE282">
        <v>1</v>
      </c>
      <c r="AF282">
        <v>14</v>
      </c>
      <c r="AG282">
        <v>19</v>
      </c>
      <c r="AH282">
        <v>13</v>
      </c>
      <c r="AI282">
        <v>18</v>
      </c>
      <c r="AJ282">
        <v>11</v>
      </c>
      <c r="AK282">
        <v>22</v>
      </c>
      <c r="AL282">
        <v>24</v>
      </c>
      <c r="AM282">
        <v>23</v>
      </c>
      <c r="AN282">
        <v>3</v>
      </c>
      <c r="AO282">
        <v>20</v>
      </c>
      <c r="AP282">
        <v>15</v>
      </c>
      <c r="AQ282">
        <v>17</v>
      </c>
      <c r="AR282">
        <v>12</v>
      </c>
      <c r="AS282">
        <v>5</v>
      </c>
    </row>
    <row r="283" spans="1:45" x14ac:dyDescent="0.25">
      <c r="A283">
        <v>24</v>
      </c>
      <c r="B283" t="s">
        <v>382</v>
      </c>
      <c r="E283" t="s">
        <v>395</v>
      </c>
      <c r="K283">
        <f>Scores_and_Fixtures[[#This Row],[Wk]]</f>
        <v>24</v>
      </c>
      <c r="L283" t="str">
        <f>Scores_and_Fixtures[[#This Row],[Home]]</f>
        <v>Coventry City</v>
      </c>
      <c r="M283">
        <f ca="1">IF(ISBLANK(Scores_and_Fixtures[[#This Row],[Home Score]])=FALSE,Scores_and_Fixtures[[#This Row],[Home Score]],_xlfn.BINOM.INV(10000,(VLOOKUP(L283,$CK$4:$CM$27,2,FALSE)*VLOOKUP(O283,$CK$4:$CM$27,3,FALSE)*($CM$2/2))/10000,RAND()))</f>
        <v>2</v>
      </c>
      <c r="N283">
        <f ca="1">IF(ISBLANK(Scores_and_Fixtures[[#This Row],[Away Score]])=FALSE,Scores_and_Fixtures[[#This Row],[Away Score]],_xlfn.BINOM.INV(10000,(VLOOKUP(O283,$CK$4:$CM$27,2,FALSE)*VLOOKUP(L283,$CK$4:$CM$27,3,FALSE)*($CM$2/2))/10000,RAND()))</f>
        <v>1</v>
      </c>
      <c r="O283" t="str">
        <f>Scores_and_Fixtures[[#This Row],[Away]]</f>
        <v>Sheffield Weds</v>
      </c>
      <c r="U283">
        <v>182</v>
      </c>
      <c r="V283">
        <v>15</v>
      </c>
      <c r="W283">
        <v>10</v>
      </c>
      <c r="X283">
        <v>18</v>
      </c>
      <c r="Y283">
        <v>14</v>
      </c>
      <c r="Z283">
        <v>8</v>
      </c>
      <c r="AA283">
        <v>21</v>
      </c>
      <c r="AB283">
        <v>5</v>
      </c>
      <c r="AC283">
        <v>3</v>
      </c>
      <c r="AD283">
        <v>2</v>
      </c>
      <c r="AE283">
        <v>1</v>
      </c>
      <c r="AF283">
        <v>16</v>
      </c>
      <c r="AG283">
        <v>19</v>
      </c>
      <c r="AH283">
        <v>7</v>
      </c>
      <c r="AI283">
        <v>17</v>
      </c>
      <c r="AJ283">
        <v>13</v>
      </c>
      <c r="AK283">
        <v>22</v>
      </c>
      <c r="AL283">
        <v>24</v>
      </c>
      <c r="AM283">
        <v>23</v>
      </c>
      <c r="AN283">
        <v>4</v>
      </c>
      <c r="AO283">
        <v>20</v>
      </c>
      <c r="AP283">
        <v>9</v>
      </c>
      <c r="AQ283">
        <v>12</v>
      </c>
      <c r="AR283">
        <v>11</v>
      </c>
      <c r="AS283">
        <v>6</v>
      </c>
    </row>
    <row r="284" spans="1:45" x14ac:dyDescent="0.25">
      <c r="A284">
        <v>24</v>
      </c>
      <c r="B284" t="s">
        <v>396</v>
      </c>
      <c r="E284" t="s">
        <v>399</v>
      </c>
      <c r="K284">
        <f>Scores_and_Fixtures[[#This Row],[Wk]]</f>
        <v>24</v>
      </c>
      <c r="L284" t="str">
        <f>Scores_and_Fixtures[[#This Row],[Home]]</f>
        <v>Southampton</v>
      </c>
      <c r="M284">
        <f ca="1">IF(ISBLANK(Scores_and_Fixtures[[#This Row],[Home Score]])=FALSE,Scores_and_Fixtures[[#This Row],[Home Score]],_xlfn.BINOM.INV(10000,(VLOOKUP(L284,$CK$4:$CM$27,2,FALSE)*VLOOKUP(O284,$CK$4:$CM$27,3,FALSE)*($CM$2/2))/10000,RAND()))</f>
        <v>0</v>
      </c>
      <c r="N284">
        <f ca="1">IF(ISBLANK(Scores_and_Fixtures[[#This Row],[Away Score]])=FALSE,Scores_and_Fixtures[[#This Row],[Away Score]],_xlfn.BINOM.INV(10000,(VLOOKUP(O284,$CK$4:$CM$27,2,FALSE)*VLOOKUP(L284,$CK$4:$CM$27,3,FALSE)*($CM$2/2))/10000,RAND()))</f>
        <v>0</v>
      </c>
      <c r="O284" t="str">
        <f>Scores_and_Fixtures[[#This Row],[Away]]</f>
        <v>Swansea City</v>
      </c>
      <c r="U284">
        <v>183</v>
      </c>
      <c r="V284">
        <v>18</v>
      </c>
      <c r="W284">
        <v>13</v>
      </c>
      <c r="X284">
        <v>17</v>
      </c>
      <c r="Y284">
        <v>9</v>
      </c>
      <c r="Z284">
        <v>14</v>
      </c>
      <c r="AA284">
        <v>22</v>
      </c>
      <c r="AB284">
        <v>6</v>
      </c>
      <c r="AC284">
        <v>2</v>
      </c>
      <c r="AD284">
        <v>4</v>
      </c>
      <c r="AE284">
        <v>1</v>
      </c>
      <c r="AF284">
        <v>10</v>
      </c>
      <c r="AG284">
        <v>20</v>
      </c>
      <c r="AH284">
        <v>15</v>
      </c>
      <c r="AI284">
        <v>16</v>
      </c>
      <c r="AJ284">
        <v>8</v>
      </c>
      <c r="AK284">
        <v>19</v>
      </c>
      <c r="AL284">
        <v>23</v>
      </c>
      <c r="AM284">
        <v>24</v>
      </c>
      <c r="AN284">
        <v>3</v>
      </c>
      <c r="AO284">
        <v>21</v>
      </c>
      <c r="AP284">
        <v>11</v>
      </c>
      <c r="AQ284">
        <v>12</v>
      </c>
      <c r="AR284">
        <v>7</v>
      </c>
      <c r="AS284">
        <v>5</v>
      </c>
    </row>
    <row r="285" spans="1:45" x14ac:dyDescent="0.25">
      <c r="A285">
        <v>24</v>
      </c>
      <c r="B285" t="s">
        <v>378</v>
      </c>
      <c r="E285" t="s">
        <v>397</v>
      </c>
      <c r="K285">
        <f>Scores_and_Fixtures[[#This Row],[Wk]]</f>
        <v>24</v>
      </c>
      <c r="L285" t="str">
        <f>Scores_and_Fixtures[[#This Row],[Home]]</f>
        <v>Birmingham City</v>
      </c>
      <c r="M285">
        <f ca="1">IF(ISBLANK(Scores_and_Fixtures[[#This Row],[Home Score]])=FALSE,Scores_and_Fixtures[[#This Row],[Home Score]],_xlfn.BINOM.INV(10000,(VLOOKUP(L285,$CK$4:$CM$27,2,FALSE)*VLOOKUP(O285,$CK$4:$CM$27,3,FALSE)*($CM$2/2))/10000,RAND()))</f>
        <v>3</v>
      </c>
      <c r="N285">
        <f ca="1">IF(ISBLANK(Scores_and_Fixtures[[#This Row],[Away Score]])=FALSE,Scores_and_Fixtures[[#This Row],[Away Score]],_xlfn.BINOM.INV(10000,(VLOOKUP(O285,$CK$4:$CM$27,2,FALSE)*VLOOKUP(L285,$CK$4:$CM$27,3,FALSE)*($CM$2/2))/10000,RAND()))</f>
        <v>0</v>
      </c>
      <c r="O285" t="str">
        <f>Scores_and_Fixtures[[#This Row],[Away]]</f>
        <v>Stoke City</v>
      </c>
      <c r="U285">
        <v>184</v>
      </c>
      <c r="V285">
        <v>18</v>
      </c>
      <c r="W285">
        <v>15</v>
      </c>
      <c r="X285">
        <v>17</v>
      </c>
      <c r="Y285">
        <v>9</v>
      </c>
      <c r="Z285">
        <v>13</v>
      </c>
      <c r="AA285">
        <v>19</v>
      </c>
      <c r="AB285">
        <v>7</v>
      </c>
      <c r="AC285">
        <v>2</v>
      </c>
      <c r="AD285">
        <v>3</v>
      </c>
      <c r="AE285">
        <v>1</v>
      </c>
      <c r="AF285">
        <v>12</v>
      </c>
      <c r="AG285">
        <v>22</v>
      </c>
      <c r="AH285">
        <v>6</v>
      </c>
      <c r="AI285">
        <v>14</v>
      </c>
      <c r="AJ285">
        <v>10</v>
      </c>
      <c r="AK285">
        <v>21</v>
      </c>
      <c r="AL285">
        <v>24</v>
      </c>
      <c r="AM285">
        <v>23</v>
      </c>
      <c r="AN285">
        <v>4</v>
      </c>
      <c r="AO285">
        <v>20</v>
      </c>
      <c r="AP285">
        <v>11</v>
      </c>
      <c r="AQ285">
        <v>16</v>
      </c>
      <c r="AR285">
        <v>8</v>
      </c>
      <c r="AS285">
        <v>5</v>
      </c>
    </row>
    <row r="286" spans="1:45" x14ac:dyDescent="0.25">
      <c r="A286">
        <v>24</v>
      </c>
      <c r="B286" t="s">
        <v>401</v>
      </c>
      <c r="E286" t="s">
        <v>390</v>
      </c>
      <c r="K286">
        <f>Scores_and_Fixtures[[#This Row],[Wk]]</f>
        <v>24</v>
      </c>
      <c r="L286" t="str">
        <f>Scores_and_Fixtures[[#This Row],[Home]]</f>
        <v>West Brom</v>
      </c>
      <c r="M286">
        <f ca="1">IF(ISBLANK(Scores_and_Fixtures[[#This Row],[Home Score]])=FALSE,Scores_and_Fixtures[[#This Row],[Home Score]],_xlfn.BINOM.INV(10000,(VLOOKUP(L286,$CK$4:$CM$27,2,FALSE)*VLOOKUP(O286,$CK$4:$CM$27,3,FALSE)*($CM$2/2))/10000,RAND()))</f>
        <v>5</v>
      </c>
      <c r="N286">
        <f ca="1">IF(ISBLANK(Scores_and_Fixtures[[#This Row],[Away Score]])=FALSE,Scores_and_Fixtures[[#This Row],[Away Score]],_xlfn.BINOM.INV(10000,(VLOOKUP(O286,$CK$4:$CM$27,2,FALSE)*VLOOKUP(L286,$CK$4:$CM$27,3,FALSE)*($CM$2/2))/10000,RAND()))</f>
        <v>1</v>
      </c>
      <c r="O286" t="str">
        <f>Scores_and_Fixtures[[#This Row],[Away]]</f>
        <v>Norwich City</v>
      </c>
      <c r="U286">
        <v>185</v>
      </c>
      <c r="V286">
        <v>13</v>
      </c>
      <c r="W286">
        <v>17</v>
      </c>
      <c r="X286">
        <v>10</v>
      </c>
      <c r="Y286">
        <v>7</v>
      </c>
      <c r="Z286">
        <v>15</v>
      </c>
      <c r="AA286">
        <v>21</v>
      </c>
      <c r="AB286">
        <v>5</v>
      </c>
      <c r="AC286">
        <v>2</v>
      </c>
      <c r="AD286">
        <v>3</v>
      </c>
      <c r="AE286">
        <v>1</v>
      </c>
      <c r="AF286">
        <v>11</v>
      </c>
      <c r="AG286">
        <v>16</v>
      </c>
      <c r="AH286">
        <v>9</v>
      </c>
      <c r="AI286">
        <v>19</v>
      </c>
      <c r="AJ286">
        <v>14</v>
      </c>
      <c r="AK286">
        <v>22</v>
      </c>
      <c r="AL286">
        <v>24</v>
      </c>
      <c r="AM286">
        <v>23</v>
      </c>
      <c r="AN286">
        <v>4</v>
      </c>
      <c r="AO286">
        <v>18</v>
      </c>
      <c r="AP286">
        <v>12</v>
      </c>
      <c r="AQ286">
        <v>20</v>
      </c>
      <c r="AR286">
        <v>6</v>
      </c>
      <c r="AS286">
        <v>8</v>
      </c>
    </row>
    <row r="287" spans="1:45" x14ac:dyDescent="0.25">
      <c r="A287">
        <v>24</v>
      </c>
      <c r="B287" t="s">
        <v>381</v>
      </c>
      <c r="E287" t="s">
        <v>391</v>
      </c>
      <c r="K287">
        <f>Scores_and_Fixtures[[#This Row],[Wk]]</f>
        <v>24</v>
      </c>
      <c r="L287" t="str">
        <f>Scores_and_Fixtures[[#This Row],[Home]]</f>
        <v>Cardiff City</v>
      </c>
      <c r="M287">
        <f ca="1">IF(ISBLANK(Scores_and_Fixtures[[#This Row],[Home Score]])=FALSE,Scores_and_Fixtures[[#This Row],[Home Score]],_xlfn.BINOM.INV(10000,(VLOOKUP(L287,$CK$4:$CM$27,2,FALSE)*VLOOKUP(O287,$CK$4:$CM$27,3,FALSE)*($CM$2/2))/10000,RAND()))</f>
        <v>0</v>
      </c>
      <c r="N287">
        <f ca="1">IF(ISBLANK(Scores_and_Fixtures[[#This Row],[Away Score]])=FALSE,Scores_and_Fixtures[[#This Row],[Away Score]],_xlfn.BINOM.INV(10000,(VLOOKUP(O287,$CK$4:$CM$27,2,FALSE)*VLOOKUP(L287,$CK$4:$CM$27,3,FALSE)*($CM$2/2))/10000,RAND()))</f>
        <v>1</v>
      </c>
      <c r="O287" t="str">
        <f>Scores_and_Fixtures[[#This Row],[Away]]</f>
        <v>Plymouth Argyle</v>
      </c>
      <c r="U287">
        <v>186</v>
      </c>
      <c r="V287">
        <v>15</v>
      </c>
      <c r="W287">
        <v>8</v>
      </c>
      <c r="X287">
        <v>18</v>
      </c>
      <c r="Y287">
        <v>16</v>
      </c>
      <c r="Z287">
        <v>14</v>
      </c>
      <c r="AA287">
        <v>22</v>
      </c>
      <c r="AB287">
        <v>4</v>
      </c>
      <c r="AC287">
        <v>2</v>
      </c>
      <c r="AD287">
        <v>5</v>
      </c>
      <c r="AE287">
        <v>1</v>
      </c>
      <c r="AF287">
        <v>12</v>
      </c>
      <c r="AG287">
        <v>17</v>
      </c>
      <c r="AH287">
        <v>10</v>
      </c>
      <c r="AI287">
        <v>9</v>
      </c>
      <c r="AJ287">
        <v>11</v>
      </c>
      <c r="AK287">
        <v>20</v>
      </c>
      <c r="AL287">
        <v>23</v>
      </c>
      <c r="AM287">
        <v>24</v>
      </c>
      <c r="AN287">
        <v>3</v>
      </c>
      <c r="AO287">
        <v>21</v>
      </c>
      <c r="AP287">
        <v>13</v>
      </c>
      <c r="AQ287">
        <v>19</v>
      </c>
      <c r="AR287">
        <v>6</v>
      </c>
      <c r="AS287">
        <v>7</v>
      </c>
    </row>
    <row r="288" spans="1:45" x14ac:dyDescent="0.25">
      <c r="A288">
        <v>24</v>
      </c>
      <c r="B288" t="s">
        <v>392</v>
      </c>
      <c r="E288" t="s">
        <v>386</v>
      </c>
      <c r="K288">
        <f>Scores_and_Fixtures[[#This Row],[Wk]]</f>
        <v>24</v>
      </c>
      <c r="L288" t="str">
        <f>Scores_and_Fixtures[[#This Row],[Home]]</f>
        <v>Preston</v>
      </c>
      <c r="M288">
        <f ca="1">IF(ISBLANK(Scores_and_Fixtures[[#This Row],[Home Score]])=FALSE,Scores_and_Fixtures[[#This Row],[Home Score]],_xlfn.BINOM.INV(10000,(VLOOKUP(L288,$CK$4:$CM$27,2,FALSE)*VLOOKUP(O288,$CK$4:$CM$27,3,FALSE)*($CM$2/2))/10000,RAND()))</f>
        <v>1</v>
      </c>
      <c r="N288">
        <f ca="1">IF(ISBLANK(Scores_and_Fixtures[[#This Row],[Away Score]])=FALSE,Scores_and_Fixtures[[#This Row],[Away Score]],_xlfn.BINOM.INV(10000,(VLOOKUP(O288,$CK$4:$CM$27,2,FALSE)*VLOOKUP(L288,$CK$4:$CM$27,3,FALSE)*($CM$2/2))/10000,RAND()))</f>
        <v>1</v>
      </c>
      <c r="O288" t="str">
        <f>Scores_and_Fixtures[[#This Row],[Away]]</f>
        <v>Leeds United</v>
      </c>
      <c r="U288">
        <v>187</v>
      </c>
      <c r="V288">
        <v>15</v>
      </c>
      <c r="W288">
        <v>14</v>
      </c>
      <c r="X288">
        <v>13</v>
      </c>
      <c r="Y288">
        <v>12</v>
      </c>
      <c r="Z288">
        <v>17</v>
      </c>
      <c r="AA288">
        <v>22</v>
      </c>
      <c r="AB288">
        <v>3</v>
      </c>
      <c r="AC288">
        <v>2</v>
      </c>
      <c r="AD288">
        <v>4</v>
      </c>
      <c r="AE288">
        <v>1</v>
      </c>
      <c r="AF288">
        <v>8</v>
      </c>
      <c r="AG288">
        <v>19</v>
      </c>
      <c r="AH288">
        <v>11</v>
      </c>
      <c r="AI288">
        <v>16</v>
      </c>
      <c r="AJ288">
        <v>9</v>
      </c>
      <c r="AK288">
        <v>21</v>
      </c>
      <c r="AL288">
        <v>23</v>
      </c>
      <c r="AM288">
        <v>24</v>
      </c>
      <c r="AN288">
        <v>5</v>
      </c>
      <c r="AO288">
        <v>20</v>
      </c>
      <c r="AP288">
        <v>10</v>
      </c>
      <c r="AQ288">
        <v>18</v>
      </c>
      <c r="AR288">
        <v>7</v>
      </c>
      <c r="AS288">
        <v>6</v>
      </c>
    </row>
    <row r="289" spans="1:45" x14ac:dyDescent="0.25">
      <c r="A289">
        <v>24</v>
      </c>
      <c r="B289" t="s">
        <v>385</v>
      </c>
      <c r="E289" t="s">
        <v>387</v>
      </c>
      <c r="K289">
        <f>Scores_and_Fixtures[[#This Row],[Wk]]</f>
        <v>24</v>
      </c>
      <c r="L289" t="str">
        <f>Scores_and_Fixtures[[#This Row],[Home]]</f>
        <v>Ipswich Town</v>
      </c>
      <c r="M289">
        <f ca="1">IF(ISBLANK(Scores_and_Fixtures[[#This Row],[Home Score]])=FALSE,Scores_and_Fixtures[[#This Row],[Home Score]],_xlfn.BINOM.INV(10000,(VLOOKUP(L289,$CK$4:$CM$27,2,FALSE)*VLOOKUP(O289,$CK$4:$CM$27,3,FALSE)*($CM$2/2))/10000,RAND()))</f>
        <v>0</v>
      </c>
      <c r="N289">
        <f ca="1">IF(ISBLANK(Scores_and_Fixtures[[#This Row],[Away Score]])=FALSE,Scores_and_Fixtures[[#This Row],[Away Score]],_xlfn.BINOM.INV(10000,(VLOOKUP(O289,$CK$4:$CM$27,2,FALSE)*VLOOKUP(L289,$CK$4:$CM$27,3,FALSE)*($CM$2/2))/10000,RAND()))</f>
        <v>1</v>
      </c>
      <c r="O289" t="str">
        <f>Scores_and_Fixtures[[#This Row],[Away]]</f>
        <v>Leicester City</v>
      </c>
      <c r="U289">
        <v>188</v>
      </c>
      <c r="V289">
        <v>18</v>
      </c>
      <c r="W289">
        <v>11</v>
      </c>
      <c r="X289">
        <v>17</v>
      </c>
      <c r="Y289">
        <v>13</v>
      </c>
      <c r="Z289">
        <v>9</v>
      </c>
      <c r="AA289">
        <v>22</v>
      </c>
      <c r="AB289">
        <v>7</v>
      </c>
      <c r="AC289">
        <v>1</v>
      </c>
      <c r="AD289">
        <v>4</v>
      </c>
      <c r="AE289">
        <v>2</v>
      </c>
      <c r="AF289">
        <v>16</v>
      </c>
      <c r="AG289">
        <v>20</v>
      </c>
      <c r="AH289">
        <v>12</v>
      </c>
      <c r="AI289">
        <v>14</v>
      </c>
      <c r="AJ289">
        <v>15</v>
      </c>
      <c r="AK289">
        <v>21</v>
      </c>
      <c r="AL289">
        <v>23</v>
      </c>
      <c r="AM289">
        <v>24</v>
      </c>
      <c r="AN289">
        <v>3</v>
      </c>
      <c r="AO289">
        <v>19</v>
      </c>
      <c r="AP289">
        <v>8</v>
      </c>
      <c r="AQ289">
        <v>10</v>
      </c>
      <c r="AR289">
        <v>6</v>
      </c>
      <c r="AS289">
        <v>5</v>
      </c>
    </row>
    <row r="290" spans="1:45" x14ac:dyDescent="0.25">
      <c r="A290">
        <v>25</v>
      </c>
      <c r="B290" t="s">
        <v>394</v>
      </c>
      <c r="E290" t="s">
        <v>398</v>
      </c>
      <c r="K290">
        <f>Scores_and_Fixtures[[#This Row],[Wk]]</f>
        <v>25</v>
      </c>
      <c r="L290" t="str">
        <f>Scores_and_Fixtures[[#This Row],[Home]]</f>
        <v>Rotherham Utd</v>
      </c>
      <c r="M290">
        <f ca="1">IF(ISBLANK(Scores_and_Fixtures[[#This Row],[Home Score]])=FALSE,Scores_and_Fixtures[[#This Row],[Home Score]],_xlfn.BINOM.INV(10000,(VLOOKUP(L290,$CK$4:$CM$27,2,FALSE)*VLOOKUP(O290,$CK$4:$CM$27,3,FALSE)*($CM$2/2))/10000,RAND()))</f>
        <v>1</v>
      </c>
      <c r="N290">
        <f ca="1">IF(ISBLANK(Scores_and_Fixtures[[#This Row],[Away Score]])=FALSE,Scores_and_Fixtures[[#This Row],[Away Score]],_xlfn.BINOM.INV(10000,(VLOOKUP(O290,$CK$4:$CM$27,2,FALSE)*VLOOKUP(L290,$CK$4:$CM$27,3,FALSE)*($CM$2/2))/10000,RAND()))</f>
        <v>1</v>
      </c>
      <c r="O290" t="str">
        <f>Scores_and_Fixtures[[#This Row],[Away]]</f>
        <v>Sunderland</v>
      </c>
      <c r="U290">
        <v>189</v>
      </c>
      <c r="V290">
        <v>16</v>
      </c>
      <c r="W290">
        <v>12</v>
      </c>
      <c r="X290">
        <v>11</v>
      </c>
      <c r="Y290">
        <v>14</v>
      </c>
      <c r="Z290">
        <v>10</v>
      </c>
      <c r="AA290">
        <v>22</v>
      </c>
      <c r="AB290">
        <v>6</v>
      </c>
      <c r="AC290">
        <v>2</v>
      </c>
      <c r="AD290">
        <v>3</v>
      </c>
      <c r="AE290">
        <v>1</v>
      </c>
      <c r="AF290">
        <v>13</v>
      </c>
      <c r="AG290">
        <v>19</v>
      </c>
      <c r="AH290">
        <v>17</v>
      </c>
      <c r="AI290">
        <v>9</v>
      </c>
      <c r="AJ290">
        <v>15</v>
      </c>
      <c r="AK290">
        <v>21</v>
      </c>
      <c r="AL290">
        <v>24</v>
      </c>
      <c r="AM290">
        <v>23</v>
      </c>
      <c r="AN290">
        <v>4</v>
      </c>
      <c r="AO290">
        <v>20</v>
      </c>
      <c r="AP290">
        <v>7</v>
      </c>
      <c r="AQ290">
        <v>18</v>
      </c>
      <c r="AR290">
        <v>8</v>
      </c>
      <c r="AS290">
        <v>5</v>
      </c>
    </row>
    <row r="291" spans="1:45" x14ac:dyDescent="0.25">
      <c r="A291">
        <v>25</v>
      </c>
      <c r="B291" t="s">
        <v>382</v>
      </c>
      <c r="E291" t="s">
        <v>399</v>
      </c>
      <c r="K291">
        <f>Scores_and_Fixtures[[#This Row],[Wk]]</f>
        <v>25</v>
      </c>
      <c r="L291" t="str">
        <f>Scores_and_Fixtures[[#This Row],[Home]]</f>
        <v>Coventry City</v>
      </c>
      <c r="M291">
        <f ca="1">IF(ISBLANK(Scores_and_Fixtures[[#This Row],[Home Score]])=FALSE,Scores_and_Fixtures[[#This Row],[Home Score]],_xlfn.BINOM.INV(10000,(VLOOKUP(L291,$CK$4:$CM$27,2,FALSE)*VLOOKUP(O291,$CK$4:$CM$27,3,FALSE)*($CM$2/2))/10000,RAND()))</f>
        <v>0</v>
      </c>
      <c r="N291">
        <f ca="1">IF(ISBLANK(Scores_and_Fixtures[[#This Row],[Away Score]])=FALSE,Scores_and_Fixtures[[#This Row],[Away Score]],_xlfn.BINOM.INV(10000,(VLOOKUP(O291,$CK$4:$CM$27,2,FALSE)*VLOOKUP(L291,$CK$4:$CM$27,3,FALSE)*($CM$2/2))/10000,RAND()))</f>
        <v>1</v>
      </c>
      <c r="O291" t="str">
        <f>Scores_and_Fixtures[[#This Row],[Away]]</f>
        <v>Swansea City</v>
      </c>
      <c r="U291">
        <v>190</v>
      </c>
      <c r="V291">
        <v>15</v>
      </c>
      <c r="W291">
        <v>9</v>
      </c>
      <c r="X291">
        <v>8</v>
      </c>
      <c r="Y291">
        <v>17</v>
      </c>
      <c r="Z291">
        <v>10</v>
      </c>
      <c r="AA291">
        <v>20</v>
      </c>
      <c r="AB291">
        <v>3</v>
      </c>
      <c r="AC291">
        <v>2</v>
      </c>
      <c r="AD291">
        <v>5</v>
      </c>
      <c r="AE291">
        <v>1</v>
      </c>
      <c r="AF291">
        <v>11</v>
      </c>
      <c r="AG291">
        <v>18</v>
      </c>
      <c r="AH291">
        <v>12</v>
      </c>
      <c r="AI291">
        <v>16</v>
      </c>
      <c r="AJ291">
        <v>14</v>
      </c>
      <c r="AK291">
        <v>22</v>
      </c>
      <c r="AL291">
        <v>23</v>
      </c>
      <c r="AM291">
        <v>24</v>
      </c>
      <c r="AN291">
        <v>6</v>
      </c>
      <c r="AO291">
        <v>21</v>
      </c>
      <c r="AP291">
        <v>19</v>
      </c>
      <c r="AQ291">
        <v>13</v>
      </c>
      <c r="AR291">
        <v>7</v>
      </c>
      <c r="AS291">
        <v>4</v>
      </c>
    </row>
    <row r="292" spans="1:45" x14ac:dyDescent="0.25">
      <c r="A292">
        <v>25</v>
      </c>
      <c r="B292" t="s">
        <v>396</v>
      </c>
      <c r="E292" t="s">
        <v>391</v>
      </c>
      <c r="K292">
        <f>Scores_and_Fixtures[[#This Row],[Wk]]</f>
        <v>25</v>
      </c>
      <c r="L292" t="str">
        <f>Scores_and_Fixtures[[#This Row],[Home]]</f>
        <v>Southampton</v>
      </c>
      <c r="M292">
        <f ca="1">IF(ISBLANK(Scores_and_Fixtures[[#This Row],[Home Score]])=FALSE,Scores_and_Fixtures[[#This Row],[Home Score]],_xlfn.BINOM.INV(10000,(VLOOKUP(L292,$CK$4:$CM$27,2,FALSE)*VLOOKUP(O292,$CK$4:$CM$27,3,FALSE)*($CM$2/2))/10000,RAND()))</f>
        <v>1</v>
      </c>
      <c r="N292">
        <f ca="1">IF(ISBLANK(Scores_and_Fixtures[[#This Row],[Away Score]])=FALSE,Scores_and_Fixtures[[#This Row],[Away Score]],_xlfn.BINOM.INV(10000,(VLOOKUP(O292,$CK$4:$CM$27,2,FALSE)*VLOOKUP(L292,$CK$4:$CM$27,3,FALSE)*($CM$2/2))/10000,RAND()))</f>
        <v>2</v>
      </c>
      <c r="O292" t="str">
        <f>Scores_and_Fixtures[[#This Row],[Away]]</f>
        <v>Plymouth Argyle</v>
      </c>
      <c r="U292">
        <v>191</v>
      </c>
      <c r="V292">
        <v>17</v>
      </c>
      <c r="W292">
        <v>10</v>
      </c>
      <c r="X292">
        <v>18</v>
      </c>
      <c r="Y292">
        <v>12</v>
      </c>
      <c r="Z292">
        <v>15</v>
      </c>
      <c r="AA292">
        <v>20</v>
      </c>
      <c r="AB292">
        <v>8</v>
      </c>
      <c r="AC292">
        <v>2</v>
      </c>
      <c r="AD292">
        <v>6</v>
      </c>
      <c r="AE292">
        <v>1</v>
      </c>
      <c r="AF292">
        <v>14</v>
      </c>
      <c r="AG292">
        <v>16</v>
      </c>
      <c r="AH292">
        <v>9</v>
      </c>
      <c r="AI292">
        <v>19</v>
      </c>
      <c r="AJ292">
        <v>13</v>
      </c>
      <c r="AK292">
        <v>22</v>
      </c>
      <c r="AL292">
        <v>23</v>
      </c>
      <c r="AM292">
        <v>24</v>
      </c>
      <c r="AN292">
        <v>3</v>
      </c>
      <c r="AO292">
        <v>21</v>
      </c>
      <c r="AP292">
        <v>4</v>
      </c>
      <c r="AQ292">
        <v>11</v>
      </c>
      <c r="AR292">
        <v>7</v>
      </c>
      <c r="AS292">
        <v>5</v>
      </c>
    </row>
    <row r="293" spans="1:45" x14ac:dyDescent="0.25">
      <c r="A293">
        <v>25</v>
      </c>
      <c r="B293" t="s">
        <v>383</v>
      </c>
      <c r="E293" t="s">
        <v>388</v>
      </c>
      <c r="K293">
        <f>Scores_and_Fixtures[[#This Row],[Wk]]</f>
        <v>25</v>
      </c>
      <c r="L293" t="str">
        <f>Scores_and_Fixtures[[#This Row],[Home]]</f>
        <v>Huddersfield</v>
      </c>
      <c r="M293">
        <f ca="1">IF(ISBLANK(Scores_and_Fixtures[[#This Row],[Home Score]])=FALSE,Scores_and_Fixtures[[#This Row],[Home Score]],_xlfn.BINOM.INV(10000,(VLOOKUP(L293,$CK$4:$CM$27,2,FALSE)*VLOOKUP(O293,$CK$4:$CM$27,3,FALSE)*($CM$2/2))/10000,RAND()))</f>
        <v>0</v>
      </c>
      <c r="N293">
        <f ca="1">IF(ISBLANK(Scores_and_Fixtures[[#This Row],[Away Score]])=FALSE,Scores_and_Fixtures[[#This Row],[Away Score]],_xlfn.BINOM.INV(10000,(VLOOKUP(O293,$CK$4:$CM$27,2,FALSE)*VLOOKUP(L293,$CK$4:$CM$27,3,FALSE)*($CM$2/2))/10000,RAND()))</f>
        <v>5</v>
      </c>
      <c r="O293" t="str">
        <f>Scores_and_Fixtures[[#This Row],[Away]]</f>
        <v>Middlesbrough</v>
      </c>
      <c r="U293">
        <v>192</v>
      </c>
      <c r="V293">
        <v>17</v>
      </c>
      <c r="W293">
        <v>9</v>
      </c>
      <c r="X293">
        <v>19</v>
      </c>
      <c r="Y293">
        <v>12</v>
      </c>
      <c r="Z293">
        <v>15</v>
      </c>
      <c r="AA293">
        <v>20</v>
      </c>
      <c r="AB293">
        <v>5</v>
      </c>
      <c r="AC293">
        <v>2</v>
      </c>
      <c r="AD293">
        <v>3</v>
      </c>
      <c r="AE293">
        <v>1</v>
      </c>
      <c r="AF293">
        <v>13</v>
      </c>
      <c r="AG293">
        <v>21</v>
      </c>
      <c r="AH293">
        <v>7</v>
      </c>
      <c r="AI293">
        <v>14</v>
      </c>
      <c r="AJ293">
        <v>11</v>
      </c>
      <c r="AK293">
        <v>22</v>
      </c>
      <c r="AL293">
        <v>24</v>
      </c>
      <c r="AM293">
        <v>23</v>
      </c>
      <c r="AN293">
        <v>4</v>
      </c>
      <c r="AO293">
        <v>18</v>
      </c>
      <c r="AP293">
        <v>6</v>
      </c>
      <c r="AQ293">
        <v>16</v>
      </c>
      <c r="AR293">
        <v>8</v>
      </c>
      <c r="AS293">
        <v>10</v>
      </c>
    </row>
    <row r="294" spans="1:45" x14ac:dyDescent="0.25">
      <c r="A294">
        <v>25</v>
      </c>
      <c r="B294" t="s">
        <v>378</v>
      </c>
      <c r="E294" t="s">
        <v>380</v>
      </c>
      <c r="K294">
        <f>Scores_and_Fixtures[[#This Row],[Wk]]</f>
        <v>25</v>
      </c>
      <c r="L294" t="str">
        <f>Scores_and_Fixtures[[#This Row],[Home]]</f>
        <v>Birmingham City</v>
      </c>
      <c r="M294">
        <f ca="1">IF(ISBLANK(Scores_and_Fixtures[[#This Row],[Home Score]])=FALSE,Scores_and_Fixtures[[#This Row],[Home Score]],_xlfn.BINOM.INV(10000,(VLOOKUP(L294,$CK$4:$CM$27,2,FALSE)*VLOOKUP(O294,$CK$4:$CM$27,3,FALSE)*($CM$2/2))/10000,RAND()))</f>
        <v>1</v>
      </c>
      <c r="N294">
        <f ca="1">IF(ISBLANK(Scores_and_Fixtures[[#This Row],[Away Score]])=FALSE,Scores_and_Fixtures[[#This Row],[Away Score]],_xlfn.BINOM.INV(10000,(VLOOKUP(O294,$CK$4:$CM$27,2,FALSE)*VLOOKUP(L294,$CK$4:$CM$27,3,FALSE)*($CM$2/2))/10000,RAND()))</f>
        <v>0</v>
      </c>
      <c r="O294" t="str">
        <f>Scores_and_Fixtures[[#This Row],[Away]]</f>
        <v>Bristol City</v>
      </c>
      <c r="U294">
        <v>193</v>
      </c>
      <c r="V294">
        <v>16</v>
      </c>
      <c r="W294">
        <v>10</v>
      </c>
      <c r="X294">
        <v>13</v>
      </c>
      <c r="Y294">
        <v>15</v>
      </c>
      <c r="Z294">
        <v>17</v>
      </c>
      <c r="AA294">
        <v>22</v>
      </c>
      <c r="AB294">
        <v>6</v>
      </c>
      <c r="AC294">
        <v>2</v>
      </c>
      <c r="AD294">
        <v>3</v>
      </c>
      <c r="AE294">
        <v>1</v>
      </c>
      <c r="AF294">
        <v>8</v>
      </c>
      <c r="AG294">
        <v>18</v>
      </c>
      <c r="AH294">
        <v>9</v>
      </c>
      <c r="AI294">
        <v>7</v>
      </c>
      <c r="AJ294">
        <v>14</v>
      </c>
      <c r="AK294">
        <v>21</v>
      </c>
      <c r="AL294">
        <v>24</v>
      </c>
      <c r="AM294">
        <v>23</v>
      </c>
      <c r="AN294">
        <v>4</v>
      </c>
      <c r="AO294">
        <v>20</v>
      </c>
      <c r="AP294">
        <v>11</v>
      </c>
      <c r="AQ294">
        <v>19</v>
      </c>
      <c r="AR294">
        <v>5</v>
      </c>
      <c r="AS294">
        <v>12</v>
      </c>
    </row>
    <row r="295" spans="1:45" x14ac:dyDescent="0.25">
      <c r="A295">
        <v>25</v>
      </c>
      <c r="B295" t="s">
        <v>392</v>
      </c>
      <c r="E295" t="s">
        <v>395</v>
      </c>
      <c r="K295">
        <f>Scores_and_Fixtures[[#This Row],[Wk]]</f>
        <v>25</v>
      </c>
      <c r="L295" t="str">
        <f>Scores_and_Fixtures[[#This Row],[Home]]</f>
        <v>Preston</v>
      </c>
      <c r="M295">
        <f ca="1">IF(ISBLANK(Scores_and_Fixtures[[#This Row],[Home Score]])=FALSE,Scores_and_Fixtures[[#This Row],[Home Score]],_xlfn.BINOM.INV(10000,(VLOOKUP(L295,$CK$4:$CM$27,2,FALSE)*VLOOKUP(O295,$CK$4:$CM$27,3,FALSE)*($CM$2/2))/10000,RAND()))</f>
        <v>2</v>
      </c>
      <c r="N295">
        <f ca="1">IF(ISBLANK(Scores_and_Fixtures[[#This Row],[Away Score]])=FALSE,Scores_and_Fixtures[[#This Row],[Away Score]],_xlfn.BINOM.INV(10000,(VLOOKUP(O295,$CK$4:$CM$27,2,FALSE)*VLOOKUP(L295,$CK$4:$CM$27,3,FALSE)*($CM$2/2))/10000,RAND()))</f>
        <v>3</v>
      </c>
      <c r="O295" t="str">
        <f>Scores_and_Fixtures[[#This Row],[Away]]</f>
        <v>Sheffield Weds</v>
      </c>
      <c r="U295">
        <v>194</v>
      </c>
      <c r="V295">
        <v>14</v>
      </c>
      <c r="W295">
        <v>13</v>
      </c>
      <c r="X295">
        <v>12</v>
      </c>
      <c r="Y295">
        <v>11</v>
      </c>
      <c r="Z295">
        <v>16</v>
      </c>
      <c r="AA295">
        <v>21</v>
      </c>
      <c r="AB295">
        <v>6</v>
      </c>
      <c r="AC295">
        <v>2</v>
      </c>
      <c r="AD295">
        <v>3</v>
      </c>
      <c r="AE295">
        <v>1</v>
      </c>
      <c r="AF295">
        <v>9</v>
      </c>
      <c r="AG295">
        <v>19</v>
      </c>
      <c r="AH295">
        <v>10</v>
      </c>
      <c r="AI295">
        <v>15</v>
      </c>
      <c r="AJ295">
        <v>17</v>
      </c>
      <c r="AK295">
        <v>20</v>
      </c>
      <c r="AL295">
        <v>23</v>
      </c>
      <c r="AM295">
        <v>24</v>
      </c>
      <c r="AN295">
        <v>4</v>
      </c>
      <c r="AO295">
        <v>22</v>
      </c>
      <c r="AP295">
        <v>8</v>
      </c>
      <c r="AQ295">
        <v>18</v>
      </c>
      <c r="AR295">
        <v>7</v>
      </c>
      <c r="AS295">
        <v>5</v>
      </c>
    </row>
    <row r="296" spans="1:45" x14ac:dyDescent="0.25">
      <c r="A296">
        <v>25</v>
      </c>
      <c r="B296" t="s">
        <v>384</v>
      </c>
      <c r="E296" t="s">
        <v>379</v>
      </c>
      <c r="K296">
        <f>Scores_and_Fixtures[[#This Row],[Wk]]</f>
        <v>25</v>
      </c>
      <c r="L296" t="str">
        <f>Scores_and_Fixtures[[#This Row],[Home]]</f>
        <v>Hull City</v>
      </c>
      <c r="M296">
        <f ca="1">IF(ISBLANK(Scores_and_Fixtures[[#This Row],[Home Score]])=FALSE,Scores_and_Fixtures[[#This Row],[Home Score]],_xlfn.BINOM.INV(10000,(VLOOKUP(L296,$CK$4:$CM$27,2,FALSE)*VLOOKUP(O296,$CK$4:$CM$27,3,FALSE)*($CM$2/2))/10000,RAND()))</f>
        <v>4</v>
      </c>
      <c r="N296">
        <f ca="1">IF(ISBLANK(Scores_and_Fixtures[[#This Row],[Away Score]])=FALSE,Scores_and_Fixtures[[#This Row],[Away Score]],_xlfn.BINOM.INV(10000,(VLOOKUP(O296,$CK$4:$CM$27,2,FALSE)*VLOOKUP(L296,$CK$4:$CM$27,3,FALSE)*($CM$2/2))/10000,RAND()))</f>
        <v>0</v>
      </c>
      <c r="O296" t="str">
        <f>Scores_and_Fixtures[[#This Row],[Away]]</f>
        <v>Blackburn</v>
      </c>
      <c r="U296">
        <v>195</v>
      </c>
      <c r="V296">
        <v>15</v>
      </c>
      <c r="W296">
        <v>9</v>
      </c>
      <c r="X296">
        <v>11</v>
      </c>
      <c r="Y296">
        <v>18</v>
      </c>
      <c r="Z296">
        <v>17</v>
      </c>
      <c r="AA296">
        <v>21</v>
      </c>
      <c r="AB296">
        <v>7</v>
      </c>
      <c r="AC296">
        <v>2</v>
      </c>
      <c r="AD296">
        <v>4</v>
      </c>
      <c r="AE296">
        <v>1</v>
      </c>
      <c r="AF296">
        <v>14</v>
      </c>
      <c r="AG296">
        <v>19</v>
      </c>
      <c r="AH296">
        <v>12</v>
      </c>
      <c r="AI296">
        <v>16</v>
      </c>
      <c r="AJ296">
        <v>10</v>
      </c>
      <c r="AK296">
        <v>22</v>
      </c>
      <c r="AL296">
        <v>24</v>
      </c>
      <c r="AM296">
        <v>23</v>
      </c>
      <c r="AN296">
        <v>3</v>
      </c>
      <c r="AO296">
        <v>20</v>
      </c>
      <c r="AP296">
        <v>6</v>
      </c>
      <c r="AQ296">
        <v>13</v>
      </c>
      <c r="AR296">
        <v>8</v>
      </c>
      <c r="AS296">
        <v>5</v>
      </c>
    </row>
    <row r="297" spans="1:45" x14ac:dyDescent="0.25">
      <c r="A297">
        <v>25</v>
      </c>
      <c r="B297" t="s">
        <v>400</v>
      </c>
      <c r="E297" t="s">
        <v>397</v>
      </c>
      <c r="K297">
        <f>Scores_and_Fixtures[[#This Row],[Wk]]</f>
        <v>25</v>
      </c>
      <c r="L297" t="str">
        <f>Scores_and_Fixtures[[#This Row],[Home]]</f>
        <v>Watford</v>
      </c>
      <c r="M297">
        <f ca="1">IF(ISBLANK(Scores_and_Fixtures[[#This Row],[Home Score]])=FALSE,Scores_and_Fixtures[[#This Row],[Home Score]],_xlfn.BINOM.INV(10000,(VLOOKUP(L297,$CK$4:$CM$27,2,FALSE)*VLOOKUP(O297,$CK$4:$CM$27,3,FALSE)*($CM$2/2))/10000,RAND()))</f>
        <v>2</v>
      </c>
      <c r="N297">
        <f ca="1">IF(ISBLANK(Scores_and_Fixtures[[#This Row],[Away Score]])=FALSE,Scores_and_Fixtures[[#This Row],[Away Score]],_xlfn.BINOM.INV(10000,(VLOOKUP(O297,$CK$4:$CM$27,2,FALSE)*VLOOKUP(L297,$CK$4:$CM$27,3,FALSE)*($CM$2/2))/10000,RAND()))</f>
        <v>0</v>
      </c>
      <c r="O297" t="str">
        <f>Scores_and_Fixtures[[#This Row],[Away]]</f>
        <v>Stoke City</v>
      </c>
      <c r="U297">
        <v>196</v>
      </c>
      <c r="V297">
        <v>8</v>
      </c>
      <c r="W297">
        <v>17</v>
      </c>
      <c r="X297">
        <v>15</v>
      </c>
      <c r="Y297">
        <v>13</v>
      </c>
      <c r="Z297">
        <v>19</v>
      </c>
      <c r="AA297">
        <v>22</v>
      </c>
      <c r="AB297">
        <v>5</v>
      </c>
      <c r="AC297">
        <v>2</v>
      </c>
      <c r="AD297">
        <v>3</v>
      </c>
      <c r="AE297">
        <v>1</v>
      </c>
      <c r="AF297">
        <v>12</v>
      </c>
      <c r="AG297">
        <v>16</v>
      </c>
      <c r="AH297">
        <v>11</v>
      </c>
      <c r="AI297">
        <v>10</v>
      </c>
      <c r="AJ297">
        <v>14</v>
      </c>
      <c r="AK297">
        <v>20</v>
      </c>
      <c r="AL297">
        <v>24</v>
      </c>
      <c r="AM297">
        <v>23</v>
      </c>
      <c r="AN297">
        <v>4</v>
      </c>
      <c r="AO297">
        <v>21</v>
      </c>
      <c r="AP297">
        <v>9</v>
      </c>
      <c r="AQ297">
        <v>18</v>
      </c>
      <c r="AR297">
        <v>6</v>
      </c>
      <c r="AS297">
        <v>7</v>
      </c>
    </row>
    <row r="298" spans="1:45" x14ac:dyDescent="0.25">
      <c r="A298">
        <v>25</v>
      </c>
      <c r="B298" t="s">
        <v>389</v>
      </c>
      <c r="E298" t="s">
        <v>390</v>
      </c>
      <c r="K298">
        <f>Scores_and_Fixtures[[#This Row],[Wk]]</f>
        <v>25</v>
      </c>
      <c r="L298" t="str">
        <f>Scores_and_Fixtures[[#This Row],[Home]]</f>
        <v>Millwall</v>
      </c>
      <c r="M298">
        <f ca="1">IF(ISBLANK(Scores_and_Fixtures[[#This Row],[Home Score]])=FALSE,Scores_and_Fixtures[[#This Row],[Home Score]],_xlfn.BINOM.INV(10000,(VLOOKUP(L298,$CK$4:$CM$27,2,FALSE)*VLOOKUP(O298,$CK$4:$CM$27,3,FALSE)*($CM$2/2))/10000,RAND()))</f>
        <v>0</v>
      </c>
      <c r="N298">
        <f ca="1">IF(ISBLANK(Scores_and_Fixtures[[#This Row],[Away Score]])=FALSE,Scores_and_Fixtures[[#This Row],[Away Score]],_xlfn.BINOM.INV(10000,(VLOOKUP(O298,$CK$4:$CM$27,2,FALSE)*VLOOKUP(L298,$CK$4:$CM$27,3,FALSE)*($CM$2/2))/10000,RAND()))</f>
        <v>2</v>
      </c>
      <c r="O298" t="str">
        <f>Scores_and_Fixtures[[#This Row],[Away]]</f>
        <v>Norwich City</v>
      </c>
      <c r="U298">
        <v>197</v>
      </c>
      <c r="V298">
        <v>17</v>
      </c>
      <c r="W298">
        <v>7</v>
      </c>
      <c r="X298">
        <v>14</v>
      </c>
      <c r="Y298">
        <v>6</v>
      </c>
      <c r="Z298">
        <v>16</v>
      </c>
      <c r="AA298">
        <v>19</v>
      </c>
      <c r="AB298">
        <v>5</v>
      </c>
      <c r="AC298">
        <v>2</v>
      </c>
      <c r="AD298">
        <v>4</v>
      </c>
      <c r="AE298">
        <v>1</v>
      </c>
      <c r="AF298">
        <v>9</v>
      </c>
      <c r="AG298">
        <v>18</v>
      </c>
      <c r="AH298">
        <v>11</v>
      </c>
      <c r="AI298">
        <v>21</v>
      </c>
      <c r="AJ298">
        <v>10</v>
      </c>
      <c r="AK298">
        <v>22</v>
      </c>
      <c r="AL298">
        <v>24</v>
      </c>
      <c r="AM298">
        <v>23</v>
      </c>
      <c r="AN298">
        <v>3</v>
      </c>
      <c r="AO298">
        <v>20</v>
      </c>
      <c r="AP298">
        <v>13</v>
      </c>
      <c r="AQ298">
        <v>15</v>
      </c>
      <c r="AR298">
        <v>12</v>
      </c>
      <c r="AS298">
        <v>8</v>
      </c>
    </row>
    <row r="299" spans="1:45" x14ac:dyDescent="0.25">
      <c r="A299">
        <v>25</v>
      </c>
      <c r="B299" t="s">
        <v>381</v>
      </c>
      <c r="E299" t="s">
        <v>387</v>
      </c>
      <c r="K299">
        <f>Scores_and_Fixtures[[#This Row],[Wk]]</f>
        <v>25</v>
      </c>
      <c r="L299" t="str">
        <f>Scores_and_Fixtures[[#This Row],[Home]]</f>
        <v>Cardiff City</v>
      </c>
      <c r="M299">
        <f ca="1">IF(ISBLANK(Scores_and_Fixtures[[#This Row],[Home Score]])=FALSE,Scores_and_Fixtures[[#This Row],[Home Score]],_xlfn.BINOM.INV(10000,(VLOOKUP(L299,$CK$4:$CM$27,2,FALSE)*VLOOKUP(O299,$CK$4:$CM$27,3,FALSE)*($CM$2/2))/10000,RAND()))</f>
        <v>1</v>
      </c>
      <c r="N299">
        <f ca="1">IF(ISBLANK(Scores_and_Fixtures[[#This Row],[Away Score]])=FALSE,Scores_and_Fixtures[[#This Row],[Away Score]],_xlfn.BINOM.INV(10000,(VLOOKUP(O299,$CK$4:$CM$27,2,FALSE)*VLOOKUP(L299,$CK$4:$CM$27,3,FALSE)*($CM$2/2))/10000,RAND()))</f>
        <v>1</v>
      </c>
      <c r="O299" t="str">
        <f>Scores_and_Fixtures[[#This Row],[Away]]</f>
        <v>Leicester City</v>
      </c>
      <c r="U299">
        <v>198</v>
      </c>
      <c r="V299">
        <v>13</v>
      </c>
      <c r="W299">
        <v>11</v>
      </c>
      <c r="X299">
        <v>8</v>
      </c>
      <c r="Y299">
        <v>12</v>
      </c>
      <c r="Z299">
        <v>14</v>
      </c>
      <c r="AA299">
        <v>17</v>
      </c>
      <c r="AB299">
        <v>6</v>
      </c>
      <c r="AC299">
        <v>2</v>
      </c>
      <c r="AD299">
        <v>3</v>
      </c>
      <c r="AE299">
        <v>1</v>
      </c>
      <c r="AF299">
        <v>16</v>
      </c>
      <c r="AG299">
        <v>21</v>
      </c>
      <c r="AH299">
        <v>18</v>
      </c>
      <c r="AI299">
        <v>15</v>
      </c>
      <c r="AJ299">
        <v>9</v>
      </c>
      <c r="AK299">
        <v>22</v>
      </c>
      <c r="AL299">
        <v>23</v>
      </c>
      <c r="AM299">
        <v>24</v>
      </c>
      <c r="AN299">
        <v>4</v>
      </c>
      <c r="AO299">
        <v>20</v>
      </c>
      <c r="AP299">
        <v>10</v>
      </c>
      <c r="AQ299">
        <v>19</v>
      </c>
      <c r="AR299">
        <v>7</v>
      </c>
      <c r="AS299">
        <v>5</v>
      </c>
    </row>
    <row r="300" spans="1:45" x14ac:dyDescent="0.25">
      <c r="A300">
        <v>25</v>
      </c>
      <c r="B300" t="s">
        <v>385</v>
      </c>
      <c r="E300" t="s">
        <v>393</v>
      </c>
      <c r="K300">
        <f>Scores_and_Fixtures[[#This Row],[Wk]]</f>
        <v>25</v>
      </c>
      <c r="L300" t="str">
        <f>Scores_and_Fixtures[[#This Row],[Home]]</f>
        <v>Ipswich Town</v>
      </c>
      <c r="M300">
        <f ca="1">IF(ISBLANK(Scores_and_Fixtures[[#This Row],[Home Score]])=FALSE,Scores_and_Fixtures[[#This Row],[Home Score]],_xlfn.BINOM.INV(10000,(VLOOKUP(L300,$CK$4:$CM$27,2,FALSE)*VLOOKUP(O300,$CK$4:$CM$27,3,FALSE)*($CM$2/2))/10000,RAND()))</f>
        <v>3</v>
      </c>
      <c r="N300">
        <f ca="1">IF(ISBLANK(Scores_and_Fixtures[[#This Row],[Away Score]])=FALSE,Scores_and_Fixtures[[#This Row],[Away Score]],_xlfn.BINOM.INV(10000,(VLOOKUP(O300,$CK$4:$CM$27,2,FALSE)*VLOOKUP(L300,$CK$4:$CM$27,3,FALSE)*($CM$2/2))/10000,RAND()))</f>
        <v>1</v>
      </c>
      <c r="O300" t="str">
        <f>Scores_and_Fixtures[[#This Row],[Away]]</f>
        <v>QPR</v>
      </c>
      <c r="U300">
        <v>199</v>
      </c>
      <c r="V300">
        <v>17</v>
      </c>
      <c r="W300">
        <v>15</v>
      </c>
      <c r="X300">
        <v>10</v>
      </c>
      <c r="Y300">
        <v>9</v>
      </c>
      <c r="Z300">
        <v>19</v>
      </c>
      <c r="AA300">
        <v>20</v>
      </c>
      <c r="AB300">
        <v>6</v>
      </c>
      <c r="AC300">
        <v>2</v>
      </c>
      <c r="AD300">
        <v>4</v>
      </c>
      <c r="AE300">
        <v>1</v>
      </c>
      <c r="AF300">
        <v>7</v>
      </c>
      <c r="AG300">
        <v>18</v>
      </c>
      <c r="AH300">
        <v>14</v>
      </c>
      <c r="AI300">
        <v>16</v>
      </c>
      <c r="AJ300">
        <v>11</v>
      </c>
      <c r="AK300">
        <v>22</v>
      </c>
      <c r="AL300">
        <v>24</v>
      </c>
      <c r="AM300">
        <v>23</v>
      </c>
      <c r="AN300">
        <v>3</v>
      </c>
      <c r="AO300">
        <v>21</v>
      </c>
      <c r="AP300">
        <v>12</v>
      </c>
      <c r="AQ300">
        <v>13</v>
      </c>
      <c r="AR300">
        <v>8</v>
      </c>
      <c r="AS300">
        <v>5</v>
      </c>
    </row>
    <row r="301" spans="1:45" x14ac:dyDescent="0.25">
      <c r="A301">
        <v>25</v>
      </c>
      <c r="B301" t="s">
        <v>401</v>
      </c>
      <c r="E301" t="s">
        <v>386</v>
      </c>
      <c r="K301">
        <f>Scores_and_Fixtures[[#This Row],[Wk]]</f>
        <v>25</v>
      </c>
      <c r="L301" t="str">
        <f>Scores_and_Fixtures[[#This Row],[Home]]</f>
        <v>West Brom</v>
      </c>
      <c r="M301">
        <f ca="1">IF(ISBLANK(Scores_and_Fixtures[[#This Row],[Home Score]])=FALSE,Scores_and_Fixtures[[#This Row],[Home Score]],_xlfn.BINOM.INV(10000,(VLOOKUP(L301,$CK$4:$CM$27,2,FALSE)*VLOOKUP(O301,$CK$4:$CM$27,3,FALSE)*($CM$2/2))/10000,RAND()))</f>
        <v>4</v>
      </c>
      <c r="N301">
        <f ca="1">IF(ISBLANK(Scores_and_Fixtures[[#This Row],[Away Score]])=FALSE,Scores_and_Fixtures[[#This Row],[Away Score]],_xlfn.BINOM.INV(10000,(VLOOKUP(O301,$CK$4:$CM$27,2,FALSE)*VLOOKUP(L301,$CK$4:$CM$27,3,FALSE)*($CM$2/2))/10000,RAND()))</f>
        <v>0</v>
      </c>
      <c r="O301" t="str">
        <f>Scores_and_Fixtures[[#This Row],[Away]]</f>
        <v>Leeds United</v>
      </c>
      <c r="U301">
        <v>200</v>
      </c>
      <c r="V301">
        <v>13</v>
      </c>
      <c r="W301">
        <v>19</v>
      </c>
      <c r="X301">
        <v>14</v>
      </c>
      <c r="Y301">
        <v>12</v>
      </c>
      <c r="Z301">
        <v>11</v>
      </c>
      <c r="AA301">
        <v>17</v>
      </c>
      <c r="AB301">
        <v>7</v>
      </c>
      <c r="AC301">
        <v>2</v>
      </c>
      <c r="AD301">
        <v>3</v>
      </c>
      <c r="AE301">
        <v>1</v>
      </c>
      <c r="AF301">
        <v>10</v>
      </c>
      <c r="AG301">
        <v>18</v>
      </c>
      <c r="AH301">
        <v>16</v>
      </c>
      <c r="AI301">
        <v>20</v>
      </c>
      <c r="AJ301">
        <v>8</v>
      </c>
      <c r="AK301">
        <v>21</v>
      </c>
      <c r="AL301">
        <v>24</v>
      </c>
      <c r="AM301">
        <v>23</v>
      </c>
      <c r="AN301">
        <v>4</v>
      </c>
      <c r="AO301">
        <v>22</v>
      </c>
      <c r="AP301">
        <v>9</v>
      </c>
      <c r="AQ301">
        <v>15</v>
      </c>
      <c r="AR301">
        <v>6</v>
      </c>
      <c r="AS301">
        <v>5</v>
      </c>
    </row>
    <row r="302" spans="1:45" x14ac:dyDescent="0.25">
      <c r="A302">
        <v>26</v>
      </c>
      <c r="B302" t="s">
        <v>398</v>
      </c>
      <c r="E302" t="s">
        <v>392</v>
      </c>
      <c r="K302">
        <f>Scores_and_Fixtures[[#This Row],[Wk]]</f>
        <v>26</v>
      </c>
      <c r="L302" t="str">
        <f>Scores_and_Fixtures[[#This Row],[Home]]</f>
        <v>Sunderland</v>
      </c>
      <c r="M302">
        <f ca="1">IF(ISBLANK(Scores_and_Fixtures[[#This Row],[Home Score]])=FALSE,Scores_and_Fixtures[[#This Row],[Home Score]],_xlfn.BINOM.INV(10000,(VLOOKUP(L302,$CK$4:$CM$27,2,FALSE)*VLOOKUP(O302,$CK$4:$CM$27,3,FALSE)*($CM$2/2))/10000,RAND()))</f>
        <v>4</v>
      </c>
      <c r="N302">
        <f ca="1">IF(ISBLANK(Scores_and_Fixtures[[#This Row],[Away Score]])=FALSE,Scores_and_Fixtures[[#This Row],[Away Score]],_xlfn.BINOM.INV(10000,(VLOOKUP(O302,$CK$4:$CM$27,2,FALSE)*VLOOKUP(L302,$CK$4:$CM$27,3,FALSE)*($CM$2/2))/10000,RAND()))</f>
        <v>4</v>
      </c>
      <c r="O302" t="str">
        <f>Scores_and_Fixtures[[#This Row],[Away]]</f>
        <v>Preston</v>
      </c>
      <c r="U302">
        <v>201</v>
      </c>
      <c r="V302">
        <v>18</v>
      </c>
      <c r="W302">
        <v>10</v>
      </c>
      <c r="X302">
        <v>15</v>
      </c>
      <c r="Y302">
        <v>14</v>
      </c>
      <c r="Z302">
        <v>9</v>
      </c>
      <c r="AA302">
        <v>21</v>
      </c>
      <c r="AB302">
        <v>12</v>
      </c>
      <c r="AC302">
        <v>2</v>
      </c>
      <c r="AD302">
        <v>4</v>
      </c>
      <c r="AE302">
        <v>1</v>
      </c>
      <c r="AF302">
        <v>11</v>
      </c>
      <c r="AG302">
        <v>17</v>
      </c>
      <c r="AH302">
        <v>13</v>
      </c>
      <c r="AI302">
        <v>19</v>
      </c>
      <c r="AJ302">
        <v>8</v>
      </c>
      <c r="AK302">
        <v>20</v>
      </c>
      <c r="AL302">
        <v>24</v>
      </c>
      <c r="AM302">
        <v>23</v>
      </c>
      <c r="AN302">
        <v>3</v>
      </c>
      <c r="AO302">
        <v>22</v>
      </c>
      <c r="AP302">
        <v>7</v>
      </c>
      <c r="AQ302">
        <v>16</v>
      </c>
      <c r="AR302">
        <v>6</v>
      </c>
      <c r="AS302">
        <v>5</v>
      </c>
    </row>
    <row r="303" spans="1:45" x14ac:dyDescent="0.25">
      <c r="A303">
        <v>26</v>
      </c>
      <c r="B303" t="s">
        <v>391</v>
      </c>
      <c r="E303" t="s">
        <v>400</v>
      </c>
      <c r="K303">
        <f>Scores_and_Fixtures[[#This Row],[Wk]]</f>
        <v>26</v>
      </c>
      <c r="L303" t="str">
        <f>Scores_and_Fixtures[[#This Row],[Home]]</f>
        <v>Plymouth Argyle</v>
      </c>
      <c r="M303">
        <f ca="1">IF(ISBLANK(Scores_and_Fixtures[[#This Row],[Home Score]])=FALSE,Scores_and_Fixtures[[#This Row],[Home Score]],_xlfn.BINOM.INV(10000,(VLOOKUP(L303,$CK$4:$CM$27,2,FALSE)*VLOOKUP(O303,$CK$4:$CM$27,3,FALSE)*($CM$2/2))/10000,RAND()))</f>
        <v>3</v>
      </c>
      <c r="N303">
        <f ca="1">IF(ISBLANK(Scores_and_Fixtures[[#This Row],[Away Score]])=FALSE,Scores_and_Fixtures[[#This Row],[Away Score]],_xlfn.BINOM.INV(10000,(VLOOKUP(O303,$CK$4:$CM$27,2,FALSE)*VLOOKUP(L303,$CK$4:$CM$27,3,FALSE)*($CM$2/2))/10000,RAND()))</f>
        <v>0</v>
      </c>
      <c r="O303" t="str">
        <f>Scores_and_Fixtures[[#This Row],[Away]]</f>
        <v>Watford</v>
      </c>
      <c r="U303">
        <v>202</v>
      </c>
      <c r="V303">
        <v>18</v>
      </c>
      <c r="W303">
        <v>12</v>
      </c>
      <c r="X303">
        <v>11</v>
      </c>
      <c r="Y303">
        <v>16</v>
      </c>
      <c r="Z303">
        <v>10</v>
      </c>
      <c r="AA303">
        <v>21</v>
      </c>
      <c r="AB303">
        <v>7</v>
      </c>
      <c r="AC303">
        <v>2</v>
      </c>
      <c r="AD303">
        <v>3</v>
      </c>
      <c r="AE303">
        <v>1</v>
      </c>
      <c r="AF303">
        <v>6</v>
      </c>
      <c r="AG303">
        <v>19</v>
      </c>
      <c r="AH303">
        <v>9</v>
      </c>
      <c r="AI303">
        <v>15</v>
      </c>
      <c r="AJ303">
        <v>13</v>
      </c>
      <c r="AK303">
        <v>22</v>
      </c>
      <c r="AL303">
        <v>24</v>
      </c>
      <c r="AM303">
        <v>23</v>
      </c>
      <c r="AN303">
        <v>4</v>
      </c>
      <c r="AO303">
        <v>20</v>
      </c>
      <c r="AP303">
        <v>8</v>
      </c>
      <c r="AQ303">
        <v>17</v>
      </c>
      <c r="AR303">
        <v>14</v>
      </c>
      <c r="AS303">
        <v>5</v>
      </c>
    </row>
    <row r="304" spans="1:45" x14ac:dyDescent="0.25">
      <c r="A304">
        <v>26</v>
      </c>
      <c r="B304" t="s">
        <v>397</v>
      </c>
      <c r="E304" t="s">
        <v>385</v>
      </c>
      <c r="K304">
        <f>Scores_and_Fixtures[[#This Row],[Wk]]</f>
        <v>26</v>
      </c>
      <c r="L304" t="str">
        <f>Scores_and_Fixtures[[#This Row],[Home]]</f>
        <v>Stoke City</v>
      </c>
      <c r="M304">
        <f ca="1">IF(ISBLANK(Scores_and_Fixtures[[#This Row],[Home Score]])=FALSE,Scores_and_Fixtures[[#This Row],[Home Score]],_xlfn.BINOM.INV(10000,(VLOOKUP(L304,$CK$4:$CM$27,2,FALSE)*VLOOKUP(O304,$CK$4:$CM$27,3,FALSE)*($CM$2/2))/10000,RAND()))</f>
        <v>0</v>
      </c>
      <c r="N304">
        <f ca="1">IF(ISBLANK(Scores_and_Fixtures[[#This Row],[Away Score]])=FALSE,Scores_and_Fixtures[[#This Row],[Away Score]],_xlfn.BINOM.INV(10000,(VLOOKUP(O304,$CK$4:$CM$27,2,FALSE)*VLOOKUP(L304,$CK$4:$CM$27,3,FALSE)*($CM$2/2))/10000,RAND()))</f>
        <v>2</v>
      </c>
      <c r="O304" t="str">
        <f>Scores_and_Fixtures[[#This Row],[Away]]</f>
        <v>Ipswich Town</v>
      </c>
      <c r="U304">
        <v>203</v>
      </c>
      <c r="V304">
        <v>19</v>
      </c>
      <c r="W304">
        <v>10</v>
      </c>
      <c r="X304">
        <v>16</v>
      </c>
      <c r="Y304">
        <v>18</v>
      </c>
      <c r="Z304">
        <v>11</v>
      </c>
      <c r="AA304">
        <v>20</v>
      </c>
      <c r="AB304">
        <v>6</v>
      </c>
      <c r="AC304">
        <v>3</v>
      </c>
      <c r="AD304">
        <v>2</v>
      </c>
      <c r="AE304">
        <v>1</v>
      </c>
      <c r="AF304">
        <v>9</v>
      </c>
      <c r="AG304">
        <v>15</v>
      </c>
      <c r="AH304">
        <v>13</v>
      </c>
      <c r="AI304">
        <v>12</v>
      </c>
      <c r="AJ304">
        <v>14</v>
      </c>
      <c r="AK304">
        <v>22</v>
      </c>
      <c r="AL304">
        <v>24</v>
      </c>
      <c r="AM304">
        <v>23</v>
      </c>
      <c r="AN304">
        <v>4</v>
      </c>
      <c r="AO304">
        <v>21</v>
      </c>
      <c r="AP304">
        <v>8</v>
      </c>
      <c r="AQ304">
        <v>17</v>
      </c>
      <c r="AR304">
        <v>5</v>
      </c>
      <c r="AS304">
        <v>7</v>
      </c>
    </row>
    <row r="305" spans="1:45" x14ac:dyDescent="0.25">
      <c r="A305">
        <v>26</v>
      </c>
      <c r="B305" t="s">
        <v>379</v>
      </c>
      <c r="E305" t="s">
        <v>394</v>
      </c>
      <c r="K305">
        <f>Scores_and_Fixtures[[#This Row],[Wk]]</f>
        <v>26</v>
      </c>
      <c r="L305" t="str">
        <f>Scores_and_Fixtures[[#This Row],[Home]]</f>
        <v>Blackburn</v>
      </c>
      <c r="M305">
        <f ca="1">IF(ISBLANK(Scores_and_Fixtures[[#This Row],[Home Score]])=FALSE,Scores_and_Fixtures[[#This Row],[Home Score]],_xlfn.BINOM.INV(10000,(VLOOKUP(L305,$CK$4:$CM$27,2,FALSE)*VLOOKUP(O305,$CK$4:$CM$27,3,FALSE)*($CM$2/2))/10000,RAND()))</f>
        <v>3</v>
      </c>
      <c r="N305">
        <f ca="1">IF(ISBLANK(Scores_and_Fixtures[[#This Row],[Away Score]])=FALSE,Scores_and_Fixtures[[#This Row],[Away Score]],_xlfn.BINOM.INV(10000,(VLOOKUP(O305,$CK$4:$CM$27,2,FALSE)*VLOOKUP(L305,$CK$4:$CM$27,3,FALSE)*($CM$2/2))/10000,RAND()))</f>
        <v>2</v>
      </c>
      <c r="O305" t="str">
        <f>Scores_and_Fixtures[[#This Row],[Away]]</f>
        <v>Rotherham Utd</v>
      </c>
      <c r="U305">
        <v>204</v>
      </c>
      <c r="V305">
        <v>10</v>
      </c>
      <c r="W305">
        <v>7</v>
      </c>
      <c r="X305">
        <v>15</v>
      </c>
      <c r="Y305">
        <v>16</v>
      </c>
      <c r="Z305">
        <v>17</v>
      </c>
      <c r="AA305">
        <v>20</v>
      </c>
      <c r="AB305">
        <v>5</v>
      </c>
      <c r="AC305">
        <v>2</v>
      </c>
      <c r="AD305">
        <v>3</v>
      </c>
      <c r="AE305">
        <v>1</v>
      </c>
      <c r="AF305">
        <v>13</v>
      </c>
      <c r="AG305">
        <v>21</v>
      </c>
      <c r="AH305">
        <v>12</v>
      </c>
      <c r="AI305">
        <v>18</v>
      </c>
      <c r="AJ305">
        <v>11</v>
      </c>
      <c r="AK305">
        <v>22</v>
      </c>
      <c r="AL305">
        <v>24</v>
      </c>
      <c r="AM305">
        <v>23</v>
      </c>
      <c r="AN305">
        <v>4</v>
      </c>
      <c r="AO305">
        <v>19</v>
      </c>
      <c r="AP305">
        <v>9</v>
      </c>
      <c r="AQ305">
        <v>14</v>
      </c>
      <c r="AR305">
        <v>6</v>
      </c>
      <c r="AS305">
        <v>8</v>
      </c>
    </row>
    <row r="306" spans="1:45" x14ac:dyDescent="0.25">
      <c r="A306">
        <v>26</v>
      </c>
      <c r="B306" t="s">
        <v>386</v>
      </c>
      <c r="E306" t="s">
        <v>378</v>
      </c>
      <c r="K306">
        <f>Scores_and_Fixtures[[#This Row],[Wk]]</f>
        <v>26</v>
      </c>
      <c r="L306" t="str">
        <f>Scores_and_Fixtures[[#This Row],[Home]]</f>
        <v>Leeds United</v>
      </c>
      <c r="M306">
        <f ca="1">IF(ISBLANK(Scores_and_Fixtures[[#This Row],[Home Score]])=FALSE,Scores_and_Fixtures[[#This Row],[Home Score]],_xlfn.BINOM.INV(10000,(VLOOKUP(L306,$CK$4:$CM$27,2,FALSE)*VLOOKUP(O306,$CK$4:$CM$27,3,FALSE)*($CM$2/2))/10000,RAND()))</f>
        <v>1</v>
      </c>
      <c r="N306">
        <f ca="1">IF(ISBLANK(Scores_and_Fixtures[[#This Row],[Away Score]])=FALSE,Scores_and_Fixtures[[#This Row],[Away Score]],_xlfn.BINOM.INV(10000,(VLOOKUP(O306,$CK$4:$CM$27,2,FALSE)*VLOOKUP(L306,$CK$4:$CM$27,3,FALSE)*($CM$2/2))/10000,RAND()))</f>
        <v>1</v>
      </c>
      <c r="O306" t="str">
        <f>Scores_and_Fixtures[[#This Row],[Away]]</f>
        <v>Birmingham City</v>
      </c>
      <c r="U306">
        <v>205</v>
      </c>
      <c r="V306">
        <v>16</v>
      </c>
      <c r="W306">
        <v>10</v>
      </c>
      <c r="X306">
        <v>12</v>
      </c>
      <c r="Y306">
        <v>14</v>
      </c>
      <c r="Z306">
        <v>13</v>
      </c>
      <c r="AA306">
        <v>21</v>
      </c>
      <c r="AB306">
        <v>7</v>
      </c>
      <c r="AC306">
        <v>2</v>
      </c>
      <c r="AD306">
        <v>4</v>
      </c>
      <c r="AE306">
        <v>1</v>
      </c>
      <c r="AF306">
        <v>18</v>
      </c>
      <c r="AG306">
        <v>19</v>
      </c>
      <c r="AH306">
        <v>8</v>
      </c>
      <c r="AI306">
        <v>15</v>
      </c>
      <c r="AJ306">
        <v>9</v>
      </c>
      <c r="AK306">
        <v>20</v>
      </c>
      <c r="AL306">
        <v>24</v>
      </c>
      <c r="AM306">
        <v>23</v>
      </c>
      <c r="AN306">
        <v>3</v>
      </c>
      <c r="AO306">
        <v>22</v>
      </c>
      <c r="AP306">
        <v>6</v>
      </c>
      <c r="AQ306">
        <v>17</v>
      </c>
      <c r="AR306">
        <v>11</v>
      </c>
      <c r="AS306">
        <v>5</v>
      </c>
    </row>
    <row r="307" spans="1:45" x14ac:dyDescent="0.25">
      <c r="A307">
        <v>26</v>
      </c>
      <c r="B307" t="s">
        <v>390</v>
      </c>
      <c r="E307" t="s">
        <v>396</v>
      </c>
      <c r="K307">
        <f>Scores_and_Fixtures[[#This Row],[Wk]]</f>
        <v>26</v>
      </c>
      <c r="L307" t="str">
        <f>Scores_and_Fixtures[[#This Row],[Home]]</f>
        <v>Norwich City</v>
      </c>
      <c r="M307">
        <f ca="1">IF(ISBLANK(Scores_and_Fixtures[[#This Row],[Home Score]])=FALSE,Scores_and_Fixtures[[#This Row],[Home Score]],_xlfn.BINOM.INV(10000,(VLOOKUP(L307,$CK$4:$CM$27,2,FALSE)*VLOOKUP(O307,$CK$4:$CM$27,3,FALSE)*($CM$2/2))/10000,RAND()))</f>
        <v>4</v>
      </c>
      <c r="N307">
        <f ca="1">IF(ISBLANK(Scores_and_Fixtures[[#This Row],[Away Score]])=FALSE,Scores_and_Fixtures[[#This Row],[Away Score]],_xlfn.BINOM.INV(10000,(VLOOKUP(O307,$CK$4:$CM$27,2,FALSE)*VLOOKUP(L307,$CK$4:$CM$27,3,FALSE)*($CM$2/2))/10000,RAND()))</f>
        <v>1</v>
      </c>
      <c r="O307" t="str">
        <f>Scores_and_Fixtures[[#This Row],[Away]]</f>
        <v>Southampton</v>
      </c>
      <c r="U307">
        <v>206</v>
      </c>
      <c r="V307">
        <v>14</v>
      </c>
      <c r="W307">
        <v>12</v>
      </c>
      <c r="X307">
        <v>10</v>
      </c>
      <c r="Y307">
        <v>16</v>
      </c>
      <c r="Z307">
        <v>13</v>
      </c>
      <c r="AA307">
        <v>21</v>
      </c>
      <c r="AB307">
        <v>8</v>
      </c>
      <c r="AC307">
        <v>2</v>
      </c>
      <c r="AD307">
        <v>4</v>
      </c>
      <c r="AE307">
        <v>1</v>
      </c>
      <c r="AF307">
        <v>11</v>
      </c>
      <c r="AG307">
        <v>17</v>
      </c>
      <c r="AH307">
        <v>9</v>
      </c>
      <c r="AI307">
        <v>18</v>
      </c>
      <c r="AJ307">
        <v>19</v>
      </c>
      <c r="AK307">
        <v>22</v>
      </c>
      <c r="AL307">
        <v>24</v>
      </c>
      <c r="AM307">
        <v>23</v>
      </c>
      <c r="AN307">
        <v>3</v>
      </c>
      <c r="AO307">
        <v>20</v>
      </c>
      <c r="AP307">
        <v>7</v>
      </c>
      <c r="AQ307">
        <v>15</v>
      </c>
      <c r="AR307">
        <v>6</v>
      </c>
      <c r="AS307">
        <v>5</v>
      </c>
    </row>
    <row r="308" spans="1:45" x14ac:dyDescent="0.25">
      <c r="A308">
        <v>26</v>
      </c>
      <c r="B308" t="s">
        <v>380</v>
      </c>
      <c r="E308" t="s">
        <v>389</v>
      </c>
      <c r="K308">
        <f>Scores_and_Fixtures[[#This Row],[Wk]]</f>
        <v>26</v>
      </c>
      <c r="L308" t="str">
        <f>Scores_and_Fixtures[[#This Row],[Home]]</f>
        <v>Bristol City</v>
      </c>
      <c r="M308">
        <f ca="1">IF(ISBLANK(Scores_and_Fixtures[[#This Row],[Home Score]])=FALSE,Scores_and_Fixtures[[#This Row],[Home Score]],_xlfn.BINOM.INV(10000,(VLOOKUP(L308,$CK$4:$CM$27,2,FALSE)*VLOOKUP(O308,$CK$4:$CM$27,3,FALSE)*($CM$2/2))/10000,RAND()))</f>
        <v>0</v>
      </c>
      <c r="N308">
        <f ca="1">IF(ISBLANK(Scores_and_Fixtures[[#This Row],[Away Score]])=FALSE,Scores_and_Fixtures[[#This Row],[Away Score]],_xlfn.BINOM.INV(10000,(VLOOKUP(O308,$CK$4:$CM$27,2,FALSE)*VLOOKUP(L308,$CK$4:$CM$27,3,FALSE)*($CM$2/2))/10000,RAND()))</f>
        <v>0</v>
      </c>
      <c r="O308" t="str">
        <f>Scores_and_Fixtures[[#This Row],[Away]]</f>
        <v>Millwall</v>
      </c>
      <c r="U308">
        <v>207</v>
      </c>
      <c r="V308">
        <v>17</v>
      </c>
      <c r="W308">
        <v>11</v>
      </c>
      <c r="X308">
        <v>8</v>
      </c>
      <c r="Y308">
        <v>10</v>
      </c>
      <c r="Z308">
        <v>12</v>
      </c>
      <c r="AA308">
        <v>23</v>
      </c>
      <c r="AB308">
        <v>7</v>
      </c>
      <c r="AC308">
        <v>1</v>
      </c>
      <c r="AD308">
        <v>5</v>
      </c>
      <c r="AE308">
        <v>2</v>
      </c>
      <c r="AF308">
        <v>13</v>
      </c>
      <c r="AG308">
        <v>19</v>
      </c>
      <c r="AH308">
        <v>9</v>
      </c>
      <c r="AI308">
        <v>18</v>
      </c>
      <c r="AJ308">
        <v>16</v>
      </c>
      <c r="AK308">
        <v>21</v>
      </c>
      <c r="AL308">
        <v>22</v>
      </c>
      <c r="AM308">
        <v>24</v>
      </c>
      <c r="AN308">
        <v>3</v>
      </c>
      <c r="AO308">
        <v>20</v>
      </c>
      <c r="AP308">
        <v>14</v>
      </c>
      <c r="AQ308">
        <v>15</v>
      </c>
      <c r="AR308">
        <v>6</v>
      </c>
      <c r="AS308">
        <v>4</v>
      </c>
    </row>
    <row r="309" spans="1:45" x14ac:dyDescent="0.25">
      <c r="A309">
        <v>26</v>
      </c>
      <c r="B309" t="s">
        <v>388</v>
      </c>
      <c r="E309" t="s">
        <v>382</v>
      </c>
      <c r="K309">
        <f>Scores_and_Fixtures[[#This Row],[Wk]]</f>
        <v>26</v>
      </c>
      <c r="L309" t="str">
        <f>Scores_and_Fixtures[[#This Row],[Home]]</f>
        <v>Middlesbrough</v>
      </c>
      <c r="M309">
        <f ca="1">IF(ISBLANK(Scores_and_Fixtures[[#This Row],[Home Score]])=FALSE,Scores_and_Fixtures[[#This Row],[Home Score]],_xlfn.BINOM.INV(10000,(VLOOKUP(L309,$CK$4:$CM$27,2,FALSE)*VLOOKUP(O309,$CK$4:$CM$27,3,FALSE)*($CM$2/2))/10000,RAND()))</f>
        <v>2</v>
      </c>
      <c r="N309">
        <f ca="1">IF(ISBLANK(Scores_and_Fixtures[[#This Row],[Away Score]])=FALSE,Scores_and_Fixtures[[#This Row],[Away Score]],_xlfn.BINOM.INV(10000,(VLOOKUP(O309,$CK$4:$CM$27,2,FALSE)*VLOOKUP(L309,$CK$4:$CM$27,3,FALSE)*($CM$2/2))/10000,RAND()))</f>
        <v>1</v>
      </c>
      <c r="O309" t="str">
        <f>Scores_and_Fixtures[[#This Row],[Away]]</f>
        <v>Coventry City</v>
      </c>
      <c r="U309">
        <v>208</v>
      </c>
      <c r="V309">
        <v>12</v>
      </c>
      <c r="W309">
        <v>13</v>
      </c>
      <c r="X309">
        <v>14</v>
      </c>
      <c r="Y309">
        <v>6</v>
      </c>
      <c r="Z309">
        <v>16</v>
      </c>
      <c r="AA309">
        <v>19</v>
      </c>
      <c r="AB309">
        <v>8</v>
      </c>
      <c r="AC309">
        <v>2</v>
      </c>
      <c r="AD309">
        <v>5</v>
      </c>
      <c r="AE309">
        <v>1</v>
      </c>
      <c r="AF309">
        <v>9</v>
      </c>
      <c r="AG309">
        <v>20</v>
      </c>
      <c r="AH309">
        <v>11</v>
      </c>
      <c r="AI309">
        <v>18</v>
      </c>
      <c r="AJ309">
        <v>15</v>
      </c>
      <c r="AK309">
        <v>22</v>
      </c>
      <c r="AL309">
        <v>24</v>
      </c>
      <c r="AM309">
        <v>23</v>
      </c>
      <c r="AN309">
        <v>3</v>
      </c>
      <c r="AO309">
        <v>21</v>
      </c>
      <c r="AP309">
        <v>7</v>
      </c>
      <c r="AQ309">
        <v>17</v>
      </c>
      <c r="AR309">
        <v>10</v>
      </c>
      <c r="AS309">
        <v>4</v>
      </c>
    </row>
    <row r="310" spans="1:45" x14ac:dyDescent="0.25">
      <c r="A310">
        <v>26</v>
      </c>
      <c r="B310" t="s">
        <v>387</v>
      </c>
      <c r="E310" t="s">
        <v>383</v>
      </c>
      <c r="K310">
        <f>Scores_and_Fixtures[[#This Row],[Wk]]</f>
        <v>26</v>
      </c>
      <c r="L310" t="str">
        <f>Scores_and_Fixtures[[#This Row],[Home]]</f>
        <v>Leicester City</v>
      </c>
      <c r="M310">
        <f ca="1">IF(ISBLANK(Scores_and_Fixtures[[#This Row],[Home Score]])=FALSE,Scores_and_Fixtures[[#This Row],[Home Score]],_xlfn.BINOM.INV(10000,(VLOOKUP(L310,$CK$4:$CM$27,2,FALSE)*VLOOKUP(O310,$CK$4:$CM$27,3,FALSE)*($CM$2/2))/10000,RAND()))</f>
        <v>1</v>
      </c>
      <c r="N310">
        <f ca="1">IF(ISBLANK(Scores_and_Fixtures[[#This Row],[Away Score]])=FALSE,Scores_and_Fixtures[[#This Row],[Away Score]],_xlfn.BINOM.INV(10000,(VLOOKUP(O310,$CK$4:$CM$27,2,FALSE)*VLOOKUP(L310,$CK$4:$CM$27,3,FALSE)*($CM$2/2))/10000,RAND()))</f>
        <v>0</v>
      </c>
      <c r="O310" t="str">
        <f>Scores_and_Fixtures[[#This Row],[Away]]</f>
        <v>Huddersfield</v>
      </c>
      <c r="U310">
        <v>209</v>
      </c>
      <c r="V310">
        <v>18</v>
      </c>
      <c r="W310">
        <v>14</v>
      </c>
      <c r="X310">
        <v>16</v>
      </c>
      <c r="Y310">
        <v>12</v>
      </c>
      <c r="Z310">
        <v>9</v>
      </c>
      <c r="AA310">
        <v>21</v>
      </c>
      <c r="AB310">
        <v>4</v>
      </c>
      <c r="AC310">
        <v>2</v>
      </c>
      <c r="AD310">
        <v>3</v>
      </c>
      <c r="AE310">
        <v>1</v>
      </c>
      <c r="AF310">
        <v>10</v>
      </c>
      <c r="AG310">
        <v>20</v>
      </c>
      <c r="AH310">
        <v>11</v>
      </c>
      <c r="AI310">
        <v>17</v>
      </c>
      <c r="AJ310">
        <v>15</v>
      </c>
      <c r="AK310">
        <v>22</v>
      </c>
      <c r="AL310">
        <v>24</v>
      </c>
      <c r="AM310">
        <v>23</v>
      </c>
      <c r="AN310">
        <v>5</v>
      </c>
      <c r="AO310">
        <v>19</v>
      </c>
      <c r="AP310">
        <v>8</v>
      </c>
      <c r="AQ310">
        <v>13</v>
      </c>
      <c r="AR310">
        <v>7</v>
      </c>
      <c r="AS310">
        <v>6</v>
      </c>
    </row>
    <row r="311" spans="1:45" x14ac:dyDescent="0.25">
      <c r="A311">
        <v>26</v>
      </c>
      <c r="B311" t="s">
        <v>399</v>
      </c>
      <c r="E311" t="s">
        <v>401</v>
      </c>
      <c r="K311">
        <f>Scores_and_Fixtures[[#This Row],[Wk]]</f>
        <v>26</v>
      </c>
      <c r="L311" t="str">
        <f>Scores_and_Fixtures[[#This Row],[Home]]</f>
        <v>Swansea City</v>
      </c>
      <c r="M311">
        <f ca="1">IF(ISBLANK(Scores_and_Fixtures[[#This Row],[Home Score]])=FALSE,Scores_and_Fixtures[[#This Row],[Home Score]],_xlfn.BINOM.INV(10000,(VLOOKUP(L311,$CK$4:$CM$27,2,FALSE)*VLOOKUP(O311,$CK$4:$CM$27,3,FALSE)*($CM$2/2))/10000,RAND()))</f>
        <v>0</v>
      </c>
      <c r="N311">
        <f ca="1">IF(ISBLANK(Scores_and_Fixtures[[#This Row],[Away Score]])=FALSE,Scores_and_Fixtures[[#This Row],[Away Score]],_xlfn.BINOM.INV(10000,(VLOOKUP(O311,$CK$4:$CM$27,2,FALSE)*VLOOKUP(L311,$CK$4:$CM$27,3,FALSE)*($CM$2/2))/10000,RAND()))</f>
        <v>2</v>
      </c>
      <c r="O311" t="str">
        <f>Scores_and_Fixtures[[#This Row],[Away]]</f>
        <v>West Brom</v>
      </c>
      <c r="U311">
        <v>210</v>
      </c>
      <c r="V311">
        <v>17</v>
      </c>
      <c r="W311">
        <v>13</v>
      </c>
      <c r="X311">
        <v>15</v>
      </c>
      <c r="Y311">
        <v>11</v>
      </c>
      <c r="Z311">
        <v>16</v>
      </c>
      <c r="AA311">
        <v>22</v>
      </c>
      <c r="AB311">
        <v>4</v>
      </c>
      <c r="AC311">
        <v>2</v>
      </c>
      <c r="AD311">
        <v>3</v>
      </c>
      <c r="AE311">
        <v>1</v>
      </c>
      <c r="AF311">
        <v>10</v>
      </c>
      <c r="AG311">
        <v>21</v>
      </c>
      <c r="AH311">
        <v>12</v>
      </c>
      <c r="AI311">
        <v>18</v>
      </c>
      <c r="AJ311">
        <v>9</v>
      </c>
      <c r="AK311">
        <v>19</v>
      </c>
      <c r="AL311">
        <v>24</v>
      </c>
      <c r="AM311">
        <v>23</v>
      </c>
      <c r="AN311">
        <v>7</v>
      </c>
      <c r="AO311">
        <v>20</v>
      </c>
      <c r="AP311">
        <v>8</v>
      </c>
      <c r="AQ311">
        <v>14</v>
      </c>
      <c r="AR311">
        <v>5</v>
      </c>
      <c r="AS311">
        <v>6</v>
      </c>
    </row>
    <row r="312" spans="1:45" x14ac:dyDescent="0.25">
      <c r="A312">
        <v>26</v>
      </c>
      <c r="B312" t="s">
        <v>393</v>
      </c>
      <c r="E312" t="s">
        <v>381</v>
      </c>
      <c r="K312">
        <f>Scores_and_Fixtures[[#This Row],[Wk]]</f>
        <v>26</v>
      </c>
      <c r="L312" t="str">
        <f>Scores_and_Fixtures[[#This Row],[Home]]</f>
        <v>QPR</v>
      </c>
      <c r="M312">
        <f ca="1">IF(ISBLANK(Scores_and_Fixtures[[#This Row],[Home Score]])=FALSE,Scores_and_Fixtures[[#This Row],[Home Score]],_xlfn.BINOM.INV(10000,(VLOOKUP(L312,$CK$4:$CM$27,2,FALSE)*VLOOKUP(O312,$CK$4:$CM$27,3,FALSE)*($CM$2/2))/10000,RAND()))</f>
        <v>0</v>
      </c>
      <c r="N312">
        <f ca="1">IF(ISBLANK(Scores_and_Fixtures[[#This Row],[Away Score]])=FALSE,Scores_and_Fixtures[[#This Row],[Away Score]],_xlfn.BINOM.INV(10000,(VLOOKUP(O312,$CK$4:$CM$27,2,FALSE)*VLOOKUP(L312,$CK$4:$CM$27,3,FALSE)*($CM$2/2))/10000,RAND()))</f>
        <v>1</v>
      </c>
      <c r="O312" t="str">
        <f>Scores_and_Fixtures[[#This Row],[Away]]</f>
        <v>Cardiff City</v>
      </c>
      <c r="U312">
        <v>211</v>
      </c>
      <c r="V312">
        <v>7</v>
      </c>
      <c r="W312">
        <v>11</v>
      </c>
      <c r="X312">
        <v>13</v>
      </c>
      <c r="Y312">
        <v>15</v>
      </c>
      <c r="Z312">
        <v>16</v>
      </c>
      <c r="AA312">
        <v>23</v>
      </c>
      <c r="AB312">
        <v>6</v>
      </c>
      <c r="AC312">
        <v>2</v>
      </c>
      <c r="AD312">
        <v>4</v>
      </c>
      <c r="AE312">
        <v>1</v>
      </c>
      <c r="AF312">
        <v>18</v>
      </c>
      <c r="AG312">
        <v>20</v>
      </c>
      <c r="AH312">
        <v>12</v>
      </c>
      <c r="AI312">
        <v>10</v>
      </c>
      <c r="AJ312">
        <v>8</v>
      </c>
      <c r="AK312">
        <v>22</v>
      </c>
      <c r="AL312">
        <v>24</v>
      </c>
      <c r="AM312">
        <v>21</v>
      </c>
      <c r="AN312">
        <v>3</v>
      </c>
      <c r="AO312">
        <v>17</v>
      </c>
      <c r="AP312">
        <v>14</v>
      </c>
      <c r="AQ312">
        <v>19</v>
      </c>
      <c r="AR312">
        <v>9</v>
      </c>
      <c r="AS312">
        <v>5</v>
      </c>
    </row>
    <row r="313" spans="1:45" x14ac:dyDescent="0.25">
      <c r="A313">
        <v>26</v>
      </c>
      <c r="B313" t="s">
        <v>395</v>
      </c>
      <c r="E313" t="s">
        <v>384</v>
      </c>
      <c r="K313">
        <f>Scores_and_Fixtures[[#This Row],[Wk]]</f>
        <v>26</v>
      </c>
      <c r="L313" t="str">
        <f>Scores_and_Fixtures[[#This Row],[Home]]</f>
        <v>Sheffield Weds</v>
      </c>
      <c r="M313">
        <f ca="1">IF(ISBLANK(Scores_and_Fixtures[[#This Row],[Home Score]])=FALSE,Scores_and_Fixtures[[#This Row],[Home Score]],_xlfn.BINOM.INV(10000,(VLOOKUP(L313,$CK$4:$CM$27,2,FALSE)*VLOOKUP(O313,$CK$4:$CM$27,3,FALSE)*($CM$2/2))/10000,RAND()))</f>
        <v>0</v>
      </c>
      <c r="N313">
        <f ca="1">IF(ISBLANK(Scores_and_Fixtures[[#This Row],[Away Score]])=FALSE,Scores_and_Fixtures[[#This Row],[Away Score]],_xlfn.BINOM.INV(10000,(VLOOKUP(O313,$CK$4:$CM$27,2,FALSE)*VLOOKUP(L313,$CK$4:$CM$27,3,FALSE)*($CM$2/2))/10000,RAND()))</f>
        <v>0</v>
      </c>
      <c r="O313" t="str">
        <f>Scores_and_Fixtures[[#This Row],[Away]]</f>
        <v>Hull City</v>
      </c>
      <c r="U313">
        <v>212</v>
      </c>
      <c r="V313">
        <v>13</v>
      </c>
      <c r="W313">
        <v>11</v>
      </c>
      <c r="X313">
        <v>15</v>
      </c>
      <c r="Y313">
        <v>9</v>
      </c>
      <c r="Z313">
        <v>18</v>
      </c>
      <c r="AA313">
        <v>20</v>
      </c>
      <c r="AB313">
        <v>8</v>
      </c>
      <c r="AC313">
        <v>2</v>
      </c>
      <c r="AD313">
        <v>3</v>
      </c>
      <c r="AE313">
        <v>1</v>
      </c>
      <c r="AF313">
        <v>12</v>
      </c>
      <c r="AG313">
        <v>17</v>
      </c>
      <c r="AH313">
        <v>10</v>
      </c>
      <c r="AI313">
        <v>16</v>
      </c>
      <c r="AJ313">
        <v>14</v>
      </c>
      <c r="AK313">
        <v>22</v>
      </c>
      <c r="AL313">
        <v>24</v>
      </c>
      <c r="AM313">
        <v>23</v>
      </c>
      <c r="AN313">
        <v>4</v>
      </c>
      <c r="AO313">
        <v>21</v>
      </c>
      <c r="AP313">
        <v>6</v>
      </c>
      <c r="AQ313">
        <v>19</v>
      </c>
      <c r="AR313">
        <v>7</v>
      </c>
      <c r="AS313">
        <v>5</v>
      </c>
    </row>
    <row r="314" spans="1:45" x14ac:dyDescent="0.25">
      <c r="A314">
        <v>27</v>
      </c>
      <c r="B314" t="s">
        <v>382</v>
      </c>
      <c r="E314" t="s">
        <v>387</v>
      </c>
      <c r="K314">
        <f>Scores_and_Fixtures[[#This Row],[Wk]]</f>
        <v>27</v>
      </c>
      <c r="L314" t="str">
        <f>Scores_and_Fixtures[[#This Row],[Home]]</f>
        <v>Coventry City</v>
      </c>
      <c r="M314">
        <f ca="1">IF(ISBLANK(Scores_and_Fixtures[[#This Row],[Home Score]])=FALSE,Scores_and_Fixtures[[#This Row],[Home Score]],_xlfn.BINOM.INV(10000,(VLOOKUP(L314,$CK$4:$CM$27,2,FALSE)*VLOOKUP(O314,$CK$4:$CM$27,3,FALSE)*($CM$2/2))/10000,RAND()))</f>
        <v>1</v>
      </c>
      <c r="N314">
        <f ca="1">IF(ISBLANK(Scores_and_Fixtures[[#This Row],[Away Score]])=FALSE,Scores_and_Fixtures[[#This Row],[Away Score]],_xlfn.BINOM.INV(10000,(VLOOKUP(O314,$CK$4:$CM$27,2,FALSE)*VLOOKUP(L314,$CK$4:$CM$27,3,FALSE)*($CM$2/2))/10000,RAND()))</f>
        <v>3</v>
      </c>
      <c r="O314" t="str">
        <f>Scores_and_Fixtures[[#This Row],[Away]]</f>
        <v>Leicester City</v>
      </c>
      <c r="U314">
        <v>213</v>
      </c>
      <c r="V314">
        <v>16</v>
      </c>
      <c r="W314">
        <v>8</v>
      </c>
      <c r="X314">
        <v>17</v>
      </c>
      <c r="Y314">
        <v>13</v>
      </c>
      <c r="Z314">
        <v>11</v>
      </c>
      <c r="AA314">
        <v>21</v>
      </c>
      <c r="AB314">
        <v>5</v>
      </c>
      <c r="AC314">
        <v>2</v>
      </c>
      <c r="AD314">
        <v>3</v>
      </c>
      <c r="AE314">
        <v>1</v>
      </c>
      <c r="AF314">
        <v>15</v>
      </c>
      <c r="AG314">
        <v>19</v>
      </c>
      <c r="AH314">
        <v>9</v>
      </c>
      <c r="AI314">
        <v>14</v>
      </c>
      <c r="AJ314">
        <v>10</v>
      </c>
      <c r="AK314">
        <v>22</v>
      </c>
      <c r="AL314">
        <v>24</v>
      </c>
      <c r="AM314">
        <v>23</v>
      </c>
      <c r="AN314">
        <v>4</v>
      </c>
      <c r="AO314">
        <v>20</v>
      </c>
      <c r="AP314">
        <v>12</v>
      </c>
      <c r="AQ314">
        <v>18</v>
      </c>
      <c r="AR314">
        <v>7</v>
      </c>
      <c r="AS314">
        <v>6</v>
      </c>
    </row>
    <row r="315" spans="1:45" x14ac:dyDescent="0.25">
      <c r="A315">
        <v>27</v>
      </c>
      <c r="B315" t="s">
        <v>394</v>
      </c>
      <c r="E315" t="s">
        <v>397</v>
      </c>
      <c r="K315">
        <f>Scores_and_Fixtures[[#This Row],[Wk]]</f>
        <v>27</v>
      </c>
      <c r="L315" t="str">
        <f>Scores_and_Fixtures[[#This Row],[Home]]</f>
        <v>Rotherham Utd</v>
      </c>
      <c r="M315">
        <f ca="1">IF(ISBLANK(Scores_and_Fixtures[[#This Row],[Home Score]])=FALSE,Scores_and_Fixtures[[#This Row],[Home Score]],_xlfn.BINOM.INV(10000,(VLOOKUP(L315,$CK$4:$CM$27,2,FALSE)*VLOOKUP(O315,$CK$4:$CM$27,3,FALSE)*($CM$2/2))/10000,RAND()))</f>
        <v>3</v>
      </c>
      <c r="N315">
        <f ca="1">IF(ISBLANK(Scores_and_Fixtures[[#This Row],[Away Score]])=FALSE,Scores_and_Fixtures[[#This Row],[Away Score]],_xlfn.BINOM.INV(10000,(VLOOKUP(O315,$CK$4:$CM$27,2,FALSE)*VLOOKUP(L315,$CK$4:$CM$27,3,FALSE)*($CM$2/2))/10000,RAND()))</f>
        <v>1</v>
      </c>
      <c r="O315" t="str">
        <f>Scores_and_Fixtures[[#This Row],[Away]]</f>
        <v>Stoke City</v>
      </c>
      <c r="U315">
        <v>214</v>
      </c>
      <c r="V315">
        <v>17</v>
      </c>
      <c r="W315">
        <v>5</v>
      </c>
      <c r="X315">
        <v>10</v>
      </c>
      <c r="Y315">
        <v>13</v>
      </c>
      <c r="Z315">
        <v>11</v>
      </c>
      <c r="AA315">
        <v>22</v>
      </c>
      <c r="AB315">
        <v>12</v>
      </c>
      <c r="AC315">
        <v>2</v>
      </c>
      <c r="AD315">
        <v>4</v>
      </c>
      <c r="AE315">
        <v>1</v>
      </c>
      <c r="AF315">
        <v>15</v>
      </c>
      <c r="AG315">
        <v>19</v>
      </c>
      <c r="AH315">
        <v>14</v>
      </c>
      <c r="AI315">
        <v>16</v>
      </c>
      <c r="AJ315">
        <v>9</v>
      </c>
      <c r="AK315">
        <v>21</v>
      </c>
      <c r="AL315">
        <v>23</v>
      </c>
      <c r="AM315">
        <v>24</v>
      </c>
      <c r="AN315">
        <v>3</v>
      </c>
      <c r="AO315">
        <v>20</v>
      </c>
      <c r="AP315">
        <v>6</v>
      </c>
      <c r="AQ315">
        <v>18</v>
      </c>
      <c r="AR315">
        <v>7</v>
      </c>
      <c r="AS315">
        <v>8</v>
      </c>
    </row>
    <row r="316" spans="1:45" x14ac:dyDescent="0.25">
      <c r="A316">
        <v>27</v>
      </c>
      <c r="B316" t="s">
        <v>392</v>
      </c>
      <c r="E316" t="s">
        <v>380</v>
      </c>
      <c r="K316">
        <f>Scores_and_Fixtures[[#This Row],[Wk]]</f>
        <v>27</v>
      </c>
      <c r="L316" t="str">
        <f>Scores_and_Fixtures[[#This Row],[Home]]</f>
        <v>Preston</v>
      </c>
      <c r="M316">
        <f ca="1">IF(ISBLANK(Scores_and_Fixtures[[#This Row],[Home Score]])=FALSE,Scores_and_Fixtures[[#This Row],[Home Score]],_xlfn.BINOM.INV(10000,(VLOOKUP(L316,$CK$4:$CM$27,2,FALSE)*VLOOKUP(O316,$CK$4:$CM$27,3,FALSE)*($CM$2/2))/10000,RAND()))</f>
        <v>1</v>
      </c>
      <c r="N316">
        <f ca="1">IF(ISBLANK(Scores_and_Fixtures[[#This Row],[Away Score]])=FALSE,Scores_and_Fixtures[[#This Row],[Away Score]],_xlfn.BINOM.INV(10000,(VLOOKUP(O316,$CK$4:$CM$27,2,FALSE)*VLOOKUP(L316,$CK$4:$CM$27,3,FALSE)*($CM$2/2))/10000,RAND()))</f>
        <v>0</v>
      </c>
      <c r="O316" t="str">
        <f>Scores_and_Fixtures[[#This Row],[Away]]</f>
        <v>Bristol City</v>
      </c>
      <c r="U316">
        <v>215</v>
      </c>
      <c r="V316">
        <v>11</v>
      </c>
      <c r="W316">
        <v>16</v>
      </c>
      <c r="X316">
        <v>15</v>
      </c>
      <c r="Y316">
        <v>10</v>
      </c>
      <c r="Z316">
        <v>19</v>
      </c>
      <c r="AA316">
        <v>21</v>
      </c>
      <c r="AB316">
        <v>3</v>
      </c>
      <c r="AC316">
        <v>2</v>
      </c>
      <c r="AD316">
        <v>5</v>
      </c>
      <c r="AE316">
        <v>1</v>
      </c>
      <c r="AF316">
        <v>14</v>
      </c>
      <c r="AG316">
        <v>18</v>
      </c>
      <c r="AH316">
        <v>7</v>
      </c>
      <c r="AI316">
        <v>20</v>
      </c>
      <c r="AJ316">
        <v>12</v>
      </c>
      <c r="AK316">
        <v>22</v>
      </c>
      <c r="AL316">
        <v>24</v>
      </c>
      <c r="AM316">
        <v>23</v>
      </c>
      <c r="AN316">
        <v>6</v>
      </c>
      <c r="AO316">
        <v>17</v>
      </c>
      <c r="AP316">
        <v>9</v>
      </c>
      <c r="AQ316">
        <v>13</v>
      </c>
      <c r="AR316">
        <v>8</v>
      </c>
      <c r="AS316">
        <v>4</v>
      </c>
    </row>
    <row r="317" spans="1:45" x14ac:dyDescent="0.25">
      <c r="A317">
        <v>27</v>
      </c>
      <c r="B317" t="s">
        <v>385</v>
      </c>
      <c r="E317" t="s">
        <v>398</v>
      </c>
      <c r="K317">
        <f>Scores_and_Fixtures[[#This Row],[Wk]]</f>
        <v>27</v>
      </c>
      <c r="L317" t="str">
        <f>Scores_and_Fixtures[[#This Row],[Home]]</f>
        <v>Ipswich Town</v>
      </c>
      <c r="M317">
        <f ca="1">IF(ISBLANK(Scores_and_Fixtures[[#This Row],[Home Score]])=FALSE,Scores_and_Fixtures[[#This Row],[Home Score]],_xlfn.BINOM.INV(10000,(VLOOKUP(L317,$CK$4:$CM$27,2,FALSE)*VLOOKUP(O317,$CK$4:$CM$27,3,FALSE)*($CM$2/2))/10000,RAND()))</f>
        <v>4</v>
      </c>
      <c r="N317">
        <f ca="1">IF(ISBLANK(Scores_and_Fixtures[[#This Row],[Away Score]])=FALSE,Scores_and_Fixtures[[#This Row],[Away Score]],_xlfn.BINOM.INV(10000,(VLOOKUP(O317,$CK$4:$CM$27,2,FALSE)*VLOOKUP(L317,$CK$4:$CM$27,3,FALSE)*($CM$2/2))/10000,RAND()))</f>
        <v>0</v>
      </c>
      <c r="O317" t="str">
        <f>Scores_and_Fixtures[[#This Row],[Away]]</f>
        <v>Sunderland</v>
      </c>
      <c r="U317">
        <v>216</v>
      </c>
      <c r="V317">
        <v>19</v>
      </c>
      <c r="W317">
        <v>8</v>
      </c>
      <c r="X317">
        <v>12</v>
      </c>
      <c r="Y317">
        <v>10</v>
      </c>
      <c r="Z317">
        <v>13</v>
      </c>
      <c r="AA317">
        <v>20</v>
      </c>
      <c r="AB317">
        <v>4</v>
      </c>
      <c r="AC317">
        <v>1</v>
      </c>
      <c r="AD317">
        <v>3</v>
      </c>
      <c r="AE317">
        <v>2</v>
      </c>
      <c r="AF317">
        <v>9</v>
      </c>
      <c r="AG317">
        <v>22</v>
      </c>
      <c r="AH317">
        <v>16</v>
      </c>
      <c r="AI317">
        <v>17</v>
      </c>
      <c r="AJ317">
        <v>14</v>
      </c>
      <c r="AK317">
        <v>18</v>
      </c>
      <c r="AL317">
        <v>24</v>
      </c>
      <c r="AM317">
        <v>23</v>
      </c>
      <c r="AN317">
        <v>5</v>
      </c>
      <c r="AO317">
        <v>21</v>
      </c>
      <c r="AP317">
        <v>11</v>
      </c>
      <c r="AQ317">
        <v>15</v>
      </c>
      <c r="AR317">
        <v>7</v>
      </c>
      <c r="AS317">
        <v>6</v>
      </c>
    </row>
    <row r="318" spans="1:45" x14ac:dyDescent="0.25">
      <c r="A318">
        <v>27</v>
      </c>
      <c r="B318" t="s">
        <v>393</v>
      </c>
      <c r="E318" t="s">
        <v>400</v>
      </c>
      <c r="K318">
        <f>Scores_and_Fixtures[[#This Row],[Wk]]</f>
        <v>27</v>
      </c>
      <c r="L318" t="str">
        <f>Scores_and_Fixtures[[#This Row],[Home]]</f>
        <v>QPR</v>
      </c>
      <c r="M318">
        <f ca="1">IF(ISBLANK(Scores_and_Fixtures[[#This Row],[Home Score]])=FALSE,Scores_and_Fixtures[[#This Row],[Home Score]],_xlfn.BINOM.INV(10000,(VLOOKUP(L318,$CK$4:$CM$27,2,FALSE)*VLOOKUP(O318,$CK$4:$CM$27,3,FALSE)*($CM$2/2))/10000,RAND()))</f>
        <v>0</v>
      </c>
      <c r="N318">
        <f ca="1">IF(ISBLANK(Scores_and_Fixtures[[#This Row],[Away Score]])=FALSE,Scores_and_Fixtures[[#This Row],[Away Score]],_xlfn.BINOM.INV(10000,(VLOOKUP(O318,$CK$4:$CM$27,2,FALSE)*VLOOKUP(L318,$CK$4:$CM$27,3,FALSE)*($CM$2/2))/10000,RAND()))</f>
        <v>2</v>
      </c>
      <c r="O318" t="str">
        <f>Scores_and_Fixtures[[#This Row],[Away]]</f>
        <v>Watford</v>
      </c>
      <c r="U318">
        <v>217</v>
      </c>
      <c r="V318">
        <v>15</v>
      </c>
      <c r="W318">
        <v>13</v>
      </c>
      <c r="X318">
        <v>12</v>
      </c>
      <c r="Y318">
        <v>17</v>
      </c>
      <c r="Z318">
        <v>16</v>
      </c>
      <c r="AA318">
        <v>20</v>
      </c>
      <c r="AB318">
        <v>7</v>
      </c>
      <c r="AC318">
        <v>2</v>
      </c>
      <c r="AD318">
        <v>4</v>
      </c>
      <c r="AE318">
        <v>1</v>
      </c>
      <c r="AF318">
        <v>11</v>
      </c>
      <c r="AG318">
        <v>21</v>
      </c>
      <c r="AH318">
        <v>8</v>
      </c>
      <c r="AI318">
        <v>19</v>
      </c>
      <c r="AJ318">
        <v>9</v>
      </c>
      <c r="AK318">
        <v>22</v>
      </c>
      <c r="AL318">
        <v>24</v>
      </c>
      <c r="AM318">
        <v>23</v>
      </c>
      <c r="AN318">
        <v>3</v>
      </c>
      <c r="AO318">
        <v>18</v>
      </c>
      <c r="AP318">
        <v>5</v>
      </c>
      <c r="AQ318">
        <v>14</v>
      </c>
      <c r="AR318">
        <v>10</v>
      </c>
      <c r="AS318">
        <v>6</v>
      </c>
    </row>
    <row r="319" spans="1:45" x14ac:dyDescent="0.25">
      <c r="A319">
        <v>27</v>
      </c>
      <c r="B319" t="s">
        <v>396</v>
      </c>
      <c r="E319" t="s">
        <v>395</v>
      </c>
      <c r="K319">
        <f>Scores_and_Fixtures[[#This Row],[Wk]]</f>
        <v>27</v>
      </c>
      <c r="L319" t="str">
        <f>Scores_and_Fixtures[[#This Row],[Home]]</f>
        <v>Southampton</v>
      </c>
      <c r="M319">
        <f ca="1">IF(ISBLANK(Scores_and_Fixtures[[#This Row],[Home Score]])=FALSE,Scores_and_Fixtures[[#This Row],[Home Score]],_xlfn.BINOM.INV(10000,(VLOOKUP(L319,$CK$4:$CM$27,2,FALSE)*VLOOKUP(O319,$CK$4:$CM$27,3,FALSE)*($CM$2/2))/10000,RAND()))</f>
        <v>0</v>
      </c>
      <c r="N319">
        <f ca="1">IF(ISBLANK(Scores_and_Fixtures[[#This Row],[Away Score]])=FALSE,Scores_and_Fixtures[[#This Row],[Away Score]],_xlfn.BINOM.INV(10000,(VLOOKUP(O319,$CK$4:$CM$27,2,FALSE)*VLOOKUP(L319,$CK$4:$CM$27,3,FALSE)*($CM$2/2))/10000,RAND()))</f>
        <v>0</v>
      </c>
      <c r="O319" t="str">
        <f>Scores_and_Fixtures[[#This Row],[Away]]</f>
        <v>Sheffield Weds</v>
      </c>
      <c r="U319">
        <v>218</v>
      </c>
      <c r="V319">
        <v>17</v>
      </c>
      <c r="W319">
        <v>8</v>
      </c>
      <c r="X319">
        <v>14</v>
      </c>
      <c r="Y319">
        <v>12</v>
      </c>
      <c r="Z319">
        <v>16</v>
      </c>
      <c r="AA319">
        <v>20</v>
      </c>
      <c r="AB319">
        <v>5</v>
      </c>
      <c r="AC319">
        <v>3</v>
      </c>
      <c r="AD319">
        <v>2</v>
      </c>
      <c r="AE319">
        <v>1</v>
      </c>
      <c r="AF319">
        <v>11</v>
      </c>
      <c r="AG319">
        <v>22</v>
      </c>
      <c r="AH319">
        <v>9</v>
      </c>
      <c r="AI319">
        <v>15</v>
      </c>
      <c r="AJ319">
        <v>13</v>
      </c>
      <c r="AK319">
        <v>19</v>
      </c>
      <c r="AL319">
        <v>24</v>
      </c>
      <c r="AM319">
        <v>23</v>
      </c>
      <c r="AN319">
        <v>4</v>
      </c>
      <c r="AO319">
        <v>21</v>
      </c>
      <c r="AP319">
        <v>6</v>
      </c>
      <c r="AQ319">
        <v>18</v>
      </c>
      <c r="AR319">
        <v>10</v>
      </c>
      <c r="AS319">
        <v>7</v>
      </c>
    </row>
    <row r="320" spans="1:45" x14ac:dyDescent="0.25">
      <c r="A320">
        <v>27</v>
      </c>
      <c r="B320" t="s">
        <v>384</v>
      </c>
      <c r="E320" t="s">
        <v>390</v>
      </c>
      <c r="K320">
        <f>Scores_and_Fixtures[[#This Row],[Wk]]</f>
        <v>27</v>
      </c>
      <c r="L320" t="str">
        <f>Scores_and_Fixtures[[#This Row],[Home]]</f>
        <v>Hull City</v>
      </c>
      <c r="M320">
        <f ca="1">IF(ISBLANK(Scores_and_Fixtures[[#This Row],[Home Score]])=FALSE,Scores_and_Fixtures[[#This Row],[Home Score]],_xlfn.BINOM.INV(10000,(VLOOKUP(L320,$CK$4:$CM$27,2,FALSE)*VLOOKUP(O320,$CK$4:$CM$27,3,FALSE)*($CM$2/2))/10000,RAND()))</f>
        <v>5</v>
      </c>
      <c r="N320">
        <f ca="1">IF(ISBLANK(Scores_and_Fixtures[[#This Row],[Away Score]])=FALSE,Scores_and_Fixtures[[#This Row],[Away Score]],_xlfn.BINOM.INV(10000,(VLOOKUP(O320,$CK$4:$CM$27,2,FALSE)*VLOOKUP(L320,$CK$4:$CM$27,3,FALSE)*($CM$2/2))/10000,RAND()))</f>
        <v>0</v>
      </c>
      <c r="O320" t="str">
        <f>Scores_and_Fixtures[[#This Row],[Away]]</f>
        <v>Norwich City</v>
      </c>
      <c r="U320">
        <v>219</v>
      </c>
      <c r="V320">
        <v>16</v>
      </c>
      <c r="W320">
        <v>8</v>
      </c>
      <c r="X320">
        <v>18</v>
      </c>
      <c r="Y320">
        <v>9</v>
      </c>
      <c r="Z320">
        <v>12</v>
      </c>
      <c r="AA320">
        <v>17</v>
      </c>
      <c r="AB320">
        <v>7</v>
      </c>
      <c r="AC320">
        <v>2</v>
      </c>
      <c r="AD320">
        <v>3</v>
      </c>
      <c r="AE320">
        <v>1</v>
      </c>
      <c r="AF320">
        <v>15</v>
      </c>
      <c r="AG320">
        <v>19</v>
      </c>
      <c r="AH320">
        <v>13</v>
      </c>
      <c r="AI320">
        <v>20</v>
      </c>
      <c r="AJ320">
        <v>11</v>
      </c>
      <c r="AK320">
        <v>22</v>
      </c>
      <c r="AL320">
        <v>24</v>
      </c>
      <c r="AM320">
        <v>23</v>
      </c>
      <c r="AN320">
        <v>4</v>
      </c>
      <c r="AO320">
        <v>21</v>
      </c>
      <c r="AP320">
        <v>5</v>
      </c>
      <c r="AQ320">
        <v>14</v>
      </c>
      <c r="AR320">
        <v>10</v>
      </c>
      <c r="AS320">
        <v>6</v>
      </c>
    </row>
    <row r="321" spans="1:45" x14ac:dyDescent="0.25">
      <c r="A321">
        <v>27</v>
      </c>
      <c r="B321" t="s">
        <v>383</v>
      </c>
      <c r="E321" t="s">
        <v>391</v>
      </c>
      <c r="K321">
        <f>Scores_and_Fixtures[[#This Row],[Wk]]</f>
        <v>27</v>
      </c>
      <c r="L321" t="str">
        <f>Scores_and_Fixtures[[#This Row],[Home]]</f>
        <v>Huddersfield</v>
      </c>
      <c r="M321">
        <f ca="1">IF(ISBLANK(Scores_and_Fixtures[[#This Row],[Home Score]])=FALSE,Scores_and_Fixtures[[#This Row],[Home Score]],_xlfn.BINOM.INV(10000,(VLOOKUP(L321,$CK$4:$CM$27,2,FALSE)*VLOOKUP(O321,$CK$4:$CM$27,3,FALSE)*($CM$2/2))/10000,RAND()))</f>
        <v>2</v>
      </c>
      <c r="N321">
        <f ca="1">IF(ISBLANK(Scores_and_Fixtures[[#This Row],[Away Score]])=FALSE,Scores_and_Fixtures[[#This Row],[Away Score]],_xlfn.BINOM.INV(10000,(VLOOKUP(O321,$CK$4:$CM$27,2,FALSE)*VLOOKUP(L321,$CK$4:$CM$27,3,FALSE)*($CM$2/2))/10000,RAND()))</f>
        <v>3</v>
      </c>
      <c r="O321" t="str">
        <f>Scores_and_Fixtures[[#This Row],[Away]]</f>
        <v>Plymouth Argyle</v>
      </c>
      <c r="U321">
        <v>220</v>
      </c>
      <c r="V321">
        <v>17</v>
      </c>
      <c r="W321">
        <v>9</v>
      </c>
      <c r="X321">
        <v>8</v>
      </c>
      <c r="Y321">
        <v>12</v>
      </c>
      <c r="Z321">
        <v>11</v>
      </c>
      <c r="AA321">
        <v>22</v>
      </c>
      <c r="AB321">
        <v>5</v>
      </c>
      <c r="AC321">
        <v>2</v>
      </c>
      <c r="AD321">
        <v>3</v>
      </c>
      <c r="AE321">
        <v>1</v>
      </c>
      <c r="AF321">
        <v>13</v>
      </c>
      <c r="AG321">
        <v>20</v>
      </c>
      <c r="AH321">
        <v>16</v>
      </c>
      <c r="AI321">
        <v>14</v>
      </c>
      <c r="AJ321">
        <v>15</v>
      </c>
      <c r="AK321">
        <v>21</v>
      </c>
      <c r="AL321">
        <v>24</v>
      </c>
      <c r="AM321">
        <v>23</v>
      </c>
      <c r="AN321">
        <v>4</v>
      </c>
      <c r="AO321">
        <v>18</v>
      </c>
      <c r="AP321">
        <v>7</v>
      </c>
      <c r="AQ321">
        <v>19</v>
      </c>
      <c r="AR321">
        <v>10</v>
      </c>
      <c r="AS321">
        <v>6</v>
      </c>
    </row>
    <row r="322" spans="1:45" x14ac:dyDescent="0.25">
      <c r="A322">
        <v>27</v>
      </c>
      <c r="B322" t="s">
        <v>381</v>
      </c>
      <c r="E322" t="s">
        <v>386</v>
      </c>
      <c r="K322">
        <f>Scores_and_Fixtures[[#This Row],[Wk]]</f>
        <v>27</v>
      </c>
      <c r="L322" t="str">
        <f>Scores_and_Fixtures[[#This Row],[Home]]</f>
        <v>Cardiff City</v>
      </c>
      <c r="M322">
        <f ca="1">IF(ISBLANK(Scores_and_Fixtures[[#This Row],[Home Score]])=FALSE,Scores_and_Fixtures[[#This Row],[Home Score]],_xlfn.BINOM.INV(10000,(VLOOKUP(L322,$CK$4:$CM$27,2,FALSE)*VLOOKUP(O322,$CK$4:$CM$27,3,FALSE)*($CM$2/2))/10000,RAND()))</f>
        <v>2</v>
      </c>
      <c r="N322">
        <f ca="1">IF(ISBLANK(Scores_and_Fixtures[[#This Row],[Away Score]])=FALSE,Scores_and_Fixtures[[#This Row],[Away Score]],_xlfn.BINOM.INV(10000,(VLOOKUP(O322,$CK$4:$CM$27,2,FALSE)*VLOOKUP(L322,$CK$4:$CM$27,3,FALSE)*($CM$2/2))/10000,RAND()))</f>
        <v>1</v>
      </c>
      <c r="O322" t="str">
        <f>Scores_and_Fixtures[[#This Row],[Away]]</f>
        <v>Leeds United</v>
      </c>
      <c r="U322">
        <v>221</v>
      </c>
      <c r="V322">
        <v>17</v>
      </c>
      <c r="W322">
        <v>9</v>
      </c>
      <c r="X322">
        <v>14</v>
      </c>
      <c r="Y322">
        <v>13</v>
      </c>
      <c r="Z322">
        <v>16</v>
      </c>
      <c r="AA322">
        <v>20</v>
      </c>
      <c r="AB322">
        <v>6</v>
      </c>
      <c r="AC322">
        <v>2</v>
      </c>
      <c r="AD322">
        <v>4</v>
      </c>
      <c r="AE322">
        <v>1</v>
      </c>
      <c r="AF322">
        <v>15</v>
      </c>
      <c r="AG322">
        <v>21</v>
      </c>
      <c r="AH322">
        <v>5</v>
      </c>
      <c r="AI322">
        <v>18</v>
      </c>
      <c r="AJ322">
        <v>12</v>
      </c>
      <c r="AK322">
        <v>23</v>
      </c>
      <c r="AL322">
        <v>24</v>
      </c>
      <c r="AM322">
        <v>22</v>
      </c>
      <c r="AN322">
        <v>3</v>
      </c>
      <c r="AO322">
        <v>19</v>
      </c>
      <c r="AP322">
        <v>11</v>
      </c>
      <c r="AQ322">
        <v>8</v>
      </c>
      <c r="AR322">
        <v>7</v>
      </c>
      <c r="AS322">
        <v>10</v>
      </c>
    </row>
    <row r="323" spans="1:45" x14ac:dyDescent="0.25">
      <c r="A323">
        <v>27</v>
      </c>
      <c r="B323" t="s">
        <v>401</v>
      </c>
      <c r="E323" t="s">
        <v>379</v>
      </c>
      <c r="K323">
        <f>Scores_and_Fixtures[[#This Row],[Wk]]</f>
        <v>27</v>
      </c>
      <c r="L323" t="str">
        <f>Scores_and_Fixtures[[#This Row],[Home]]</f>
        <v>West Brom</v>
      </c>
      <c r="M323">
        <f ca="1">IF(ISBLANK(Scores_and_Fixtures[[#This Row],[Home Score]])=FALSE,Scores_and_Fixtures[[#This Row],[Home Score]],_xlfn.BINOM.INV(10000,(VLOOKUP(L323,$CK$4:$CM$27,2,FALSE)*VLOOKUP(O323,$CK$4:$CM$27,3,FALSE)*($CM$2/2))/10000,RAND()))</f>
        <v>2</v>
      </c>
      <c r="N323">
        <f ca="1">IF(ISBLANK(Scores_and_Fixtures[[#This Row],[Away Score]])=FALSE,Scores_and_Fixtures[[#This Row],[Away Score]],_xlfn.BINOM.INV(10000,(VLOOKUP(O323,$CK$4:$CM$27,2,FALSE)*VLOOKUP(L323,$CK$4:$CM$27,3,FALSE)*($CM$2/2))/10000,RAND()))</f>
        <v>0</v>
      </c>
      <c r="O323" t="str">
        <f>Scores_and_Fixtures[[#This Row],[Away]]</f>
        <v>Blackburn</v>
      </c>
      <c r="U323">
        <v>222</v>
      </c>
      <c r="V323">
        <v>12</v>
      </c>
      <c r="W323">
        <v>7</v>
      </c>
      <c r="X323">
        <v>15</v>
      </c>
      <c r="Y323">
        <v>9</v>
      </c>
      <c r="Z323">
        <v>11</v>
      </c>
      <c r="AA323">
        <v>19</v>
      </c>
      <c r="AB323">
        <v>5</v>
      </c>
      <c r="AC323">
        <v>2</v>
      </c>
      <c r="AD323">
        <v>4</v>
      </c>
      <c r="AE323">
        <v>1</v>
      </c>
      <c r="AF323">
        <v>17</v>
      </c>
      <c r="AG323">
        <v>16</v>
      </c>
      <c r="AH323">
        <v>14</v>
      </c>
      <c r="AI323">
        <v>20</v>
      </c>
      <c r="AJ323">
        <v>10</v>
      </c>
      <c r="AK323">
        <v>21</v>
      </c>
      <c r="AL323">
        <v>23</v>
      </c>
      <c r="AM323">
        <v>24</v>
      </c>
      <c r="AN323">
        <v>3</v>
      </c>
      <c r="AO323">
        <v>22</v>
      </c>
      <c r="AP323">
        <v>13</v>
      </c>
      <c r="AQ323">
        <v>18</v>
      </c>
      <c r="AR323">
        <v>8</v>
      </c>
      <c r="AS323">
        <v>6</v>
      </c>
    </row>
    <row r="324" spans="1:45" x14ac:dyDescent="0.25">
      <c r="A324">
        <v>27</v>
      </c>
      <c r="B324" t="s">
        <v>378</v>
      </c>
      <c r="E324" t="s">
        <v>399</v>
      </c>
      <c r="K324">
        <f>Scores_and_Fixtures[[#This Row],[Wk]]</f>
        <v>27</v>
      </c>
      <c r="L324" t="str">
        <f>Scores_and_Fixtures[[#This Row],[Home]]</f>
        <v>Birmingham City</v>
      </c>
      <c r="M324">
        <f ca="1">IF(ISBLANK(Scores_and_Fixtures[[#This Row],[Home Score]])=FALSE,Scores_and_Fixtures[[#This Row],[Home Score]],_xlfn.BINOM.INV(10000,(VLOOKUP(L324,$CK$4:$CM$27,2,FALSE)*VLOOKUP(O324,$CK$4:$CM$27,3,FALSE)*($CM$2/2))/10000,RAND()))</f>
        <v>1</v>
      </c>
      <c r="N324">
        <f ca="1">IF(ISBLANK(Scores_and_Fixtures[[#This Row],[Away Score]])=FALSE,Scores_and_Fixtures[[#This Row],[Away Score]],_xlfn.BINOM.INV(10000,(VLOOKUP(O324,$CK$4:$CM$27,2,FALSE)*VLOOKUP(L324,$CK$4:$CM$27,3,FALSE)*($CM$2/2))/10000,RAND()))</f>
        <v>1</v>
      </c>
      <c r="O324" t="str">
        <f>Scores_and_Fixtures[[#This Row],[Away]]</f>
        <v>Swansea City</v>
      </c>
      <c r="U324">
        <v>223</v>
      </c>
      <c r="V324">
        <v>11</v>
      </c>
      <c r="W324">
        <v>17</v>
      </c>
      <c r="X324">
        <v>13</v>
      </c>
      <c r="Y324">
        <v>7</v>
      </c>
      <c r="Z324">
        <v>18</v>
      </c>
      <c r="AA324">
        <v>21</v>
      </c>
      <c r="AB324">
        <v>12</v>
      </c>
      <c r="AC324">
        <v>4</v>
      </c>
      <c r="AD324">
        <v>2</v>
      </c>
      <c r="AE324">
        <v>1</v>
      </c>
      <c r="AF324">
        <v>8</v>
      </c>
      <c r="AG324">
        <v>15</v>
      </c>
      <c r="AH324">
        <v>6</v>
      </c>
      <c r="AI324">
        <v>16</v>
      </c>
      <c r="AJ324">
        <v>20</v>
      </c>
      <c r="AK324">
        <v>22</v>
      </c>
      <c r="AL324">
        <v>23</v>
      </c>
      <c r="AM324">
        <v>24</v>
      </c>
      <c r="AN324">
        <v>3</v>
      </c>
      <c r="AO324">
        <v>14</v>
      </c>
      <c r="AP324">
        <v>9</v>
      </c>
      <c r="AQ324">
        <v>19</v>
      </c>
      <c r="AR324">
        <v>5</v>
      </c>
      <c r="AS324">
        <v>10</v>
      </c>
    </row>
    <row r="325" spans="1:45" x14ac:dyDescent="0.25">
      <c r="A325">
        <v>27</v>
      </c>
      <c r="B325" t="s">
        <v>389</v>
      </c>
      <c r="E325" t="s">
        <v>388</v>
      </c>
      <c r="K325">
        <f>Scores_and_Fixtures[[#This Row],[Wk]]</f>
        <v>27</v>
      </c>
      <c r="L325" t="str">
        <f>Scores_and_Fixtures[[#This Row],[Home]]</f>
        <v>Millwall</v>
      </c>
      <c r="M325">
        <f ca="1">IF(ISBLANK(Scores_and_Fixtures[[#This Row],[Home Score]])=FALSE,Scores_and_Fixtures[[#This Row],[Home Score]],_xlfn.BINOM.INV(10000,(VLOOKUP(L325,$CK$4:$CM$27,2,FALSE)*VLOOKUP(O325,$CK$4:$CM$27,3,FALSE)*($CM$2/2))/10000,RAND()))</f>
        <v>3</v>
      </c>
      <c r="N325">
        <f ca="1">IF(ISBLANK(Scores_and_Fixtures[[#This Row],[Away Score]])=FALSE,Scores_and_Fixtures[[#This Row],[Away Score]],_xlfn.BINOM.INV(10000,(VLOOKUP(O325,$CK$4:$CM$27,2,FALSE)*VLOOKUP(L325,$CK$4:$CM$27,3,FALSE)*($CM$2/2))/10000,RAND()))</f>
        <v>3</v>
      </c>
      <c r="O325" t="str">
        <f>Scores_and_Fixtures[[#This Row],[Away]]</f>
        <v>Middlesbrough</v>
      </c>
      <c r="U325">
        <v>224</v>
      </c>
      <c r="V325">
        <v>18</v>
      </c>
      <c r="W325">
        <v>11</v>
      </c>
      <c r="X325">
        <v>8</v>
      </c>
      <c r="Y325">
        <v>12</v>
      </c>
      <c r="Z325">
        <v>10</v>
      </c>
      <c r="AA325">
        <v>23</v>
      </c>
      <c r="AB325">
        <v>6</v>
      </c>
      <c r="AC325">
        <v>2</v>
      </c>
      <c r="AD325">
        <v>4</v>
      </c>
      <c r="AE325">
        <v>1</v>
      </c>
      <c r="AF325">
        <v>7</v>
      </c>
      <c r="AG325">
        <v>20</v>
      </c>
      <c r="AH325">
        <v>9</v>
      </c>
      <c r="AI325">
        <v>13</v>
      </c>
      <c r="AJ325">
        <v>17</v>
      </c>
      <c r="AK325">
        <v>21</v>
      </c>
      <c r="AL325">
        <v>22</v>
      </c>
      <c r="AM325">
        <v>24</v>
      </c>
      <c r="AN325">
        <v>3</v>
      </c>
      <c r="AO325">
        <v>19</v>
      </c>
      <c r="AP325">
        <v>15</v>
      </c>
      <c r="AQ325">
        <v>16</v>
      </c>
      <c r="AR325">
        <v>14</v>
      </c>
      <c r="AS325">
        <v>5</v>
      </c>
    </row>
    <row r="326" spans="1:45" x14ac:dyDescent="0.25">
      <c r="A326">
        <v>28</v>
      </c>
      <c r="B326" t="s">
        <v>386</v>
      </c>
      <c r="E326" t="s">
        <v>392</v>
      </c>
      <c r="K326">
        <f>Scores_and_Fixtures[[#This Row],[Wk]]</f>
        <v>28</v>
      </c>
      <c r="L326" t="str">
        <f>Scores_and_Fixtures[[#This Row],[Home]]</f>
        <v>Leeds United</v>
      </c>
      <c r="M326">
        <f ca="1">IF(ISBLANK(Scores_and_Fixtures[[#This Row],[Home Score]])=FALSE,Scores_and_Fixtures[[#This Row],[Home Score]],_xlfn.BINOM.INV(10000,(VLOOKUP(L326,$CK$4:$CM$27,2,FALSE)*VLOOKUP(O326,$CK$4:$CM$27,3,FALSE)*($CM$2/2))/10000,RAND()))</f>
        <v>2</v>
      </c>
      <c r="N326">
        <f ca="1">IF(ISBLANK(Scores_and_Fixtures[[#This Row],[Away Score]])=FALSE,Scores_and_Fixtures[[#This Row],[Away Score]],_xlfn.BINOM.INV(10000,(VLOOKUP(O326,$CK$4:$CM$27,2,FALSE)*VLOOKUP(L326,$CK$4:$CM$27,3,FALSE)*($CM$2/2))/10000,RAND()))</f>
        <v>0</v>
      </c>
      <c r="O326" t="str">
        <f>Scores_and_Fixtures[[#This Row],[Away]]</f>
        <v>Preston</v>
      </c>
      <c r="U326">
        <v>225</v>
      </c>
      <c r="V326">
        <v>17</v>
      </c>
      <c r="W326">
        <v>7</v>
      </c>
      <c r="X326">
        <v>21</v>
      </c>
      <c r="Y326">
        <v>8</v>
      </c>
      <c r="Z326">
        <v>14</v>
      </c>
      <c r="AA326">
        <v>22</v>
      </c>
      <c r="AB326">
        <v>6</v>
      </c>
      <c r="AC326">
        <v>2</v>
      </c>
      <c r="AD326">
        <v>4</v>
      </c>
      <c r="AE326">
        <v>1</v>
      </c>
      <c r="AF326">
        <v>9</v>
      </c>
      <c r="AG326">
        <v>18</v>
      </c>
      <c r="AH326">
        <v>10</v>
      </c>
      <c r="AI326">
        <v>15</v>
      </c>
      <c r="AJ326">
        <v>11</v>
      </c>
      <c r="AK326">
        <v>19</v>
      </c>
      <c r="AL326">
        <v>23</v>
      </c>
      <c r="AM326">
        <v>24</v>
      </c>
      <c r="AN326">
        <v>3</v>
      </c>
      <c r="AO326">
        <v>20</v>
      </c>
      <c r="AP326">
        <v>13</v>
      </c>
      <c r="AQ326">
        <v>16</v>
      </c>
      <c r="AR326">
        <v>12</v>
      </c>
      <c r="AS326">
        <v>5</v>
      </c>
    </row>
    <row r="327" spans="1:45" x14ac:dyDescent="0.25">
      <c r="A327">
        <v>28</v>
      </c>
      <c r="B327" t="s">
        <v>390</v>
      </c>
      <c r="E327" t="s">
        <v>401</v>
      </c>
      <c r="K327">
        <f>Scores_and_Fixtures[[#This Row],[Wk]]</f>
        <v>28</v>
      </c>
      <c r="L327" t="str">
        <f>Scores_and_Fixtures[[#This Row],[Home]]</f>
        <v>Norwich City</v>
      </c>
      <c r="M327">
        <f ca="1">IF(ISBLANK(Scores_and_Fixtures[[#This Row],[Home Score]])=FALSE,Scores_and_Fixtures[[#This Row],[Home Score]],_xlfn.BINOM.INV(10000,(VLOOKUP(L327,$CK$4:$CM$27,2,FALSE)*VLOOKUP(O327,$CK$4:$CM$27,3,FALSE)*($CM$2/2))/10000,RAND()))</f>
        <v>1</v>
      </c>
      <c r="N327">
        <f ca="1">IF(ISBLANK(Scores_and_Fixtures[[#This Row],[Away Score]])=FALSE,Scores_and_Fixtures[[#This Row],[Away Score]],_xlfn.BINOM.INV(10000,(VLOOKUP(O327,$CK$4:$CM$27,2,FALSE)*VLOOKUP(L327,$CK$4:$CM$27,3,FALSE)*($CM$2/2))/10000,RAND()))</f>
        <v>3</v>
      </c>
      <c r="O327" t="str">
        <f>Scores_and_Fixtures[[#This Row],[Away]]</f>
        <v>West Brom</v>
      </c>
      <c r="U327">
        <v>226</v>
      </c>
      <c r="V327">
        <v>15</v>
      </c>
      <c r="W327">
        <v>13</v>
      </c>
      <c r="X327">
        <v>12</v>
      </c>
      <c r="Y327">
        <v>6</v>
      </c>
      <c r="Z327">
        <v>19</v>
      </c>
      <c r="AA327">
        <v>21</v>
      </c>
      <c r="AB327">
        <v>5</v>
      </c>
      <c r="AC327">
        <v>2</v>
      </c>
      <c r="AD327">
        <v>4</v>
      </c>
      <c r="AE327">
        <v>1</v>
      </c>
      <c r="AF327">
        <v>16</v>
      </c>
      <c r="AG327">
        <v>18</v>
      </c>
      <c r="AH327">
        <v>8</v>
      </c>
      <c r="AI327">
        <v>14</v>
      </c>
      <c r="AJ327">
        <v>10</v>
      </c>
      <c r="AK327">
        <v>22</v>
      </c>
      <c r="AL327">
        <v>23</v>
      </c>
      <c r="AM327">
        <v>24</v>
      </c>
      <c r="AN327">
        <v>3</v>
      </c>
      <c r="AO327">
        <v>20</v>
      </c>
      <c r="AP327">
        <v>11</v>
      </c>
      <c r="AQ327">
        <v>17</v>
      </c>
      <c r="AR327">
        <v>7</v>
      </c>
      <c r="AS327">
        <v>9</v>
      </c>
    </row>
    <row r="328" spans="1:45" x14ac:dyDescent="0.25">
      <c r="A328">
        <v>28</v>
      </c>
      <c r="B328" t="s">
        <v>388</v>
      </c>
      <c r="E328" t="s">
        <v>394</v>
      </c>
      <c r="K328">
        <f>Scores_and_Fixtures[[#This Row],[Wk]]</f>
        <v>28</v>
      </c>
      <c r="L328" t="str">
        <f>Scores_and_Fixtures[[#This Row],[Home]]</f>
        <v>Middlesbrough</v>
      </c>
      <c r="M328">
        <f ca="1">IF(ISBLANK(Scores_and_Fixtures[[#This Row],[Home Score]])=FALSE,Scores_and_Fixtures[[#This Row],[Home Score]],_xlfn.BINOM.INV(10000,(VLOOKUP(L328,$CK$4:$CM$27,2,FALSE)*VLOOKUP(O328,$CK$4:$CM$27,3,FALSE)*($CM$2/2))/10000,RAND()))</f>
        <v>0</v>
      </c>
      <c r="N328">
        <f ca="1">IF(ISBLANK(Scores_and_Fixtures[[#This Row],[Away Score]])=FALSE,Scores_and_Fixtures[[#This Row],[Away Score]],_xlfn.BINOM.INV(10000,(VLOOKUP(O328,$CK$4:$CM$27,2,FALSE)*VLOOKUP(L328,$CK$4:$CM$27,3,FALSE)*($CM$2/2))/10000,RAND()))</f>
        <v>3</v>
      </c>
      <c r="O328" t="str">
        <f>Scores_and_Fixtures[[#This Row],[Away]]</f>
        <v>Rotherham Utd</v>
      </c>
      <c r="U328">
        <v>227</v>
      </c>
      <c r="V328">
        <v>18</v>
      </c>
      <c r="W328">
        <v>7</v>
      </c>
      <c r="X328">
        <v>10</v>
      </c>
      <c r="Y328">
        <v>12</v>
      </c>
      <c r="Z328">
        <v>15</v>
      </c>
      <c r="AA328">
        <v>19</v>
      </c>
      <c r="AB328">
        <v>5</v>
      </c>
      <c r="AC328">
        <v>2</v>
      </c>
      <c r="AD328">
        <v>4</v>
      </c>
      <c r="AE328">
        <v>1</v>
      </c>
      <c r="AF328">
        <v>6</v>
      </c>
      <c r="AG328">
        <v>20</v>
      </c>
      <c r="AH328">
        <v>13</v>
      </c>
      <c r="AI328">
        <v>17</v>
      </c>
      <c r="AJ328">
        <v>8</v>
      </c>
      <c r="AK328">
        <v>22</v>
      </c>
      <c r="AL328">
        <v>24</v>
      </c>
      <c r="AM328">
        <v>23</v>
      </c>
      <c r="AN328">
        <v>3</v>
      </c>
      <c r="AO328">
        <v>21</v>
      </c>
      <c r="AP328">
        <v>14</v>
      </c>
      <c r="AQ328">
        <v>16</v>
      </c>
      <c r="AR328">
        <v>9</v>
      </c>
      <c r="AS328">
        <v>11</v>
      </c>
    </row>
    <row r="329" spans="1:45" x14ac:dyDescent="0.25">
      <c r="A329">
        <v>28</v>
      </c>
      <c r="B329" t="s">
        <v>393</v>
      </c>
      <c r="E329" t="s">
        <v>389</v>
      </c>
      <c r="K329">
        <f>Scores_and_Fixtures[[#This Row],[Wk]]</f>
        <v>28</v>
      </c>
      <c r="L329" t="str">
        <f>Scores_and_Fixtures[[#This Row],[Home]]</f>
        <v>QPR</v>
      </c>
      <c r="M329">
        <f ca="1">IF(ISBLANK(Scores_and_Fixtures[[#This Row],[Home Score]])=FALSE,Scores_and_Fixtures[[#This Row],[Home Score]],_xlfn.BINOM.INV(10000,(VLOOKUP(L329,$CK$4:$CM$27,2,FALSE)*VLOOKUP(O329,$CK$4:$CM$27,3,FALSE)*($CM$2/2))/10000,RAND()))</f>
        <v>0</v>
      </c>
      <c r="N329">
        <f ca="1">IF(ISBLANK(Scores_and_Fixtures[[#This Row],[Away Score]])=FALSE,Scores_and_Fixtures[[#This Row],[Away Score]],_xlfn.BINOM.INV(10000,(VLOOKUP(O329,$CK$4:$CM$27,2,FALSE)*VLOOKUP(L329,$CK$4:$CM$27,3,FALSE)*($CM$2/2))/10000,RAND()))</f>
        <v>3</v>
      </c>
      <c r="O329" t="str">
        <f>Scores_and_Fixtures[[#This Row],[Away]]</f>
        <v>Millwall</v>
      </c>
      <c r="U329">
        <v>228</v>
      </c>
      <c r="V329">
        <v>14</v>
      </c>
      <c r="W329">
        <v>17</v>
      </c>
      <c r="X329">
        <v>8</v>
      </c>
      <c r="Y329">
        <v>11</v>
      </c>
      <c r="Z329">
        <v>15</v>
      </c>
      <c r="AA329">
        <v>19</v>
      </c>
      <c r="AB329">
        <v>6</v>
      </c>
      <c r="AC329">
        <v>2</v>
      </c>
      <c r="AD329">
        <v>5</v>
      </c>
      <c r="AE329">
        <v>1</v>
      </c>
      <c r="AF329">
        <v>13</v>
      </c>
      <c r="AG329">
        <v>21</v>
      </c>
      <c r="AH329">
        <v>16</v>
      </c>
      <c r="AI329">
        <v>18</v>
      </c>
      <c r="AJ329">
        <v>7</v>
      </c>
      <c r="AK329">
        <v>20</v>
      </c>
      <c r="AL329">
        <v>22</v>
      </c>
      <c r="AM329">
        <v>24</v>
      </c>
      <c r="AN329">
        <v>3</v>
      </c>
      <c r="AO329">
        <v>23</v>
      </c>
      <c r="AP329">
        <v>12</v>
      </c>
      <c r="AQ329">
        <v>9</v>
      </c>
      <c r="AR329">
        <v>10</v>
      </c>
      <c r="AS329">
        <v>4</v>
      </c>
    </row>
    <row r="330" spans="1:45" x14ac:dyDescent="0.25">
      <c r="A330">
        <v>28</v>
      </c>
      <c r="B330" t="s">
        <v>379</v>
      </c>
      <c r="E330" t="s">
        <v>383</v>
      </c>
      <c r="K330">
        <f>Scores_and_Fixtures[[#This Row],[Wk]]</f>
        <v>28</v>
      </c>
      <c r="L330" t="str">
        <f>Scores_and_Fixtures[[#This Row],[Home]]</f>
        <v>Blackburn</v>
      </c>
      <c r="M330">
        <f ca="1">IF(ISBLANK(Scores_and_Fixtures[[#This Row],[Home Score]])=FALSE,Scores_and_Fixtures[[#This Row],[Home Score]],_xlfn.BINOM.INV(10000,(VLOOKUP(L330,$CK$4:$CM$27,2,FALSE)*VLOOKUP(O330,$CK$4:$CM$27,3,FALSE)*($CM$2/2))/10000,RAND()))</f>
        <v>5</v>
      </c>
      <c r="N330">
        <f ca="1">IF(ISBLANK(Scores_and_Fixtures[[#This Row],[Away Score]])=FALSE,Scores_and_Fixtures[[#This Row],[Away Score]],_xlfn.BINOM.INV(10000,(VLOOKUP(O330,$CK$4:$CM$27,2,FALSE)*VLOOKUP(L330,$CK$4:$CM$27,3,FALSE)*($CM$2/2))/10000,RAND()))</f>
        <v>1</v>
      </c>
      <c r="O330" t="str">
        <f>Scores_and_Fixtures[[#This Row],[Away]]</f>
        <v>Huddersfield</v>
      </c>
      <c r="U330">
        <v>229</v>
      </c>
      <c r="V330">
        <v>15</v>
      </c>
      <c r="W330">
        <v>11</v>
      </c>
      <c r="X330">
        <v>9</v>
      </c>
      <c r="Y330">
        <v>8</v>
      </c>
      <c r="Z330">
        <v>14</v>
      </c>
      <c r="AA330">
        <v>17</v>
      </c>
      <c r="AB330">
        <v>5</v>
      </c>
      <c r="AC330">
        <v>2</v>
      </c>
      <c r="AD330">
        <v>3</v>
      </c>
      <c r="AE330">
        <v>1</v>
      </c>
      <c r="AF330">
        <v>16</v>
      </c>
      <c r="AG330">
        <v>22</v>
      </c>
      <c r="AH330">
        <v>13</v>
      </c>
      <c r="AI330">
        <v>19</v>
      </c>
      <c r="AJ330">
        <v>12</v>
      </c>
      <c r="AK330">
        <v>20</v>
      </c>
      <c r="AL330">
        <v>23</v>
      </c>
      <c r="AM330">
        <v>24</v>
      </c>
      <c r="AN330">
        <v>4</v>
      </c>
      <c r="AO330">
        <v>21</v>
      </c>
      <c r="AP330">
        <v>7</v>
      </c>
      <c r="AQ330">
        <v>18</v>
      </c>
      <c r="AR330">
        <v>6</v>
      </c>
      <c r="AS330">
        <v>10</v>
      </c>
    </row>
    <row r="331" spans="1:45" x14ac:dyDescent="0.25">
      <c r="A331">
        <v>28</v>
      </c>
      <c r="B331" t="s">
        <v>397</v>
      </c>
      <c r="E331" t="s">
        <v>378</v>
      </c>
      <c r="K331">
        <f>Scores_and_Fixtures[[#This Row],[Wk]]</f>
        <v>28</v>
      </c>
      <c r="L331" t="str">
        <f>Scores_and_Fixtures[[#This Row],[Home]]</f>
        <v>Stoke City</v>
      </c>
      <c r="M331">
        <f ca="1">IF(ISBLANK(Scores_and_Fixtures[[#This Row],[Home Score]])=FALSE,Scores_and_Fixtures[[#This Row],[Home Score]],_xlfn.BINOM.INV(10000,(VLOOKUP(L331,$CK$4:$CM$27,2,FALSE)*VLOOKUP(O331,$CK$4:$CM$27,3,FALSE)*($CM$2/2))/10000,RAND()))</f>
        <v>1</v>
      </c>
      <c r="N331">
        <f ca="1">IF(ISBLANK(Scores_and_Fixtures[[#This Row],[Away Score]])=FALSE,Scores_and_Fixtures[[#This Row],[Away Score]],_xlfn.BINOM.INV(10000,(VLOOKUP(O331,$CK$4:$CM$27,2,FALSE)*VLOOKUP(L331,$CK$4:$CM$27,3,FALSE)*($CM$2/2))/10000,RAND()))</f>
        <v>1</v>
      </c>
      <c r="O331" t="str">
        <f>Scores_and_Fixtures[[#This Row],[Away]]</f>
        <v>Birmingham City</v>
      </c>
      <c r="U331">
        <v>230</v>
      </c>
      <c r="V331">
        <v>19</v>
      </c>
      <c r="W331">
        <v>7</v>
      </c>
      <c r="X331">
        <v>11</v>
      </c>
      <c r="Y331">
        <v>16</v>
      </c>
      <c r="Z331">
        <v>15</v>
      </c>
      <c r="AA331">
        <v>20</v>
      </c>
      <c r="AB331">
        <v>5</v>
      </c>
      <c r="AC331">
        <v>3</v>
      </c>
      <c r="AD331">
        <v>2</v>
      </c>
      <c r="AE331">
        <v>1</v>
      </c>
      <c r="AF331">
        <v>12</v>
      </c>
      <c r="AG331">
        <v>18</v>
      </c>
      <c r="AH331">
        <v>13</v>
      </c>
      <c r="AI331">
        <v>10</v>
      </c>
      <c r="AJ331">
        <v>14</v>
      </c>
      <c r="AK331">
        <v>22</v>
      </c>
      <c r="AL331">
        <v>24</v>
      </c>
      <c r="AM331">
        <v>23</v>
      </c>
      <c r="AN331">
        <v>4</v>
      </c>
      <c r="AO331">
        <v>21</v>
      </c>
      <c r="AP331">
        <v>8</v>
      </c>
      <c r="AQ331">
        <v>17</v>
      </c>
      <c r="AR331">
        <v>9</v>
      </c>
      <c r="AS331">
        <v>6</v>
      </c>
    </row>
    <row r="332" spans="1:45" x14ac:dyDescent="0.25">
      <c r="A332">
        <v>28</v>
      </c>
      <c r="B332" t="s">
        <v>398</v>
      </c>
      <c r="E332" t="s">
        <v>384</v>
      </c>
      <c r="K332">
        <f>Scores_and_Fixtures[[#This Row],[Wk]]</f>
        <v>28</v>
      </c>
      <c r="L332" t="str">
        <f>Scores_and_Fixtures[[#This Row],[Home]]</f>
        <v>Sunderland</v>
      </c>
      <c r="M332">
        <f ca="1">IF(ISBLANK(Scores_and_Fixtures[[#This Row],[Home Score]])=FALSE,Scores_and_Fixtures[[#This Row],[Home Score]],_xlfn.BINOM.INV(10000,(VLOOKUP(L332,$CK$4:$CM$27,2,FALSE)*VLOOKUP(O332,$CK$4:$CM$27,3,FALSE)*($CM$2/2))/10000,RAND()))</f>
        <v>0</v>
      </c>
      <c r="N332">
        <f ca="1">IF(ISBLANK(Scores_and_Fixtures[[#This Row],[Away Score]])=FALSE,Scores_and_Fixtures[[#This Row],[Away Score]],_xlfn.BINOM.INV(10000,(VLOOKUP(O332,$CK$4:$CM$27,2,FALSE)*VLOOKUP(L332,$CK$4:$CM$27,3,FALSE)*($CM$2/2))/10000,RAND()))</f>
        <v>0</v>
      </c>
      <c r="O332" t="str">
        <f>Scores_and_Fixtures[[#This Row],[Away]]</f>
        <v>Hull City</v>
      </c>
      <c r="U332">
        <v>231</v>
      </c>
      <c r="V332">
        <v>16</v>
      </c>
      <c r="W332">
        <v>8</v>
      </c>
      <c r="X332">
        <v>18</v>
      </c>
      <c r="Y332">
        <v>11</v>
      </c>
      <c r="Z332">
        <v>12</v>
      </c>
      <c r="AA332">
        <v>21</v>
      </c>
      <c r="AB332">
        <v>5</v>
      </c>
      <c r="AC332">
        <v>2</v>
      </c>
      <c r="AD332">
        <v>6</v>
      </c>
      <c r="AE332">
        <v>1</v>
      </c>
      <c r="AF332">
        <v>15</v>
      </c>
      <c r="AG332">
        <v>14</v>
      </c>
      <c r="AH332">
        <v>10</v>
      </c>
      <c r="AI332">
        <v>19</v>
      </c>
      <c r="AJ332">
        <v>17</v>
      </c>
      <c r="AK332">
        <v>20</v>
      </c>
      <c r="AL332">
        <v>23</v>
      </c>
      <c r="AM332">
        <v>24</v>
      </c>
      <c r="AN332">
        <v>3</v>
      </c>
      <c r="AO332">
        <v>22</v>
      </c>
      <c r="AP332">
        <v>9</v>
      </c>
      <c r="AQ332">
        <v>13</v>
      </c>
      <c r="AR332">
        <v>7</v>
      </c>
      <c r="AS332">
        <v>4</v>
      </c>
    </row>
    <row r="333" spans="1:45" x14ac:dyDescent="0.25">
      <c r="A333">
        <v>28</v>
      </c>
      <c r="B333" t="s">
        <v>380</v>
      </c>
      <c r="E333" t="s">
        <v>400</v>
      </c>
      <c r="K333">
        <f>Scores_and_Fixtures[[#This Row],[Wk]]</f>
        <v>28</v>
      </c>
      <c r="L333" t="str">
        <f>Scores_and_Fixtures[[#This Row],[Home]]</f>
        <v>Bristol City</v>
      </c>
      <c r="M333">
        <f ca="1">IF(ISBLANK(Scores_and_Fixtures[[#This Row],[Home Score]])=FALSE,Scores_and_Fixtures[[#This Row],[Home Score]],_xlfn.BINOM.INV(10000,(VLOOKUP(L333,$CK$4:$CM$27,2,FALSE)*VLOOKUP(O333,$CK$4:$CM$27,3,FALSE)*($CM$2/2))/10000,RAND()))</f>
        <v>1</v>
      </c>
      <c r="N333">
        <f ca="1">IF(ISBLANK(Scores_and_Fixtures[[#This Row],[Away Score]])=FALSE,Scores_and_Fixtures[[#This Row],[Away Score]],_xlfn.BINOM.INV(10000,(VLOOKUP(O333,$CK$4:$CM$27,2,FALSE)*VLOOKUP(L333,$CK$4:$CM$27,3,FALSE)*($CM$2/2))/10000,RAND()))</f>
        <v>0</v>
      </c>
      <c r="O333" t="str">
        <f>Scores_and_Fixtures[[#This Row],[Away]]</f>
        <v>Watford</v>
      </c>
      <c r="U333">
        <v>232</v>
      </c>
      <c r="V333">
        <v>16</v>
      </c>
      <c r="W333">
        <v>7</v>
      </c>
      <c r="X333">
        <v>9</v>
      </c>
      <c r="Y333">
        <v>12</v>
      </c>
      <c r="Z333">
        <v>18</v>
      </c>
      <c r="AA333">
        <v>17</v>
      </c>
      <c r="AB333">
        <v>8</v>
      </c>
      <c r="AC333">
        <v>2</v>
      </c>
      <c r="AD333">
        <v>5</v>
      </c>
      <c r="AE333">
        <v>1</v>
      </c>
      <c r="AF333">
        <v>14</v>
      </c>
      <c r="AG333">
        <v>20</v>
      </c>
      <c r="AH333">
        <v>13</v>
      </c>
      <c r="AI333">
        <v>21</v>
      </c>
      <c r="AJ333">
        <v>15</v>
      </c>
      <c r="AK333">
        <v>22</v>
      </c>
      <c r="AL333">
        <v>24</v>
      </c>
      <c r="AM333">
        <v>23</v>
      </c>
      <c r="AN333">
        <v>3</v>
      </c>
      <c r="AO333">
        <v>19</v>
      </c>
      <c r="AP333">
        <v>6</v>
      </c>
      <c r="AQ333">
        <v>11</v>
      </c>
      <c r="AR333">
        <v>10</v>
      </c>
      <c r="AS333">
        <v>4</v>
      </c>
    </row>
    <row r="334" spans="1:45" x14ac:dyDescent="0.25">
      <c r="A334">
        <v>28</v>
      </c>
      <c r="B334" t="s">
        <v>387</v>
      </c>
      <c r="E334" t="s">
        <v>385</v>
      </c>
      <c r="K334">
        <f>Scores_and_Fixtures[[#This Row],[Wk]]</f>
        <v>28</v>
      </c>
      <c r="L334" t="str">
        <f>Scores_and_Fixtures[[#This Row],[Home]]</f>
        <v>Leicester City</v>
      </c>
      <c r="M334">
        <f ca="1">IF(ISBLANK(Scores_and_Fixtures[[#This Row],[Home Score]])=FALSE,Scores_and_Fixtures[[#This Row],[Home Score]],_xlfn.BINOM.INV(10000,(VLOOKUP(L334,$CK$4:$CM$27,2,FALSE)*VLOOKUP(O334,$CK$4:$CM$27,3,FALSE)*($CM$2/2))/10000,RAND()))</f>
        <v>1</v>
      </c>
      <c r="N334">
        <f ca="1">IF(ISBLANK(Scores_and_Fixtures[[#This Row],[Away Score]])=FALSE,Scores_and_Fixtures[[#This Row],[Away Score]],_xlfn.BINOM.INV(10000,(VLOOKUP(O334,$CK$4:$CM$27,2,FALSE)*VLOOKUP(L334,$CK$4:$CM$27,3,FALSE)*($CM$2/2))/10000,RAND()))</f>
        <v>1</v>
      </c>
      <c r="O334" t="str">
        <f>Scores_and_Fixtures[[#This Row],[Away]]</f>
        <v>Ipswich Town</v>
      </c>
      <c r="U334">
        <v>233</v>
      </c>
      <c r="V334">
        <v>19</v>
      </c>
      <c r="W334">
        <v>7</v>
      </c>
      <c r="X334">
        <v>12</v>
      </c>
      <c r="Y334">
        <v>8</v>
      </c>
      <c r="Z334">
        <v>17</v>
      </c>
      <c r="AA334">
        <v>18</v>
      </c>
      <c r="AB334">
        <v>10</v>
      </c>
      <c r="AC334">
        <v>2</v>
      </c>
      <c r="AD334">
        <v>4</v>
      </c>
      <c r="AE334">
        <v>1</v>
      </c>
      <c r="AF334">
        <v>14</v>
      </c>
      <c r="AG334">
        <v>20</v>
      </c>
      <c r="AH334">
        <v>9</v>
      </c>
      <c r="AI334">
        <v>16</v>
      </c>
      <c r="AJ334">
        <v>11</v>
      </c>
      <c r="AK334">
        <v>22</v>
      </c>
      <c r="AL334">
        <v>24</v>
      </c>
      <c r="AM334">
        <v>23</v>
      </c>
      <c r="AN334">
        <v>3</v>
      </c>
      <c r="AO334">
        <v>21</v>
      </c>
      <c r="AP334">
        <v>5</v>
      </c>
      <c r="AQ334">
        <v>15</v>
      </c>
      <c r="AR334">
        <v>13</v>
      </c>
      <c r="AS334">
        <v>6</v>
      </c>
    </row>
    <row r="335" spans="1:45" x14ac:dyDescent="0.25">
      <c r="A335">
        <v>28</v>
      </c>
      <c r="B335" t="s">
        <v>399</v>
      </c>
      <c r="E335" t="s">
        <v>396</v>
      </c>
      <c r="K335">
        <f>Scores_and_Fixtures[[#This Row],[Wk]]</f>
        <v>28</v>
      </c>
      <c r="L335" t="str">
        <f>Scores_and_Fixtures[[#This Row],[Home]]</f>
        <v>Swansea City</v>
      </c>
      <c r="M335">
        <f ca="1">IF(ISBLANK(Scores_and_Fixtures[[#This Row],[Home Score]])=FALSE,Scores_and_Fixtures[[#This Row],[Home Score]],_xlfn.BINOM.INV(10000,(VLOOKUP(L335,$CK$4:$CM$27,2,FALSE)*VLOOKUP(O335,$CK$4:$CM$27,3,FALSE)*($CM$2/2))/10000,RAND()))</f>
        <v>1</v>
      </c>
      <c r="N335">
        <f ca="1">IF(ISBLANK(Scores_and_Fixtures[[#This Row],[Away Score]])=FALSE,Scores_and_Fixtures[[#This Row],[Away Score]],_xlfn.BINOM.INV(10000,(VLOOKUP(O335,$CK$4:$CM$27,2,FALSE)*VLOOKUP(L335,$CK$4:$CM$27,3,FALSE)*($CM$2/2))/10000,RAND()))</f>
        <v>0</v>
      </c>
      <c r="O335" t="str">
        <f>Scores_and_Fixtures[[#This Row],[Away]]</f>
        <v>Southampton</v>
      </c>
      <c r="U335">
        <v>234</v>
      </c>
      <c r="V335">
        <v>17</v>
      </c>
      <c r="W335">
        <v>9</v>
      </c>
      <c r="X335">
        <v>18</v>
      </c>
      <c r="Y335">
        <v>14</v>
      </c>
      <c r="Z335">
        <v>16</v>
      </c>
      <c r="AA335">
        <v>22</v>
      </c>
      <c r="AB335">
        <v>7</v>
      </c>
      <c r="AC335">
        <v>2</v>
      </c>
      <c r="AD335">
        <v>3</v>
      </c>
      <c r="AE335">
        <v>1</v>
      </c>
      <c r="AF335">
        <v>11</v>
      </c>
      <c r="AG335">
        <v>8</v>
      </c>
      <c r="AH335">
        <v>15</v>
      </c>
      <c r="AI335">
        <v>13</v>
      </c>
      <c r="AJ335">
        <v>12</v>
      </c>
      <c r="AK335">
        <v>20</v>
      </c>
      <c r="AL335">
        <v>24</v>
      </c>
      <c r="AM335">
        <v>23</v>
      </c>
      <c r="AN335">
        <v>4</v>
      </c>
      <c r="AO335">
        <v>21</v>
      </c>
      <c r="AP335">
        <v>5</v>
      </c>
      <c r="AQ335">
        <v>19</v>
      </c>
      <c r="AR335">
        <v>10</v>
      </c>
      <c r="AS335">
        <v>6</v>
      </c>
    </row>
    <row r="336" spans="1:45" x14ac:dyDescent="0.25">
      <c r="A336">
        <v>28</v>
      </c>
      <c r="B336" t="s">
        <v>391</v>
      </c>
      <c r="E336" t="s">
        <v>381</v>
      </c>
      <c r="K336">
        <f>Scores_and_Fixtures[[#This Row],[Wk]]</f>
        <v>28</v>
      </c>
      <c r="L336" t="str">
        <f>Scores_and_Fixtures[[#This Row],[Home]]</f>
        <v>Plymouth Argyle</v>
      </c>
      <c r="M336">
        <f ca="1">IF(ISBLANK(Scores_and_Fixtures[[#This Row],[Home Score]])=FALSE,Scores_and_Fixtures[[#This Row],[Home Score]],_xlfn.BINOM.INV(10000,(VLOOKUP(L336,$CK$4:$CM$27,2,FALSE)*VLOOKUP(O336,$CK$4:$CM$27,3,FALSE)*($CM$2/2))/10000,RAND()))</f>
        <v>2</v>
      </c>
      <c r="N336">
        <f ca="1">IF(ISBLANK(Scores_and_Fixtures[[#This Row],[Away Score]])=FALSE,Scores_and_Fixtures[[#This Row],[Away Score]],_xlfn.BINOM.INV(10000,(VLOOKUP(O336,$CK$4:$CM$27,2,FALSE)*VLOOKUP(L336,$CK$4:$CM$27,3,FALSE)*($CM$2/2))/10000,RAND()))</f>
        <v>0</v>
      </c>
      <c r="O336" t="str">
        <f>Scores_and_Fixtures[[#This Row],[Away]]</f>
        <v>Cardiff City</v>
      </c>
      <c r="U336">
        <v>235</v>
      </c>
      <c r="V336">
        <v>17</v>
      </c>
      <c r="W336">
        <v>12</v>
      </c>
      <c r="X336">
        <v>15</v>
      </c>
      <c r="Y336">
        <v>7</v>
      </c>
      <c r="Z336">
        <v>13</v>
      </c>
      <c r="AA336">
        <v>22</v>
      </c>
      <c r="AB336">
        <v>4</v>
      </c>
      <c r="AC336">
        <v>2</v>
      </c>
      <c r="AD336">
        <v>5</v>
      </c>
      <c r="AE336">
        <v>1</v>
      </c>
      <c r="AF336">
        <v>10</v>
      </c>
      <c r="AG336">
        <v>20</v>
      </c>
      <c r="AH336">
        <v>16</v>
      </c>
      <c r="AI336">
        <v>18</v>
      </c>
      <c r="AJ336">
        <v>9</v>
      </c>
      <c r="AK336">
        <v>21</v>
      </c>
      <c r="AL336">
        <v>24</v>
      </c>
      <c r="AM336">
        <v>23</v>
      </c>
      <c r="AN336">
        <v>3</v>
      </c>
      <c r="AO336">
        <v>19</v>
      </c>
      <c r="AP336">
        <v>11</v>
      </c>
      <c r="AQ336">
        <v>14</v>
      </c>
      <c r="AR336">
        <v>8</v>
      </c>
      <c r="AS336">
        <v>6</v>
      </c>
    </row>
    <row r="337" spans="1:45" x14ac:dyDescent="0.25">
      <c r="A337">
        <v>28</v>
      </c>
      <c r="B337" t="s">
        <v>395</v>
      </c>
      <c r="E337" t="s">
        <v>382</v>
      </c>
      <c r="K337">
        <f>Scores_and_Fixtures[[#This Row],[Wk]]</f>
        <v>28</v>
      </c>
      <c r="L337" t="str">
        <f>Scores_and_Fixtures[[#This Row],[Home]]</f>
        <v>Sheffield Weds</v>
      </c>
      <c r="M337">
        <f ca="1">IF(ISBLANK(Scores_and_Fixtures[[#This Row],[Home Score]])=FALSE,Scores_and_Fixtures[[#This Row],[Home Score]],_xlfn.BINOM.INV(10000,(VLOOKUP(L337,$CK$4:$CM$27,2,FALSE)*VLOOKUP(O337,$CK$4:$CM$27,3,FALSE)*($CM$2/2))/10000,RAND()))</f>
        <v>1</v>
      </c>
      <c r="N337">
        <f ca="1">IF(ISBLANK(Scores_and_Fixtures[[#This Row],[Away Score]])=FALSE,Scores_and_Fixtures[[#This Row],[Away Score]],_xlfn.BINOM.INV(10000,(VLOOKUP(O337,$CK$4:$CM$27,2,FALSE)*VLOOKUP(L337,$CK$4:$CM$27,3,FALSE)*($CM$2/2))/10000,RAND()))</f>
        <v>0</v>
      </c>
      <c r="O337" t="str">
        <f>Scores_and_Fixtures[[#This Row],[Away]]</f>
        <v>Coventry City</v>
      </c>
      <c r="U337">
        <v>236</v>
      </c>
      <c r="V337">
        <v>17</v>
      </c>
      <c r="W337">
        <v>12</v>
      </c>
      <c r="X337">
        <v>18</v>
      </c>
      <c r="Y337">
        <v>7</v>
      </c>
      <c r="Z337">
        <v>14</v>
      </c>
      <c r="AA337">
        <v>22</v>
      </c>
      <c r="AB337">
        <v>10</v>
      </c>
      <c r="AC337">
        <v>2</v>
      </c>
      <c r="AD337">
        <v>3</v>
      </c>
      <c r="AE337">
        <v>1</v>
      </c>
      <c r="AF337">
        <v>11</v>
      </c>
      <c r="AG337">
        <v>19</v>
      </c>
      <c r="AH337">
        <v>8</v>
      </c>
      <c r="AI337">
        <v>13</v>
      </c>
      <c r="AJ337">
        <v>15</v>
      </c>
      <c r="AK337">
        <v>21</v>
      </c>
      <c r="AL337">
        <v>24</v>
      </c>
      <c r="AM337">
        <v>23</v>
      </c>
      <c r="AN337">
        <v>4</v>
      </c>
      <c r="AO337">
        <v>20</v>
      </c>
      <c r="AP337">
        <v>5</v>
      </c>
      <c r="AQ337">
        <v>16</v>
      </c>
      <c r="AR337">
        <v>9</v>
      </c>
      <c r="AS337">
        <v>6</v>
      </c>
    </row>
    <row r="338" spans="1:45" x14ac:dyDescent="0.25">
      <c r="A338">
        <v>29</v>
      </c>
      <c r="B338" t="s">
        <v>386</v>
      </c>
      <c r="E338" t="s">
        <v>390</v>
      </c>
      <c r="K338">
        <f>Scores_and_Fixtures[[#This Row],[Wk]]</f>
        <v>29</v>
      </c>
      <c r="L338" t="str">
        <f>Scores_and_Fixtures[[#This Row],[Home]]</f>
        <v>Leeds United</v>
      </c>
      <c r="M338">
        <f ca="1">IF(ISBLANK(Scores_and_Fixtures[[#This Row],[Home Score]])=FALSE,Scores_and_Fixtures[[#This Row],[Home Score]],_xlfn.BINOM.INV(10000,(VLOOKUP(L338,$CK$4:$CM$27,2,FALSE)*VLOOKUP(O338,$CK$4:$CM$27,3,FALSE)*($CM$2/2))/10000,RAND()))</f>
        <v>3</v>
      </c>
      <c r="N338">
        <f ca="1">IF(ISBLANK(Scores_and_Fixtures[[#This Row],[Away Score]])=FALSE,Scores_and_Fixtures[[#This Row],[Away Score]],_xlfn.BINOM.INV(10000,(VLOOKUP(O338,$CK$4:$CM$27,2,FALSE)*VLOOKUP(L338,$CK$4:$CM$27,3,FALSE)*($CM$2/2))/10000,RAND()))</f>
        <v>2</v>
      </c>
      <c r="O338" t="str">
        <f>Scores_and_Fixtures[[#This Row],[Away]]</f>
        <v>Norwich City</v>
      </c>
      <c r="U338">
        <v>237</v>
      </c>
      <c r="V338">
        <v>18</v>
      </c>
      <c r="W338">
        <v>7</v>
      </c>
      <c r="X338">
        <v>16</v>
      </c>
      <c r="Y338">
        <v>12</v>
      </c>
      <c r="Z338">
        <v>11</v>
      </c>
      <c r="AA338">
        <v>20</v>
      </c>
      <c r="AB338">
        <v>5</v>
      </c>
      <c r="AC338">
        <v>2</v>
      </c>
      <c r="AD338">
        <v>3</v>
      </c>
      <c r="AE338">
        <v>1</v>
      </c>
      <c r="AF338">
        <v>15</v>
      </c>
      <c r="AG338">
        <v>19</v>
      </c>
      <c r="AH338">
        <v>10</v>
      </c>
      <c r="AI338">
        <v>14</v>
      </c>
      <c r="AJ338">
        <v>17</v>
      </c>
      <c r="AK338">
        <v>22</v>
      </c>
      <c r="AL338">
        <v>23</v>
      </c>
      <c r="AM338">
        <v>24</v>
      </c>
      <c r="AN338">
        <v>4</v>
      </c>
      <c r="AO338">
        <v>21</v>
      </c>
      <c r="AP338">
        <v>6</v>
      </c>
      <c r="AQ338">
        <v>13</v>
      </c>
      <c r="AR338">
        <v>9</v>
      </c>
      <c r="AS338">
        <v>8</v>
      </c>
    </row>
    <row r="339" spans="1:45" x14ac:dyDescent="0.25">
      <c r="A339">
        <v>29</v>
      </c>
      <c r="B339" t="s">
        <v>378</v>
      </c>
      <c r="E339" t="s">
        <v>388</v>
      </c>
      <c r="K339">
        <f>Scores_and_Fixtures[[#This Row],[Wk]]</f>
        <v>29</v>
      </c>
      <c r="L339" t="str">
        <f>Scores_and_Fixtures[[#This Row],[Home]]</f>
        <v>Birmingham City</v>
      </c>
      <c r="M339">
        <f ca="1">IF(ISBLANK(Scores_and_Fixtures[[#This Row],[Home Score]])=FALSE,Scores_and_Fixtures[[#This Row],[Home Score]],_xlfn.BINOM.INV(10000,(VLOOKUP(L339,$CK$4:$CM$27,2,FALSE)*VLOOKUP(O339,$CK$4:$CM$27,3,FALSE)*($CM$2/2))/10000,RAND()))</f>
        <v>1</v>
      </c>
      <c r="N339">
        <f ca="1">IF(ISBLANK(Scores_and_Fixtures[[#This Row],[Away Score]])=FALSE,Scores_and_Fixtures[[#This Row],[Away Score]],_xlfn.BINOM.INV(10000,(VLOOKUP(O339,$CK$4:$CM$27,2,FALSE)*VLOOKUP(L339,$CK$4:$CM$27,3,FALSE)*($CM$2/2))/10000,RAND()))</f>
        <v>2</v>
      </c>
      <c r="O339" t="str">
        <f>Scores_and_Fixtures[[#This Row],[Away]]</f>
        <v>Middlesbrough</v>
      </c>
      <c r="U339">
        <v>238</v>
      </c>
      <c r="V339">
        <v>16</v>
      </c>
      <c r="W339">
        <v>8</v>
      </c>
      <c r="X339">
        <v>12</v>
      </c>
      <c r="Y339">
        <v>10</v>
      </c>
      <c r="Z339">
        <v>13</v>
      </c>
      <c r="AA339">
        <v>20</v>
      </c>
      <c r="AB339">
        <v>3</v>
      </c>
      <c r="AC339">
        <v>2</v>
      </c>
      <c r="AD339">
        <v>4</v>
      </c>
      <c r="AE339">
        <v>1</v>
      </c>
      <c r="AF339">
        <v>7</v>
      </c>
      <c r="AG339">
        <v>18</v>
      </c>
      <c r="AH339">
        <v>15</v>
      </c>
      <c r="AI339">
        <v>17</v>
      </c>
      <c r="AJ339">
        <v>14</v>
      </c>
      <c r="AK339">
        <v>22</v>
      </c>
      <c r="AL339">
        <v>24</v>
      </c>
      <c r="AM339">
        <v>23</v>
      </c>
      <c r="AN339">
        <v>5</v>
      </c>
      <c r="AO339">
        <v>19</v>
      </c>
      <c r="AP339">
        <v>11</v>
      </c>
      <c r="AQ339">
        <v>21</v>
      </c>
      <c r="AR339">
        <v>9</v>
      </c>
      <c r="AS339">
        <v>6</v>
      </c>
    </row>
    <row r="340" spans="1:45" x14ac:dyDescent="0.25">
      <c r="A340">
        <v>29</v>
      </c>
      <c r="B340" t="s">
        <v>381</v>
      </c>
      <c r="E340" t="s">
        <v>379</v>
      </c>
      <c r="K340">
        <f>Scores_and_Fixtures[[#This Row],[Wk]]</f>
        <v>29</v>
      </c>
      <c r="L340" t="str">
        <f>Scores_and_Fixtures[[#This Row],[Home]]</f>
        <v>Cardiff City</v>
      </c>
      <c r="M340">
        <f ca="1">IF(ISBLANK(Scores_and_Fixtures[[#This Row],[Home Score]])=FALSE,Scores_and_Fixtures[[#This Row],[Home Score]],_xlfn.BINOM.INV(10000,(VLOOKUP(L340,$CK$4:$CM$27,2,FALSE)*VLOOKUP(O340,$CK$4:$CM$27,3,FALSE)*($CM$2/2))/10000,RAND()))</f>
        <v>3</v>
      </c>
      <c r="N340">
        <f ca="1">IF(ISBLANK(Scores_and_Fixtures[[#This Row],[Away Score]])=FALSE,Scores_and_Fixtures[[#This Row],[Away Score]],_xlfn.BINOM.INV(10000,(VLOOKUP(O340,$CK$4:$CM$27,2,FALSE)*VLOOKUP(L340,$CK$4:$CM$27,3,FALSE)*($CM$2/2))/10000,RAND()))</f>
        <v>0</v>
      </c>
      <c r="O340" t="str">
        <f>Scores_and_Fixtures[[#This Row],[Away]]</f>
        <v>Blackburn</v>
      </c>
      <c r="U340">
        <v>239</v>
      </c>
      <c r="V340">
        <v>13</v>
      </c>
      <c r="W340">
        <v>10</v>
      </c>
      <c r="X340">
        <v>17</v>
      </c>
      <c r="Y340">
        <v>9</v>
      </c>
      <c r="Z340">
        <v>16</v>
      </c>
      <c r="AA340">
        <v>20</v>
      </c>
      <c r="AB340">
        <v>7</v>
      </c>
      <c r="AC340">
        <v>2</v>
      </c>
      <c r="AD340">
        <v>3</v>
      </c>
      <c r="AE340">
        <v>1</v>
      </c>
      <c r="AF340">
        <v>8</v>
      </c>
      <c r="AG340">
        <v>18</v>
      </c>
      <c r="AH340">
        <v>15</v>
      </c>
      <c r="AI340">
        <v>19</v>
      </c>
      <c r="AJ340">
        <v>11</v>
      </c>
      <c r="AK340">
        <v>21</v>
      </c>
      <c r="AL340">
        <v>24</v>
      </c>
      <c r="AM340">
        <v>23</v>
      </c>
      <c r="AN340">
        <v>4</v>
      </c>
      <c r="AO340">
        <v>22</v>
      </c>
      <c r="AP340">
        <v>6</v>
      </c>
      <c r="AQ340">
        <v>14</v>
      </c>
      <c r="AR340">
        <v>12</v>
      </c>
      <c r="AS340">
        <v>5</v>
      </c>
    </row>
    <row r="341" spans="1:45" x14ac:dyDescent="0.25">
      <c r="A341">
        <v>29</v>
      </c>
      <c r="B341" t="s">
        <v>391</v>
      </c>
      <c r="E341" t="s">
        <v>401</v>
      </c>
      <c r="K341">
        <f>Scores_and_Fixtures[[#This Row],[Wk]]</f>
        <v>29</v>
      </c>
      <c r="L341" t="str">
        <f>Scores_and_Fixtures[[#This Row],[Home]]</f>
        <v>Plymouth Argyle</v>
      </c>
      <c r="M341">
        <f ca="1">IF(ISBLANK(Scores_and_Fixtures[[#This Row],[Home Score]])=FALSE,Scores_and_Fixtures[[#This Row],[Home Score]],_xlfn.BINOM.INV(10000,(VLOOKUP(L341,$CK$4:$CM$27,2,FALSE)*VLOOKUP(O341,$CK$4:$CM$27,3,FALSE)*($CM$2/2))/10000,RAND()))</f>
        <v>0</v>
      </c>
      <c r="N341">
        <f ca="1">IF(ISBLANK(Scores_and_Fixtures[[#This Row],[Away Score]])=FALSE,Scores_and_Fixtures[[#This Row],[Away Score]],_xlfn.BINOM.INV(10000,(VLOOKUP(O341,$CK$4:$CM$27,2,FALSE)*VLOOKUP(L341,$CK$4:$CM$27,3,FALSE)*($CM$2/2))/10000,RAND()))</f>
        <v>0</v>
      </c>
      <c r="O341" t="str">
        <f>Scores_and_Fixtures[[#This Row],[Away]]</f>
        <v>West Brom</v>
      </c>
      <c r="U341">
        <v>240</v>
      </c>
      <c r="V341">
        <v>19</v>
      </c>
      <c r="W341">
        <v>9</v>
      </c>
      <c r="X341">
        <v>10</v>
      </c>
      <c r="Y341">
        <v>14</v>
      </c>
      <c r="Z341">
        <v>20</v>
      </c>
      <c r="AA341">
        <v>16</v>
      </c>
      <c r="AB341">
        <v>8</v>
      </c>
      <c r="AC341">
        <v>2</v>
      </c>
      <c r="AD341">
        <v>4</v>
      </c>
      <c r="AE341">
        <v>1</v>
      </c>
      <c r="AF341">
        <v>13</v>
      </c>
      <c r="AG341">
        <v>17</v>
      </c>
      <c r="AH341">
        <v>18</v>
      </c>
      <c r="AI341">
        <v>15</v>
      </c>
      <c r="AJ341">
        <v>12</v>
      </c>
      <c r="AK341">
        <v>22</v>
      </c>
      <c r="AL341">
        <v>24</v>
      </c>
      <c r="AM341">
        <v>23</v>
      </c>
      <c r="AN341">
        <v>3</v>
      </c>
      <c r="AO341">
        <v>21</v>
      </c>
      <c r="AP341">
        <v>6</v>
      </c>
      <c r="AQ341">
        <v>11</v>
      </c>
      <c r="AR341">
        <v>7</v>
      </c>
      <c r="AS341">
        <v>5</v>
      </c>
    </row>
    <row r="342" spans="1:45" x14ac:dyDescent="0.25">
      <c r="A342">
        <v>29</v>
      </c>
      <c r="B342" t="s">
        <v>382</v>
      </c>
      <c r="E342" t="s">
        <v>380</v>
      </c>
      <c r="K342">
        <f>Scores_and_Fixtures[[#This Row],[Wk]]</f>
        <v>29</v>
      </c>
      <c r="L342" t="str">
        <f>Scores_and_Fixtures[[#This Row],[Home]]</f>
        <v>Coventry City</v>
      </c>
      <c r="M342">
        <f ca="1">IF(ISBLANK(Scores_and_Fixtures[[#This Row],[Home Score]])=FALSE,Scores_and_Fixtures[[#This Row],[Home Score]],_xlfn.BINOM.INV(10000,(VLOOKUP(L342,$CK$4:$CM$27,2,FALSE)*VLOOKUP(O342,$CK$4:$CM$27,3,FALSE)*($CM$2/2))/10000,RAND()))</f>
        <v>2</v>
      </c>
      <c r="N342">
        <f ca="1">IF(ISBLANK(Scores_and_Fixtures[[#This Row],[Away Score]])=FALSE,Scores_and_Fixtures[[#This Row],[Away Score]],_xlfn.BINOM.INV(10000,(VLOOKUP(O342,$CK$4:$CM$27,2,FALSE)*VLOOKUP(L342,$CK$4:$CM$27,3,FALSE)*($CM$2/2))/10000,RAND()))</f>
        <v>1</v>
      </c>
      <c r="O342" t="str">
        <f>Scores_and_Fixtures[[#This Row],[Away]]</f>
        <v>Bristol City</v>
      </c>
      <c r="U342">
        <v>241</v>
      </c>
      <c r="V342">
        <v>20</v>
      </c>
      <c r="W342">
        <v>11</v>
      </c>
      <c r="X342">
        <v>17</v>
      </c>
      <c r="Y342">
        <v>7</v>
      </c>
      <c r="Z342">
        <v>16</v>
      </c>
      <c r="AA342">
        <v>21</v>
      </c>
      <c r="AB342">
        <v>5</v>
      </c>
      <c r="AC342">
        <v>2</v>
      </c>
      <c r="AD342">
        <v>4</v>
      </c>
      <c r="AE342">
        <v>1</v>
      </c>
      <c r="AF342">
        <v>15</v>
      </c>
      <c r="AG342">
        <v>18</v>
      </c>
      <c r="AH342">
        <v>6</v>
      </c>
      <c r="AI342">
        <v>14</v>
      </c>
      <c r="AJ342">
        <v>13</v>
      </c>
      <c r="AK342">
        <v>22</v>
      </c>
      <c r="AL342">
        <v>24</v>
      </c>
      <c r="AM342">
        <v>23</v>
      </c>
      <c r="AN342">
        <v>3</v>
      </c>
      <c r="AO342">
        <v>19</v>
      </c>
      <c r="AP342">
        <v>9</v>
      </c>
      <c r="AQ342">
        <v>10</v>
      </c>
      <c r="AR342">
        <v>12</v>
      </c>
      <c r="AS342">
        <v>8</v>
      </c>
    </row>
    <row r="343" spans="1:45" x14ac:dyDescent="0.25">
      <c r="A343">
        <v>29</v>
      </c>
      <c r="B343" t="s">
        <v>395</v>
      </c>
      <c r="E343" t="s">
        <v>400</v>
      </c>
      <c r="K343">
        <f>Scores_and_Fixtures[[#This Row],[Wk]]</f>
        <v>29</v>
      </c>
      <c r="L343" t="str">
        <f>Scores_and_Fixtures[[#This Row],[Home]]</f>
        <v>Sheffield Weds</v>
      </c>
      <c r="M343">
        <f ca="1">IF(ISBLANK(Scores_and_Fixtures[[#This Row],[Home Score]])=FALSE,Scores_and_Fixtures[[#This Row],[Home Score]],_xlfn.BINOM.INV(10000,(VLOOKUP(L343,$CK$4:$CM$27,2,FALSE)*VLOOKUP(O343,$CK$4:$CM$27,3,FALSE)*($CM$2/2))/10000,RAND()))</f>
        <v>0</v>
      </c>
      <c r="N343">
        <f ca="1">IF(ISBLANK(Scores_and_Fixtures[[#This Row],[Away Score]])=FALSE,Scores_and_Fixtures[[#This Row],[Away Score]],_xlfn.BINOM.INV(10000,(VLOOKUP(O343,$CK$4:$CM$27,2,FALSE)*VLOOKUP(L343,$CK$4:$CM$27,3,FALSE)*($CM$2/2))/10000,RAND()))</f>
        <v>1</v>
      </c>
      <c r="O343" t="str">
        <f>Scores_and_Fixtures[[#This Row],[Away]]</f>
        <v>Watford</v>
      </c>
      <c r="U343">
        <v>242</v>
      </c>
      <c r="V343">
        <v>17</v>
      </c>
      <c r="W343">
        <v>13</v>
      </c>
      <c r="X343">
        <v>7</v>
      </c>
      <c r="Y343">
        <v>9</v>
      </c>
      <c r="Z343">
        <v>16</v>
      </c>
      <c r="AA343">
        <v>19</v>
      </c>
      <c r="AB343">
        <v>6</v>
      </c>
      <c r="AC343">
        <v>2</v>
      </c>
      <c r="AD343">
        <v>4</v>
      </c>
      <c r="AE343">
        <v>1</v>
      </c>
      <c r="AF343">
        <v>18</v>
      </c>
      <c r="AG343">
        <v>20</v>
      </c>
      <c r="AH343">
        <v>11</v>
      </c>
      <c r="AI343">
        <v>15</v>
      </c>
      <c r="AJ343">
        <v>14</v>
      </c>
      <c r="AK343">
        <v>22</v>
      </c>
      <c r="AL343">
        <v>24</v>
      </c>
      <c r="AM343">
        <v>23</v>
      </c>
      <c r="AN343">
        <v>3</v>
      </c>
      <c r="AO343">
        <v>21</v>
      </c>
      <c r="AP343">
        <v>5</v>
      </c>
      <c r="AQ343">
        <v>12</v>
      </c>
      <c r="AR343">
        <v>8</v>
      </c>
      <c r="AS343">
        <v>10</v>
      </c>
    </row>
    <row r="344" spans="1:45" x14ac:dyDescent="0.25">
      <c r="A344">
        <v>29</v>
      </c>
      <c r="B344" t="s">
        <v>385</v>
      </c>
      <c r="E344" t="s">
        <v>394</v>
      </c>
      <c r="K344">
        <f>Scores_and_Fixtures[[#This Row],[Wk]]</f>
        <v>29</v>
      </c>
      <c r="L344" t="str">
        <f>Scores_and_Fixtures[[#This Row],[Home]]</f>
        <v>Ipswich Town</v>
      </c>
      <c r="M344">
        <f ca="1">IF(ISBLANK(Scores_and_Fixtures[[#This Row],[Home Score]])=FALSE,Scores_and_Fixtures[[#This Row],[Home Score]],_xlfn.BINOM.INV(10000,(VLOOKUP(L344,$CK$4:$CM$27,2,FALSE)*VLOOKUP(O344,$CK$4:$CM$27,3,FALSE)*($CM$2/2))/10000,RAND()))</f>
        <v>5</v>
      </c>
      <c r="N344">
        <f ca="1">IF(ISBLANK(Scores_and_Fixtures[[#This Row],[Away Score]])=FALSE,Scores_and_Fixtures[[#This Row],[Away Score]],_xlfn.BINOM.INV(10000,(VLOOKUP(O344,$CK$4:$CM$27,2,FALSE)*VLOOKUP(L344,$CK$4:$CM$27,3,FALSE)*($CM$2/2))/10000,RAND()))</f>
        <v>2</v>
      </c>
      <c r="O344" t="str">
        <f>Scores_and_Fixtures[[#This Row],[Away]]</f>
        <v>Rotherham Utd</v>
      </c>
      <c r="U344">
        <v>243</v>
      </c>
      <c r="V344">
        <v>14</v>
      </c>
      <c r="W344">
        <v>16</v>
      </c>
      <c r="X344">
        <v>15</v>
      </c>
      <c r="Y344">
        <v>13</v>
      </c>
      <c r="Z344">
        <v>11</v>
      </c>
      <c r="AA344">
        <v>18</v>
      </c>
      <c r="AB344">
        <v>7</v>
      </c>
      <c r="AC344">
        <v>2</v>
      </c>
      <c r="AD344">
        <v>3</v>
      </c>
      <c r="AE344">
        <v>1</v>
      </c>
      <c r="AF344">
        <v>8</v>
      </c>
      <c r="AG344">
        <v>17</v>
      </c>
      <c r="AH344">
        <v>12</v>
      </c>
      <c r="AI344">
        <v>19</v>
      </c>
      <c r="AJ344">
        <v>10</v>
      </c>
      <c r="AK344">
        <v>22</v>
      </c>
      <c r="AL344">
        <v>24</v>
      </c>
      <c r="AM344">
        <v>23</v>
      </c>
      <c r="AN344">
        <v>4</v>
      </c>
      <c r="AO344">
        <v>21</v>
      </c>
      <c r="AP344">
        <v>6</v>
      </c>
      <c r="AQ344">
        <v>20</v>
      </c>
      <c r="AR344">
        <v>9</v>
      </c>
      <c r="AS344">
        <v>5</v>
      </c>
    </row>
    <row r="345" spans="1:45" x14ac:dyDescent="0.25">
      <c r="A345">
        <v>29</v>
      </c>
      <c r="B345" t="s">
        <v>396</v>
      </c>
      <c r="E345" t="s">
        <v>384</v>
      </c>
      <c r="K345">
        <f>Scores_and_Fixtures[[#This Row],[Wk]]</f>
        <v>29</v>
      </c>
      <c r="L345" t="str">
        <f>Scores_and_Fixtures[[#This Row],[Home]]</f>
        <v>Southampton</v>
      </c>
      <c r="M345">
        <f ca="1">IF(ISBLANK(Scores_and_Fixtures[[#This Row],[Home Score]])=FALSE,Scores_and_Fixtures[[#This Row],[Home Score]],_xlfn.BINOM.INV(10000,(VLOOKUP(L345,$CK$4:$CM$27,2,FALSE)*VLOOKUP(O345,$CK$4:$CM$27,3,FALSE)*($CM$2/2))/10000,RAND()))</f>
        <v>1</v>
      </c>
      <c r="N345">
        <f ca="1">IF(ISBLANK(Scores_and_Fixtures[[#This Row],[Away Score]])=FALSE,Scores_and_Fixtures[[#This Row],[Away Score]],_xlfn.BINOM.INV(10000,(VLOOKUP(O345,$CK$4:$CM$27,2,FALSE)*VLOOKUP(L345,$CK$4:$CM$27,3,FALSE)*($CM$2/2))/10000,RAND()))</f>
        <v>1</v>
      </c>
      <c r="O345" t="str">
        <f>Scores_and_Fixtures[[#This Row],[Away]]</f>
        <v>Hull City</v>
      </c>
      <c r="U345">
        <v>244</v>
      </c>
      <c r="V345">
        <v>12</v>
      </c>
      <c r="W345">
        <v>16</v>
      </c>
      <c r="X345">
        <v>15</v>
      </c>
      <c r="Y345">
        <v>14</v>
      </c>
      <c r="Z345">
        <v>17</v>
      </c>
      <c r="AA345">
        <v>20</v>
      </c>
      <c r="AB345">
        <v>3</v>
      </c>
      <c r="AC345">
        <v>2</v>
      </c>
      <c r="AD345">
        <v>6</v>
      </c>
      <c r="AE345">
        <v>1</v>
      </c>
      <c r="AF345">
        <v>11</v>
      </c>
      <c r="AG345">
        <v>19</v>
      </c>
      <c r="AH345">
        <v>5</v>
      </c>
      <c r="AI345">
        <v>18</v>
      </c>
      <c r="AJ345">
        <v>7</v>
      </c>
      <c r="AK345">
        <v>22</v>
      </c>
      <c r="AL345">
        <v>24</v>
      </c>
      <c r="AM345">
        <v>23</v>
      </c>
      <c r="AN345">
        <v>4</v>
      </c>
      <c r="AO345">
        <v>21</v>
      </c>
      <c r="AP345">
        <v>8</v>
      </c>
      <c r="AQ345">
        <v>13</v>
      </c>
      <c r="AR345">
        <v>10</v>
      </c>
      <c r="AS345">
        <v>9</v>
      </c>
    </row>
    <row r="346" spans="1:45" x14ac:dyDescent="0.25">
      <c r="A346">
        <v>29</v>
      </c>
      <c r="B346" t="s">
        <v>389</v>
      </c>
      <c r="E346" t="s">
        <v>392</v>
      </c>
      <c r="K346">
        <f>Scores_and_Fixtures[[#This Row],[Wk]]</f>
        <v>29</v>
      </c>
      <c r="L346" t="str">
        <f>Scores_and_Fixtures[[#This Row],[Home]]</f>
        <v>Millwall</v>
      </c>
      <c r="M346">
        <f ca="1">IF(ISBLANK(Scores_and_Fixtures[[#This Row],[Home Score]])=FALSE,Scores_and_Fixtures[[#This Row],[Home Score]],_xlfn.BINOM.INV(10000,(VLOOKUP(L346,$CK$4:$CM$27,2,FALSE)*VLOOKUP(O346,$CK$4:$CM$27,3,FALSE)*($CM$2/2))/10000,RAND()))</f>
        <v>4</v>
      </c>
      <c r="N346">
        <f ca="1">IF(ISBLANK(Scores_and_Fixtures[[#This Row],[Away Score]])=FALSE,Scores_and_Fixtures[[#This Row],[Away Score]],_xlfn.BINOM.INV(10000,(VLOOKUP(O346,$CK$4:$CM$27,2,FALSE)*VLOOKUP(L346,$CK$4:$CM$27,3,FALSE)*($CM$2/2))/10000,RAND()))</f>
        <v>0</v>
      </c>
      <c r="O346" t="str">
        <f>Scores_and_Fixtures[[#This Row],[Away]]</f>
        <v>Preston</v>
      </c>
      <c r="U346">
        <v>245</v>
      </c>
      <c r="V346">
        <v>19</v>
      </c>
      <c r="W346">
        <v>5</v>
      </c>
      <c r="X346">
        <v>16</v>
      </c>
      <c r="Y346">
        <v>11</v>
      </c>
      <c r="Z346">
        <v>13</v>
      </c>
      <c r="AA346">
        <v>21</v>
      </c>
      <c r="AB346">
        <v>7</v>
      </c>
      <c r="AC346">
        <v>3</v>
      </c>
      <c r="AD346">
        <v>2</v>
      </c>
      <c r="AE346">
        <v>1</v>
      </c>
      <c r="AF346">
        <v>15</v>
      </c>
      <c r="AG346">
        <v>14</v>
      </c>
      <c r="AH346">
        <v>12</v>
      </c>
      <c r="AI346">
        <v>8</v>
      </c>
      <c r="AJ346">
        <v>18</v>
      </c>
      <c r="AK346">
        <v>22</v>
      </c>
      <c r="AL346">
        <v>23</v>
      </c>
      <c r="AM346">
        <v>24</v>
      </c>
      <c r="AN346">
        <v>4</v>
      </c>
      <c r="AO346">
        <v>20</v>
      </c>
      <c r="AP346">
        <v>9</v>
      </c>
      <c r="AQ346">
        <v>17</v>
      </c>
      <c r="AR346">
        <v>10</v>
      </c>
      <c r="AS346">
        <v>6</v>
      </c>
    </row>
    <row r="347" spans="1:45" x14ac:dyDescent="0.25">
      <c r="A347">
        <v>29</v>
      </c>
      <c r="B347" t="s">
        <v>387</v>
      </c>
      <c r="E347" t="s">
        <v>399</v>
      </c>
      <c r="K347">
        <f>Scores_and_Fixtures[[#This Row],[Wk]]</f>
        <v>29</v>
      </c>
      <c r="L347" t="str">
        <f>Scores_and_Fixtures[[#This Row],[Home]]</f>
        <v>Leicester City</v>
      </c>
      <c r="M347">
        <f ca="1">IF(ISBLANK(Scores_and_Fixtures[[#This Row],[Home Score]])=FALSE,Scores_and_Fixtures[[#This Row],[Home Score]],_xlfn.BINOM.INV(10000,(VLOOKUP(L347,$CK$4:$CM$27,2,FALSE)*VLOOKUP(O347,$CK$4:$CM$27,3,FALSE)*($CM$2/2))/10000,RAND()))</f>
        <v>2</v>
      </c>
      <c r="N347">
        <f ca="1">IF(ISBLANK(Scores_and_Fixtures[[#This Row],[Away Score]])=FALSE,Scores_and_Fixtures[[#This Row],[Away Score]],_xlfn.BINOM.INV(10000,(VLOOKUP(O347,$CK$4:$CM$27,2,FALSE)*VLOOKUP(L347,$CK$4:$CM$27,3,FALSE)*($CM$2/2))/10000,RAND()))</f>
        <v>1</v>
      </c>
      <c r="O347" t="str">
        <f>Scores_and_Fixtures[[#This Row],[Away]]</f>
        <v>Swansea City</v>
      </c>
      <c r="U347">
        <v>246</v>
      </c>
      <c r="V347">
        <v>17</v>
      </c>
      <c r="W347">
        <v>13</v>
      </c>
      <c r="X347">
        <v>12</v>
      </c>
      <c r="Y347">
        <v>9</v>
      </c>
      <c r="Z347">
        <v>14</v>
      </c>
      <c r="AA347">
        <v>21</v>
      </c>
      <c r="AB347">
        <v>11</v>
      </c>
      <c r="AC347">
        <v>2</v>
      </c>
      <c r="AD347">
        <v>4</v>
      </c>
      <c r="AE347">
        <v>1</v>
      </c>
      <c r="AF347">
        <v>7</v>
      </c>
      <c r="AG347">
        <v>22</v>
      </c>
      <c r="AH347">
        <v>16</v>
      </c>
      <c r="AI347">
        <v>20</v>
      </c>
      <c r="AJ347">
        <v>8</v>
      </c>
      <c r="AK347">
        <v>19</v>
      </c>
      <c r="AL347">
        <v>23</v>
      </c>
      <c r="AM347">
        <v>24</v>
      </c>
      <c r="AN347">
        <v>3</v>
      </c>
      <c r="AO347">
        <v>15</v>
      </c>
      <c r="AP347">
        <v>10</v>
      </c>
      <c r="AQ347">
        <v>18</v>
      </c>
      <c r="AR347">
        <v>6</v>
      </c>
      <c r="AS347">
        <v>5</v>
      </c>
    </row>
    <row r="348" spans="1:45" x14ac:dyDescent="0.25">
      <c r="A348">
        <v>29</v>
      </c>
      <c r="B348" t="s">
        <v>398</v>
      </c>
      <c r="E348" t="s">
        <v>397</v>
      </c>
      <c r="K348">
        <f>Scores_and_Fixtures[[#This Row],[Wk]]</f>
        <v>29</v>
      </c>
      <c r="L348" t="str">
        <f>Scores_and_Fixtures[[#This Row],[Home]]</f>
        <v>Sunderland</v>
      </c>
      <c r="M348">
        <f ca="1">IF(ISBLANK(Scores_and_Fixtures[[#This Row],[Home Score]])=FALSE,Scores_and_Fixtures[[#This Row],[Home Score]],_xlfn.BINOM.INV(10000,(VLOOKUP(L348,$CK$4:$CM$27,2,FALSE)*VLOOKUP(O348,$CK$4:$CM$27,3,FALSE)*($CM$2/2))/10000,RAND()))</f>
        <v>1</v>
      </c>
      <c r="N348">
        <f ca="1">IF(ISBLANK(Scores_and_Fixtures[[#This Row],[Away Score]])=FALSE,Scores_and_Fixtures[[#This Row],[Away Score]],_xlfn.BINOM.INV(10000,(VLOOKUP(O348,$CK$4:$CM$27,2,FALSE)*VLOOKUP(L348,$CK$4:$CM$27,3,FALSE)*($CM$2/2))/10000,RAND()))</f>
        <v>0</v>
      </c>
      <c r="O348" t="str">
        <f>Scores_and_Fixtures[[#This Row],[Away]]</f>
        <v>Stoke City</v>
      </c>
      <c r="U348">
        <v>247</v>
      </c>
      <c r="V348">
        <v>12</v>
      </c>
      <c r="W348">
        <v>14</v>
      </c>
      <c r="X348">
        <v>17</v>
      </c>
      <c r="Y348">
        <v>9</v>
      </c>
      <c r="Z348">
        <v>15</v>
      </c>
      <c r="AA348">
        <v>19</v>
      </c>
      <c r="AB348">
        <v>5</v>
      </c>
      <c r="AC348">
        <v>2</v>
      </c>
      <c r="AD348">
        <v>4</v>
      </c>
      <c r="AE348">
        <v>1</v>
      </c>
      <c r="AF348">
        <v>10</v>
      </c>
      <c r="AG348">
        <v>18</v>
      </c>
      <c r="AH348">
        <v>13</v>
      </c>
      <c r="AI348">
        <v>20</v>
      </c>
      <c r="AJ348">
        <v>11</v>
      </c>
      <c r="AK348">
        <v>21</v>
      </c>
      <c r="AL348">
        <v>24</v>
      </c>
      <c r="AM348">
        <v>23</v>
      </c>
      <c r="AN348">
        <v>3</v>
      </c>
      <c r="AO348">
        <v>22</v>
      </c>
      <c r="AP348">
        <v>8</v>
      </c>
      <c r="AQ348">
        <v>16</v>
      </c>
      <c r="AR348">
        <v>7</v>
      </c>
      <c r="AS348">
        <v>6</v>
      </c>
    </row>
    <row r="349" spans="1:45" x14ac:dyDescent="0.25">
      <c r="A349">
        <v>29</v>
      </c>
      <c r="B349" t="s">
        <v>393</v>
      </c>
      <c r="E349" t="s">
        <v>383</v>
      </c>
      <c r="K349">
        <f>Scores_and_Fixtures[[#This Row],[Wk]]</f>
        <v>29</v>
      </c>
      <c r="L349" t="str">
        <f>Scores_and_Fixtures[[#This Row],[Home]]</f>
        <v>QPR</v>
      </c>
      <c r="M349">
        <f ca="1">IF(ISBLANK(Scores_and_Fixtures[[#This Row],[Home Score]])=FALSE,Scores_and_Fixtures[[#This Row],[Home Score]],_xlfn.BINOM.INV(10000,(VLOOKUP(L349,$CK$4:$CM$27,2,FALSE)*VLOOKUP(O349,$CK$4:$CM$27,3,FALSE)*($CM$2/2))/10000,RAND()))</f>
        <v>0</v>
      </c>
      <c r="N349">
        <f ca="1">IF(ISBLANK(Scores_and_Fixtures[[#This Row],[Away Score]])=FALSE,Scores_and_Fixtures[[#This Row],[Away Score]],_xlfn.BINOM.INV(10000,(VLOOKUP(O349,$CK$4:$CM$27,2,FALSE)*VLOOKUP(L349,$CK$4:$CM$27,3,FALSE)*($CM$2/2))/10000,RAND()))</f>
        <v>2</v>
      </c>
      <c r="O349" t="str">
        <f>Scores_and_Fixtures[[#This Row],[Away]]</f>
        <v>Huddersfield</v>
      </c>
      <c r="U349">
        <v>248</v>
      </c>
      <c r="V349">
        <v>15</v>
      </c>
      <c r="W349">
        <v>7</v>
      </c>
      <c r="X349">
        <v>8</v>
      </c>
      <c r="Y349">
        <v>12</v>
      </c>
      <c r="Z349">
        <v>19</v>
      </c>
      <c r="AA349">
        <v>23</v>
      </c>
      <c r="AB349">
        <v>5</v>
      </c>
      <c r="AC349">
        <v>3</v>
      </c>
      <c r="AD349">
        <v>2</v>
      </c>
      <c r="AE349">
        <v>1</v>
      </c>
      <c r="AF349">
        <v>10</v>
      </c>
      <c r="AG349">
        <v>16</v>
      </c>
      <c r="AH349">
        <v>11</v>
      </c>
      <c r="AI349">
        <v>18</v>
      </c>
      <c r="AJ349">
        <v>14</v>
      </c>
      <c r="AK349">
        <v>17</v>
      </c>
      <c r="AL349">
        <v>22</v>
      </c>
      <c r="AM349">
        <v>24</v>
      </c>
      <c r="AN349">
        <v>6</v>
      </c>
      <c r="AO349">
        <v>20</v>
      </c>
      <c r="AP349">
        <v>9</v>
      </c>
      <c r="AQ349">
        <v>21</v>
      </c>
      <c r="AR349">
        <v>13</v>
      </c>
      <c r="AS349">
        <v>4</v>
      </c>
    </row>
    <row r="350" spans="1:45" x14ac:dyDescent="0.25">
      <c r="A350">
        <v>30</v>
      </c>
      <c r="B350" t="s">
        <v>380</v>
      </c>
      <c r="E350" t="s">
        <v>386</v>
      </c>
      <c r="K350">
        <f>Scores_and_Fixtures[[#This Row],[Wk]]</f>
        <v>30</v>
      </c>
      <c r="L350" t="str">
        <f>Scores_and_Fixtures[[#This Row],[Home]]</f>
        <v>Bristol City</v>
      </c>
      <c r="M350">
        <f ca="1">IF(ISBLANK(Scores_and_Fixtures[[#This Row],[Home Score]])=FALSE,Scores_and_Fixtures[[#This Row],[Home Score]],_xlfn.BINOM.INV(10000,(VLOOKUP(L350,$CK$4:$CM$27,2,FALSE)*VLOOKUP(O350,$CK$4:$CM$27,3,FALSE)*($CM$2/2))/10000,RAND()))</f>
        <v>1</v>
      </c>
      <c r="N350">
        <f ca="1">IF(ISBLANK(Scores_and_Fixtures[[#This Row],[Away Score]])=FALSE,Scores_and_Fixtures[[#This Row],[Away Score]],_xlfn.BINOM.INV(10000,(VLOOKUP(O350,$CK$4:$CM$27,2,FALSE)*VLOOKUP(L350,$CK$4:$CM$27,3,FALSE)*($CM$2/2))/10000,RAND()))</f>
        <v>3</v>
      </c>
      <c r="O350" t="str">
        <f>Scores_and_Fixtures[[#This Row],[Away]]</f>
        <v>Leeds United</v>
      </c>
      <c r="U350">
        <v>249</v>
      </c>
      <c r="V350">
        <v>18</v>
      </c>
      <c r="W350">
        <v>8</v>
      </c>
      <c r="X350">
        <v>16</v>
      </c>
      <c r="Y350">
        <v>9</v>
      </c>
      <c r="Z350">
        <v>10</v>
      </c>
      <c r="AA350">
        <v>21</v>
      </c>
      <c r="AB350">
        <v>4</v>
      </c>
      <c r="AC350">
        <v>2</v>
      </c>
      <c r="AD350">
        <v>3</v>
      </c>
      <c r="AE350">
        <v>1</v>
      </c>
      <c r="AF350">
        <v>14</v>
      </c>
      <c r="AG350">
        <v>20</v>
      </c>
      <c r="AH350">
        <v>6</v>
      </c>
      <c r="AI350">
        <v>12</v>
      </c>
      <c r="AJ350">
        <v>17</v>
      </c>
      <c r="AK350">
        <v>22</v>
      </c>
      <c r="AL350">
        <v>24</v>
      </c>
      <c r="AM350">
        <v>23</v>
      </c>
      <c r="AN350">
        <v>5</v>
      </c>
      <c r="AO350">
        <v>19</v>
      </c>
      <c r="AP350">
        <v>11</v>
      </c>
      <c r="AQ350">
        <v>15</v>
      </c>
      <c r="AR350">
        <v>13</v>
      </c>
      <c r="AS350">
        <v>7</v>
      </c>
    </row>
    <row r="351" spans="1:45" x14ac:dyDescent="0.25">
      <c r="A351">
        <v>30</v>
      </c>
      <c r="B351" t="s">
        <v>394</v>
      </c>
      <c r="E351" t="s">
        <v>396</v>
      </c>
      <c r="K351">
        <f>Scores_and_Fixtures[[#This Row],[Wk]]</f>
        <v>30</v>
      </c>
      <c r="L351" t="str">
        <f>Scores_and_Fixtures[[#This Row],[Home]]</f>
        <v>Rotherham Utd</v>
      </c>
      <c r="M351">
        <f ca="1">IF(ISBLANK(Scores_and_Fixtures[[#This Row],[Home Score]])=FALSE,Scores_and_Fixtures[[#This Row],[Home Score]],_xlfn.BINOM.INV(10000,(VLOOKUP(L351,$CK$4:$CM$27,2,FALSE)*VLOOKUP(O351,$CK$4:$CM$27,3,FALSE)*($CM$2/2))/10000,RAND()))</f>
        <v>2</v>
      </c>
      <c r="N351">
        <f ca="1">IF(ISBLANK(Scores_and_Fixtures[[#This Row],[Away Score]])=FALSE,Scores_and_Fixtures[[#This Row],[Away Score]],_xlfn.BINOM.INV(10000,(VLOOKUP(O351,$CK$4:$CM$27,2,FALSE)*VLOOKUP(L351,$CK$4:$CM$27,3,FALSE)*($CM$2/2))/10000,RAND()))</f>
        <v>4</v>
      </c>
      <c r="O351" t="str">
        <f>Scores_and_Fixtures[[#This Row],[Away]]</f>
        <v>Southampton</v>
      </c>
      <c r="U351">
        <v>250</v>
      </c>
      <c r="V351">
        <v>19</v>
      </c>
      <c r="W351">
        <v>7</v>
      </c>
      <c r="X351">
        <v>14</v>
      </c>
      <c r="Y351">
        <v>16</v>
      </c>
      <c r="Z351">
        <v>17</v>
      </c>
      <c r="AA351">
        <v>21</v>
      </c>
      <c r="AB351">
        <v>6</v>
      </c>
      <c r="AC351">
        <v>2</v>
      </c>
      <c r="AD351">
        <v>3</v>
      </c>
      <c r="AE351">
        <v>1</v>
      </c>
      <c r="AF351">
        <v>8</v>
      </c>
      <c r="AG351">
        <v>15</v>
      </c>
      <c r="AH351">
        <v>12</v>
      </c>
      <c r="AI351">
        <v>11</v>
      </c>
      <c r="AJ351">
        <v>13</v>
      </c>
      <c r="AK351">
        <v>22</v>
      </c>
      <c r="AL351">
        <v>24</v>
      </c>
      <c r="AM351">
        <v>23</v>
      </c>
      <c r="AN351">
        <v>4</v>
      </c>
      <c r="AO351">
        <v>20</v>
      </c>
      <c r="AP351">
        <v>9</v>
      </c>
      <c r="AQ351">
        <v>18</v>
      </c>
      <c r="AR351">
        <v>10</v>
      </c>
      <c r="AS351">
        <v>5</v>
      </c>
    </row>
    <row r="352" spans="1:45" x14ac:dyDescent="0.25">
      <c r="A352">
        <v>30</v>
      </c>
      <c r="B352" t="s">
        <v>379</v>
      </c>
      <c r="E352" t="s">
        <v>393</v>
      </c>
      <c r="K352">
        <f>Scores_and_Fixtures[[#This Row],[Wk]]</f>
        <v>30</v>
      </c>
      <c r="L352" t="str">
        <f>Scores_and_Fixtures[[#This Row],[Home]]</f>
        <v>Blackburn</v>
      </c>
      <c r="M352">
        <f ca="1">IF(ISBLANK(Scores_and_Fixtures[[#This Row],[Home Score]])=FALSE,Scores_and_Fixtures[[#This Row],[Home Score]],_xlfn.BINOM.INV(10000,(VLOOKUP(L352,$CK$4:$CM$27,2,FALSE)*VLOOKUP(O352,$CK$4:$CM$27,3,FALSE)*($CM$2/2))/10000,RAND()))</f>
        <v>1</v>
      </c>
      <c r="N352">
        <f ca="1">IF(ISBLANK(Scores_and_Fixtures[[#This Row],[Away Score]])=FALSE,Scores_and_Fixtures[[#This Row],[Away Score]],_xlfn.BINOM.INV(10000,(VLOOKUP(O352,$CK$4:$CM$27,2,FALSE)*VLOOKUP(L352,$CK$4:$CM$27,3,FALSE)*($CM$2/2))/10000,RAND()))</f>
        <v>1</v>
      </c>
      <c r="O352" t="str">
        <f>Scores_and_Fixtures[[#This Row],[Away]]</f>
        <v>QPR</v>
      </c>
      <c r="U352">
        <v>251</v>
      </c>
      <c r="V352">
        <v>18</v>
      </c>
      <c r="W352">
        <v>6</v>
      </c>
      <c r="X352">
        <v>15</v>
      </c>
      <c r="Y352">
        <v>13</v>
      </c>
      <c r="Z352">
        <v>17</v>
      </c>
      <c r="AA352">
        <v>22</v>
      </c>
      <c r="AB352">
        <v>7</v>
      </c>
      <c r="AC352">
        <v>2</v>
      </c>
      <c r="AD352">
        <v>4</v>
      </c>
      <c r="AE352">
        <v>1</v>
      </c>
      <c r="AF352">
        <v>11</v>
      </c>
      <c r="AG352">
        <v>19</v>
      </c>
      <c r="AH352">
        <v>16</v>
      </c>
      <c r="AI352">
        <v>14</v>
      </c>
      <c r="AJ352">
        <v>12</v>
      </c>
      <c r="AK352">
        <v>20</v>
      </c>
      <c r="AL352">
        <v>24</v>
      </c>
      <c r="AM352">
        <v>23</v>
      </c>
      <c r="AN352">
        <v>3</v>
      </c>
      <c r="AO352">
        <v>21</v>
      </c>
      <c r="AP352">
        <v>8</v>
      </c>
      <c r="AQ352">
        <v>10</v>
      </c>
      <c r="AR352">
        <v>9</v>
      </c>
      <c r="AS352">
        <v>5</v>
      </c>
    </row>
    <row r="353" spans="1:45" x14ac:dyDescent="0.25">
      <c r="A353">
        <v>30</v>
      </c>
      <c r="B353" t="s">
        <v>392</v>
      </c>
      <c r="E353" t="s">
        <v>385</v>
      </c>
      <c r="K353">
        <f>Scores_and_Fixtures[[#This Row],[Wk]]</f>
        <v>30</v>
      </c>
      <c r="L353" t="str">
        <f>Scores_and_Fixtures[[#This Row],[Home]]</f>
        <v>Preston</v>
      </c>
      <c r="M353">
        <f ca="1">IF(ISBLANK(Scores_and_Fixtures[[#This Row],[Home Score]])=FALSE,Scores_and_Fixtures[[#This Row],[Home Score]],_xlfn.BINOM.INV(10000,(VLOOKUP(L353,$CK$4:$CM$27,2,FALSE)*VLOOKUP(O353,$CK$4:$CM$27,3,FALSE)*($CM$2/2))/10000,RAND()))</f>
        <v>4</v>
      </c>
      <c r="N353">
        <f ca="1">IF(ISBLANK(Scores_and_Fixtures[[#This Row],[Away Score]])=FALSE,Scores_and_Fixtures[[#This Row],[Away Score]],_xlfn.BINOM.INV(10000,(VLOOKUP(O353,$CK$4:$CM$27,2,FALSE)*VLOOKUP(L353,$CK$4:$CM$27,3,FALSE)*($CM$2/2))/10000,RAND()))</f>
        <v>4</v>
      </c>
      <c r="O353" t="str">
        <f>Scores_and_Fixtures[[#This Row],[Away]]</f>
        <v>Ipswich Town</v>
      </c>
      <c r="U353">
        <v>252</v>
      </c>
      <c r="V353">
        <v>15</v>
      </c>
      <c r="W353">
        <v>9</v>
      </c>
      <c r="X353">
        <v>10</v>
      </c>
      <c r="Y353">
        <v>14</v>
      </c>
      <c r="Z353">
        <v>17</v>
      </c>
      <c r="AA353">
        <v>22</v>
      </c>
      <c r="AB353">
        <v>6</v>
      </c>
      <c r="AC353">
        <v>2</v>
      </c>
      <c r="AD353">
        <v>3</v>
      </c>
      <c r="AE353">
        <v>1</v>
      </c>
      <c r="AF353">
        <v>13</v>
      </c>
      <c r="AG353">
        <v>18</v>
      </c>
      <c r="AH353">
        <v>12</v>
      </c>
      <c r="AI353">
        <v>20</v>
      </c>
      <c r="AJ353">
        <v>16</v>
      </c>
      <c r="AK353">
        <v>21</v>
      </c>
      <c r="AL353">
        <v>24</v>
      </c>
      <c r="AM353">
        <v>23</v>
      </c>
      <c r="AN353">
        <v>4</v>
      </c>
      <c r="AO353">
        <v>19</v>
      </c>
      <c r="AP353">
        <v>5</v>
      </c>
      <c r="AQ353">
        <v>11</v>
      </c>
      <c r="AR353">
        <v>8</v>
      </c>
      <c r="AS353">
        <v>7</v>
      </c>
    </row>
    <row r="354" spans="1:45" x14ac:dyDescent="0.25">
      <c r="A354">
        <v>30</v>
      </c>
      <c r="B354" t="s">
        <v>384</v>
      </c>
      <c r="E354" t="s">
        <v>389</v>
      </c>
      <c r="K354">
        <f>Scores_and_Fixtures[[#This Row],[Wk]]</f>
        <v>30</v>
      </c>
      <c r="L354" t="str">
        <f>Scores_and_Fixtures[[#This Row],[Home]]</f>
        <v>Hull City</v>
      </c>
      <c r="M354">
        <f ca="1">IF(ISBLANK(Scores_and_Fixtures[[#This Row],[Home Score]])=FALSE,Scores_and_Fixtures[[#This Row],[Home Score]],_xlfn.BINOM.INV(10000,(VLOOKUP(L354,$CK$4:$CM$27,2,FALSE)*VLOOKUP(O354,$CK$4:$CM$27,3,FALSE)*($CM$2/2))/10000,RAND()))</f>
        <v>2</v>
      </c>
      <c r="N354">
        <f ca="1">IF(ISBLANK(Scores_and_Fixtures[[#This Row],[Away Score]])=FALSE,Scores_and_Fixtures[[#This Row],[Away Score]],_xlfn.BINOM.INV(10000,(VLOOKUP(O354,$CK$4:$CM$27,2,FALSE)*VLOOKUP(L354,$CK$4:$CM$27,3,FALSE)*($CM$2/2))/10000,RAND()))</f>
        <v>1</v>
      </c>
      <c r="O354" t="str">
        <f>Scores_and_Fixtures[[#This Row],[Away]]</f>
        <v>Millwall</v>
      </c>
      <c r="U354">
        <v>253</v>
      </c>
      <c r="V354">
        <v>15</v>
      </c>
      <c r="W354">
        <v>12</v>
      </c>
      <c r="X354">
        <v>17</v>
      </c>
      <c r="Y354">
        <v>8</v>
      </c>
      <c r="Z354">
        <v>9</v>
      </c>
      <c r="AA354">
        <v>20</v>
      </c>
      <c r="AB354">
        <v>5</v>
      </c>
      <c r="AC354">
        <v>2</v>
      </c>
      <c r="AD354">
        <v>3</v>
      </c>
      <c r="AE354">
        <v>1</v>
      </c>
      <c r="AF354">
        <v>16</v>
      </c>
      <c r="AG354">
        <v>18</v>
      </c>
      <c r="AH354">
        <v>19</v>
      </c>
      <c r="AI354">
        <v>13</v>
      </c>
      <c r="AJ354">
        <v>14</v>
      </c>
      <c r="AK354">
        <v>22</v>
      </c>
      <c r="AL354">
        <v>24</v>
      </c>
      <c r="AM354">
        <v>23</v>
      </c>
      <c r="AN354">
        <v>4</v>
      </c>
      <c r="AO354">
        <v>21</v>
      </c>
      <c r="AP354">
        <v>11</v>
      </c>
      <c r="AQ354">
        <v>10</v>
      </c>
      <c r="AR354">
        <v>7</v>
      </c>
      <c r="AS354">
        <v>6</v>
      </c>
    </row>
    <row r="355" spans="1:45" x14ac:dyDescent="0.25">
      <c r="A355">
        <v>30</v>
      </c>
      <c r="B355" t="s">
        <v>401</v>
      </c>
      <c r="E355" t="s">
        <v>378</v>
      </c>
      <c r="K355">
        <f>Scores_and_Fixtures[[#This Row],[Wk]]</f>
        <v>30</v>
      </c>
      <c r="L355" t="str">
        <f>Scores_and_Fixtures[[#This Row],[Home]]</f>
        <v>West Brom</v>
      </c>
      <c r="M355">
        <f ca="1">IF(ISBLANK(Scores_and_Fixtures[[#This Row],[Home Score]])=FALSE,Scores_and_Fixtures[[#This Row],[Home Score]],_xlfn.BINOM.INV(10000,(VLOOKUP(L355,$CK$4:$CM$27,2,FALSE)*VLOOKUP(O355,$CK$4:$CM$27,3,FALSE)*($CM$2/2))/10000,RAND()))</f>
        <v>1</v>
      </c>
      <c r="N355">
        <f ca="1">IF(ISBLANK(Scores_and_Fixtures[[#This Row],[Away Score]])=FALSE,Scores_and_Fixtures[[#This Row],[Away Score]],_xlfn.BINOM.INV(10000,(VLOOKUP(O355,$CK$4:$CM$27,2,FALSE)*VLOOKUP(L355,$CK$4:$CM$27,3,FALSE)*($CM$2/2))/10000,RAND()))</f>
        <v>1</v>
      </c>
      <c r="O355" t="str">
        <f>Scores_and_Fixtures[[#This Row],[Away]]</f>
        <v>Birmingham City</v>
      </c>
      <c r="U355">
        <v>254</v>
      </c>
      <c r="V355">
        <v>15</v>
      </c>
      <c r="W355">
        <v>9</v>
      </c>
      <c r="X355">
        <v>19</v>
      </c>
      <c r="Y355">
        <v>10</v>
      </c>
      <c r="Z355">
        <v>18</v>
      </c>
      <c r="AA355">
        <v>21</v>
      </c>
      <c r="AB355">
        <v>7</v>
      </c>
      <c r="AC355">
        <v>2</v>
      </c>
      <c r="AD355">
        <v>4</v>
      </c>
      <c r="AE355">
        <v>1</v>
      </c>
      <c r="AF355">
        <v>11</v>
      </c>
      <c r="AG355">
        <v>17</v>
      </c>
      <c r="AH355">
        <v>13</v>
      </c>
      <c r="AI355">
        <v>14</v>
      </c>
      <c r="AJ355">
        <v>12</v>
      </c>
      <c r="AK355">
        <v>22</v>
      </c>
      <c r="AL355">
        <v>24</v>
      </c>
      <c r="AM355">
        <v>23</v>
      </c>
      <c r="AN355">
        <v>3</v>
      </c>
      <c r="AO355">
        <v>20</v>
      </c>
      <c r="AP355">
        <v>8</v>
      </c>
      <c r="AQ355">
        <v>16</v>
      </c>
      <c r="AR355">
        <v>6</v>
      </c>
      <c r="AS355">
        <v>5</v>
      </c>
    </row>
    <row r="356" spans="1:45" x14ac:dyDescent="0.25">
      <c r="A356">
        <v>30</v>
      </c>
      <c r="B356" t="s">
        <v>400</v>
      </c>
      <c r="E356" t="s">
        <v>381</v>
      </c>
      <c r="K356">
        <f>Scores_and_Fixtures[[#This Row],[Wk]]</f>
        <v>30</v>
      </c>
      <c r="L356" t="str">
        <f>Scores_and_Fixtures[[#This Row],[Home]]</f>
        <v>Watford</v>
      </c>
      <c r="M356">
        <f ca="1">IF(ISBLANK(Scores_and_Fixtures[[#This Row],[Home Score]])=FALSE,Scores_and_Fixtures[[#This Row],[Home Score]],_xlfn.BINOM.INV(10000,(VLOOKUP(L356,$CK$4:$CM$27,2,FALSE)*VLOOKUP(O356,$CK$4:$CM$27,3,FALSE)*($CM$2/2))/10000,RAND()))</f>
        <v>1</v>
      </c>
      <c r="N356">
        <f ca="1">IF(ISBLANK(Scores_and_Fixtures[[#This Row],[Away Score]])=FALSE,Scores_and_Fixtures[[#This Row],[Away Score]],_xlfn.BINOM.INV(10000,(VLOOKUP(O356,$CK$4:$CM$27,2,FALSE)*VLOOKUP(L356,$CK$4:$CM$27,3,FALSE)*($CM$2/2))/10000,RAND()))</f>
        <v>0</v>
      </c>
      <c r="O356" t="str">
        <f>Scores_and_Fixtures[[#This Row],[Away]]</f>
        <v>Cardiff City</v>
      </c>
      <c r="U356">
        <v>255</v>
      </c>
      <c r="V356">
        <v>13</v>
      </c>
      <c r="W356">
        <v>6</v>
      </c>
      <c r="X356">
        <v>14</v>
      </c>
      <c r="Y356">
        <v>11</v>
      </c>
      <c r="Z356">
        <v>9</v>
      </c>
      <c r="AA356">
        <v>21</v>
      </c>
      <c r="AB356">
        <v>5</v>
      </c>
      <c r="AC356">
        <v>2</v>
      </c>
      <c r="AD356">
        <v>3</v>
      </c>
      <c r="AE356">
        <v>1</v>
      </c>
      <c r="AF356">
        <v>15</v>
      </c>
      <c r="AG356">
        <v>18</v>
      </c>
      <c r="AH356">
        <v>17</v>
      </c>
      <c r="AI356">
        <v>20</v>
      </c>
      <c r="AJ356">
        <v>10</v>
      </c>
      <c r="AK356">
        <v>22</v>
      </c>
      <c r="AL356">
        <v>24</v>
      </c>
      <c r="AM356">
        <v>23</v>
      </c>
      <c r="AN356">
        <v>4</v>
      </c>
      <c r="AO356">
        <v>19</v>
      </c>
      <c r="AP356">
        <v>8</v>
      </c>
      <c r="AQ356">
        <v>16</v>
      </c>
      <c r="AR356">
        <v>12</v>
      </c>
      <c r="AS356">
        <v>7</v>
      </c>
    </row>
    <row r="357" spans="1:45" x14ac:dyDescent="0.25">
      <c r="A357">
        <v>30</v>
      </c>
      <c r="B357" t="s">
        <v>388</v>
      </c>
      <c r="E357" t="s">
        <v>398</v>
      </c>
      <c r="K357">
        <f>Scores_and_Fixtures[[#This Row],[Wk]]</f>
        <v>30</v>
      </c>
      <c r="L357" t="str">
        <f>Scores_and_Fixtures[[#This Row],[Home]]</f>
        <v>Middlesbrough</v>
      </c>
      <c r="M357">
        <f ca="1">IF(ISBLANK(Scores_and_Fixtures[[#This Row],[Home Score]])=FALSE,Scores_and_Fixtures[[#This Row],[Home Score]],_xlfn.BINOM.INV(10000,(VLOOKUP(L357,$CK$4:$CM$27,2,FALSE)*VLOOKUP(O357,$CK$4:$CM$27,3,FALSE)*($CM$2/2))/10000,RAND()))</f>
        <v>2</v>
      </c>
      <c r="N357">
        <f ca="1">IF(ISBLANK(Scores_and_Fixtures[[#This Row],[Away Score]])=FALSE,Scores_and_Fixtures[[#This Row],[Away Score]],_xlfn.BINOM.INV(10000,(VLOOKUP(O357,$CK$4:$CM$27,2,FALSE)*VLOOKUP(L357,$CK$4:$CM$27,3,FALSE)*($CM$2/2))/10000,RAND()))</f>
        <v>0</v>
      </c>
      <c r="O357" t="str">
        <f>Scores_and_Fixtures[[#This Row],[Away]]</f>
        <v>Sunderland</v>
      </c>
      <c r="U357">
        <v>256</v>
      </c>
      <c r="V357">
        <v>18</v>
      </c>
      <c r="W357">
        <v>11</v>
      </c>
      <c r="X357">
        <v>12</v>
      </c>
      <c r="Y357">
        <v>8</v>
      </c>
      <c r="Z357">
        <v>16</v>
      </c>
      <c r="AA357">
        <v>21</v>
      </c>
      <c r="AB357">
        <v>7</v>
      </c>
      <c r="AC357">
        <v>2</v>
      </c>
      <c r="AD357">
        <v>4</v>
      </c>
      <c r="AE357">
        <v>1</v>
      </c>
      <c r="AF357">
        <v>6</v>
      </c>
      <c r="AG357">
        <v>15</v>
      </c>
      <c r="AH357">
        <v>13</v>
      </c>
      <c r="AI357">
        <v>20</v>
      </c>
      <c r="AJ357">
        <v>14</v>
      </c>
      <c r="AK357">
        <v>22</v>
      </c>
      <c r="AL357">
        <v>24</v>
      </c>
      <c r="AM357">
        <v>23</v>
      </c>
      <c r="AN357">
        <v>3</v>
      </c>
      <c r="AO357">
        <v>19</v>
      </c>
      <c r="AP357">
        <v>9</v>
      </c>
      <c r="AQ357">
        <v>17</v>
      </c>
      <c r="AR357">
        <v>10</v>
      </c>
      <c r="AS357">
        <v>5</v>
      </c>
    </row>
    <row r="358" spans="1:45" x14ac:dyDescent="0.25">
      <c r="A358">
        <v>30</v>
      </c>
      <c r="B358" t="s">
        <v>399</v>
      </c>
      <c r="E358" t="s">
        <v>391</v>
      </c>
      <c r="K358">
        <f>Scores_and_Fixtures[[#This Row],[Wk]]</f>
        <v>30</v>
      </c>
      <c r="L358" t="str">
        <f>Scores_and_Fixtures[[#This Row],[Home]]</f>
        <v>Swansea City</v>
      </c>
      <c r="M358">
        <f ca="1">IF(ISBLANK(Scores_and_Fixtures[[#This Row],[Home Score]])=FALSE,Scores_and_Fixtures[[#This Row],[Home Score]],_xlfn.BINOM.INV(10000,(VLOOKUP(L358,$CK$4:$CM$27,2,FALSE)*VLOOKUP(O358,$CK$4:$CM$27,3,FALSE)*($CM$2/2))/10000,RAND()))</f>
        <v>1</v>
      </c>
      <c r="N358">
        <f ca="1">IF(ISBLANK(Scores_and_Fixtures[[#This Row],[Away Score]])=FALSE,Scores_and_Fixtures[[#This Row],[Away Score]],_xlfn.BINOM.INV(10000,(VLOOKUP(O358,$CK$4:$CM$27,2,FALSE)*VLOOKUP(L358,$CK$4:$CM$27,3,FALSE)*($CM$2/2))/10000,RAND()))</f>
        <v>0</v>
      </c>
      <c r="O358" t="str">
        <f>Scores_and_Fixtures[[#This Row],[Away]]</f>
        <v>Plymouth Argyle</v>
      </c>
      <c r="U358">
        <v>257</v>
      </c>
      <c r="V358">
        <v>10</v>
      </c>
      <c r="W358">
        <v>13</v>
      </c>
      <c r="X358">
        <v>11</v>
      </c>
      <c r="Y358">
        <v>12</v>
      </c>
      <c r="Z358">
        <v>14</v>
      </c>
      <c r="AA358">
        <v>17</v>
      </c>
      <c r="AB358">
        <v>4</v>
      </c>
      <c r="AC358">
        <v>3</v>
      </c>
      <c r="AD358">
        <v>5</v>
      </c>
      <c r="AE358">
        <v>1</v>
      </c>
      <c r="AF358">
        <v>18</v>
      </c>
      <c r="AG358">
        <v>20</v>
      </c>
      <c r="AH358">
        <v>16</v>
      </c>
      <c r="AI358">
        <v>15</v>
      </c>
      <c r="AJ358">
        <v>7</v>
      </c>
      <c r="AK358">
        <v>22</v>
      </c>
      <c r="AL358">
        <v>24</v>
      </c>
      <c r="AM358">
        <v>23</v>
      </c>
      <c r="AN358">
        <v>2</v>
      </c>
      <c r="AO358">
        <v>21</v>
      </c>
      <c r="AP358">
        <v>9</v>
      </c>
      <c r="AQ358">
        <v>19</v>
      </c>
      <c r="AR358">
        <v>8</v>
      </c>
      <c r="AS358">
        <v>6</v>
      </c>
    </row>
    <row r="359" spans="1:45" x14ac:dyDescent="0.25">
      <c r="A359">
        <v>30</v>
      </c>
      <c r="B359" t="s">
        <v>383</v>
      </c>
      <c r="E359" t="s">
        <v>395</v>
      </c>
      <c r="K359">
        <f>Scores_and_Fixtures[[#This Row],[Wk]]</f>
        <v>30</v>
      </c>
      <c r="L359" t="str">
        <f>Scores_and_Fixtures[[#This Row],[Home]]</f>
        <v>Huddersfield</v>
      </c>
      <c r="M359">
        <f ca="1">IF(ISBLANK(Scores_and_Fixtures[[#This Row],[Home Score]])=FALSE,Scores_and_Fixtures[[#This Row],[Home Score]],_xlfn.BINOM.INV(10000,(VLOOKUP(L359,$CK$4:$CM$27,2,FALSE)*VLOOKUP(O359,$CK$4:$CM$27,3,FALSE)*($CM$2/2))/10000,RAND()))</f>
        <v>0</v>
      </c>
      <c r="N359">
        <f ca="1">IF(ISBLANK(Scores_and_Fixtures[[#This Row],[Away Score]])=FALSE,Scores_and_Fixtures[[#This Row],[Away Score]],_xlfn.BINOM.INV(10000,(VLOOKUP(O359,$CK$4:$CM$27,2,FALSE)*VLOOKUP(L359,$CK$4:$CM$27,3,FALSE)*($CM$2/2))/10000,RAND()))</f>
        <v>0</v>
      </c>
      <c r="O359" t="str">
        <f>Scores_and_Fixtures[[#This Row],[Away]]</f>
        <v>Sheffield Weds</v>
      </c>
      <c r="U359">
        <v>258</v>
      </c>
      <c r="V359">
        <v>13</v>
      </c>
      <c r="W359">
        <v>9</v>
      </c>
      <c r="X359">
        <v>12</v>
      </c>
      <c r="Y359">
        <v>11</v>
      </c>
      <c r="Z359">
        <v>17</v>
      </c>
      <c r="AA359">
        <v>18</v>
      </c>
      <c r="AB359">
        <v>5</v>
      </c>
      <c r="AC359">
        <v>2</v>
      </c>
      <c r="AD359">
        <v>3</v>
      </c>
      <c r="AE359">
        <v>1</v>
      </c>
      <c r="AF359">
        <v>16</v>
      </c>
      <c r="AG359">
        <v>19</v>
      </c>
      <c r="AH359">
        <v>10</v>
      </c>
      <c r="AI359">
        <v>15</v>
      </c>
      <c r="AJ359">
        <v>14</v>
      </c>
      <c r="AK359">
        <v>21</v>
      </c>
      <c r="AL359">
        <v>22</v>
      </c>
      <c r="AM359">
        <v>24</v>
      </c>
      <c r="AN359">
        <v>4</v>
      </c>
      <c r="AO359">
        <v>23</v>
      </c>
      <c r="AP359">
        <v>6</v>
      </c>
      <c r="AQ359">
        <v>20</v>
      </c>
      <c r="AR359">
        <v>8</v>
      </c>
      <c r="AS359">
        <v>7</v>
      </c>
    </row>
    <row r="360" spans="1:45" x14ac:dyDescent="0.25">
      <c r="A360">
        <v>30</v>
      </c>
      <c r="B360" t="s">
        <v>397</v>
      </c>
      <c r="E360" t="s">
        <v>387</v>
      </c>
      <c r="K360">
        <f>Scores_and_Fixtures[[#This Row],[Wk]]</f>
        <v>30</v>
      </c>
      <c r="L360" t="str">
        <f>Scores_and_Fixtures[[#This Row],[Home]]</f>
        <v>Stoke City</v>
      </c>
      <c r="M360">
        <f ca="1">IF(ISBLANK(Scores_and_Fixtures[[#This Row],[Home Score]])=FALSE,Scores_and_Fixtures[[#This Row],[Home Score]],_xlfn.BINOM.INV(10000,(VLOOKUP(L360,$CK$4:$CM$27,2,FALSE)*VLOOKUP(O360,$CK$4:$CM$27,3,FALSE)*($CM$2/2))/10000,RAND()))</f>
        <v>0</v>
      </c>
      <c r="N360">
        <f ca="1">IF(ISBLANK(Scores_and_Fixtures[[#This Row],[Away Score]])=FALSE,Scores_and_Fixtures[[#This Row],[Away Score]],_xlfn.BINOM.INV(10000,(VLOOKUP(O360,$CK$4:$CM$27,2,FALSE)*VLOOKUP(L360,$CK$4:$CM$27,3,FALSE)*($CM$2/2))/10000,RAND()))</f>
        <v>1</v>
      </c>
      <c r="O360" t="str">
        <f>Scores_and_Fixtures[[#This Row],[Away]]</f>
        <v>Leicester City</v>
      </c>
      <c r="U360">
        <v>259</v>
      </c>
      <c r="V360">
        <v>14</v>
      </c>
      <c r="W360">
        <v>17</v>
      </c>
      <c r="X360">
        <v>15</v>
      </c>
      <c r="Y360">
        <v>10</v>
      </c>
      <c r="Z360">
        <v>16</v>
      </c>
      <c r="AA360">
        <v>19</v>
      </c>
      <c r="AB360">
        <v>5</v>
      </c>
      <c r="AC360">
        <v>2</v>
      </c>
      <c r="AD360">
        <v>4</v>
      </c>
      <c r="AE360">
        <v>1</v>
      </c>
      <c r="AF360">
        <v>9</v>
      </c>
      <c r="AG360">
        <v>21</v>
      </c>
      <c r="AH360">
        <v>6</v>
      </c>
      <c r="AI360">
        <v>13</v>
      </c>
      <c r="AJ360">
        <v>12</v>
      </c>
      <c r="AK360">
        <v>22</v>
      </c>
      <c r="AL360">
        <v>24</v>
      </c>
      <c r="AM360">
        <v>23</v>
      </c>
      <c r="AN360">
        <v>3</v>
      </c>
      <c r="AO360">
        <v>20</v>
      </c>
      <c r="AP360">
        <v>7</v>
      </c>
      <c r="AQ360">
        <v>18</v>
      </c>
      <c r="AR360">
        <v>11</v>
      </c>
      <c r="AS360">
        <v>8</v>
      </c>
    </row>
    <row r="361" spans="1:45" x14ac:dyDescent="0.25">
      <c r="A361">
        <v>30</v>
      </c>
      <c r="B361" t="s">
        <v>390</v>
      </c>
      <c r="E361" t="s">
        <v>382</v>
      </c>
      <c r="K361">
        <f>Scores_and_Fixtures[[#This Row],[Wk]]</f>
        <v>30</v>
      </c>
      <c r="L361" t="str">
        <f>Scores_and_Fixtures[[#This Row],[Home]]</f>
        <v>Norwich City</v>
      </c>
      <c r="M361">
        <f ca="1">IF(ISBLANK(Scores_and_Fixtures[[#This Row],[Home Score]])=FALSE,Scores_and_Fixtures[[#This Row],[Home Score]],_xlfn.BINOM.INV(10000,(VLOOKUP(L361,$CK$4:$CM$27,2,FALSE)*VLOOKUP(O361,$CK$4:$CM$27,3,FALSE)*($CM$2/2))/10000,RAND()))</f>
        <v>1</v>
      </c>
      <c r="N361">
        <f ca="1">IF(ISBLANK(Scores_and_Fixtures[[#This Row],[Away Score]])=FALSE,Scores_and_Fixtures[[#This Row],[Away Score]],_xlfn.BINOM.INV(10000,(VLOOKUP(O361,$CK$4:$CM$27,2,FALSE)*VLOOKUP(L361,$CK$4:$CM$27,3,FALSE)*($CM$2/2))/10000,RAND()))</f>
        <v>1</v>
      </c>
      <c r="O361" t="str">
        <f>Scores_and_Fixtures[[#This Row],[Away]]</f>
        <v>Coventry City</v>
      </c>
      <c r="U361">
        <v>260</v>
      </c>
      <c r="V361">
        <v>17</v>
      </c>
      <c r="W361">
        <v>10</v>
      </c>
      <c r="X361">
        <v>13</v>
      </c>
      <c r="Y361">
        <v>8</v>
      </c>
      <c r="Z361">
        <v>15</v>
      </c>
      <c r="AA361">
        <v>21</v>
      </c>
      <c r="AB361">
        <v>5</v>
      </c>
      <c r="AC361">
        <v>2</v>
      </c>
      <c r="AD361">
        <v>4</v>
      </c>
      <c r="AE361">
        <v>1</v>
      </c>
      <c r="AF361">
        <v>14</v>
      </c>
      <c r="AG361">
        <v>19</v>
      </c>
      <c r="AH361">
        <v>9</v>
      </c>
      <c r="AI361">
        <v>12</v>
      </c>
      <c r="AJ361">
        <v>11</v>
      </c>
      <c r="AK361">
        <v>22</v>
      </c>
      <c r="AL361">
        <v>23</v>
      </c>
      <c r="AM361">
        <v>24</v>
      </c>
      <c r="AN361">
        <v>3</v>
      </c>
      <c r="AO361">
        <v>20</v>
      </c>
      <c r="AP361">
        <v>16</v>
      </c>
      <c r="AQ361">
        <v>18</v>
      </c>
      <c r="AR361">
        <v>7</v>
      </c>
      <c r="AS361">
        <v>6</v>
      </c>
    </row>
    <row r="362" spans="1:45" x14ac:dyDescent="0.25">
      <c r="A362">
        <v>31</v>
      </c>
      <c r="B362" t="s">
        <v>393</v>
      </c>
      <c r="E362" t="s">
        <v>390</v>
      </c>
      <c r="K362">
        <f>Scores_and_Fixtures[[#This Row],[Wk]]</f>
        <v>31</v>
      </c>
      <c r="L362" t="str">
        <f>Scores_and_Fixtures[[#This Row],[Home]]</f>
        <v>QPR</v>
      </c>
      <c r="M362">
        <f ca="1">IF(ISBLANK(Scores_and_Fixtures[[#This Row],[Home Score]])=FALSE,Scores_and_Fixtures[[#This Row],[Home Score]],_xlfn.BINOM.INV(10000,(VLOOKUP(L362,$CK$4:$CM$27,2,FALSE)*VLOOKUP(O362,$CK$4:$CM$27,3,FALSE)*($CM$2/2))/10000,RAND()))</f>
        <v>0</v>
      </c>
      <c r="N362">
        <f ca="1">IF(ISBLANK(Scores_and_Fixtures[[#This Row],[Away Score]])=FALSE,Scores_and_Fixtures[[#This Row],[Away Score]],_xlfn.BINOM.INV(10000,(VLOOKUP(O362,$CK$4:$CM$27,2,FALSE)*VLOOKUP(L362,$CK$4:$CM$27,3,FALSE)*($CM$2/2))/10000,RAND()))</f>
        <v>4</v>
      </c>
      <c r="O362" t="str">
        <f>Scores_and_Fixtures[[#This Row],[Away]]</f>
        <v>Norwich City</v>
      </c>
      <c r="U362">
        <v>261</v>
      </c>
      <c r="V362">
        <v>17</v>
      </c>
      <c r="W362">
        <v>8</v>
      </c>
      <c r="X362">
        <v>18</v>
      </c>
      <c r="Y362">
        <v>14</v>
      </c>
      <c r="Z362">
        <v>9</v>
      </c>
      <c r="AA362">
        <v>19</v>
      </c>
      <c r="AB362">
        <v>5</v>
      </c>
      <c r="AC362">
        <v>2</v>
      </c>
      <c r="AD362">
        <v>3</v>
      </c>
      <c r="AE362">
        <v>1</v>
      </c>
      <c r="AF362">
        <v>10</v>
      </c>
      <c r="AG362">
        <v>15</v>
      </c>
      <c r="AH362">
        <v>11</v>
      </c>
      <c r="AI362">
        <v>20</v>
      </c>
      <c r="AJ362">
        <v>12</v>
      </c>
      <c r="AK362">
        <v>22</v>
      </c>
      <c r="AL362">
        <v>23</v>
      </c>
      <c r="AM362">
        <v>24</v>
      </c>
      <c r="AN362">
        <v>4</v>
      </c>
      <c r="AO362">
        <v>21</v>
      </c>
      <c r="AP362">
        <v>13</v>
      </c>
      <c r="AQ362">
        <v>16</v>
      </c>
      <c r="AR362">
        <v>7</v>
      </c>
      <c r="AS362">
        <v>6</v>
      </c>
    </row>
    <row r="363" spans="1:45" x14ac:dyDescent="0.25">
      <c r="A363">
        <v>31</v>
      </c>
      <c r="B363" t="s">
        <v>381</v>
      </c>
      <c r="E363" t="s">
        <v>392</v>
      </c>
      <c r="K363">
        <f>Scores_and_Fixtures[[#This Row],[Wk]]</f>
        <v>31</v>
      </c>
      <c r="L363" t="str">
        <f>Scores_and_Fixtures[[#This Row],[Home]]</f>
        <v>Cardiff City</v>
      </c>
      <c r="M363">
        <f ca="1">IF(ISBLANK(Scores_and_Fixtures[[#This Row],[Home Score]])=FALSE,Scores_and_Fixtures[[#This Row],[Home Score]],_xlfn.BINOM.INV(10000,(VLOOKUP(L363,$CK$4:$CM$27,2,FALSE)*VLOOKUP(O363,$CK$4:$CM$27,3,FALSE)*($CM$2/2))/10000,RAND()))</f>
        <v>2</v>
      </c>
      <c r="N363">
        <f ca="1">IF(ISBLANK(Scores_and_Fixtures[[#This Row],[Away Score]])=FALSE,Scores_and_Fixtures[[#This Row],[Away Score]],_xlfn.BINOM.INV(10000,(VLOOKUP(O363,$CK$4:$CM$27,2,FALSE)*VLOOKUP(L363,$CK$4:$CM$27,3,FALSE)*($CM$2/2))/10000,RAND()))</f>
        <v>0</v>
      </c>
      <c r="O363" t="str">
        <f>Scores_and_Fixtures[[#This Row],[Away]]</f>
        <v>Preston</v>
      </c>
      <c r="U363">
        <v>262</v>
      </c>
      <c r="V363">
        <v>15</v>
      </c>
      <c r="W363">
        <v>16</v>
      </c>
      <c r="X363">
        <v>11</v>
      </c>
      <c r="Y363">
        <v>14</v>
      </c>
      <c r="Z363">
        <v>13</v>
      </c>
      <c r="AA363">
        <v>22</v>
      </c>
      <c r="AB363">
        <v>5</v>
      </c>
      <c r="AC363">
        <v>2</v>
      </c>
      <c r="AD363">
        <v>3</v>
      </c>
      <c r="AE363">
        <v>1</v>
      </c>
      <c r="AF363">
        <v>8</v>
      </c>
      <c r="AG363">
        <v>19</v>
      </c>
      <c r="AH363">
        <v>7</v>
      </c>
      <c r="AI363">
        <v>17</v>
      </c>
      <c r="AJ363">
        <v>12</v>
      </c>
      <c r="AK363">
        <v>21</v>
      </c>
      <c r="AL363">
        <v>23</v>
      </c>
      <c r="AM363">
        <v>24</v>
      </c>
      <c r="AN363">
        <v>4</v>
      </c>
      <c r="AO363">
        <v>20</v>
      </c>
      <c r="AP363">
        <v>10</v>
      </c>
      <c r="AQ363">
        <v>18</v>
      </c>
      <c r="AR363">
        <v>9</v>
      </c>
      <c r="AS363">
        <v>6</v>
      </c>
    </row>
    <row r="364" spans="1:45" x14ac:dyDescent="0.25">
      <c r="A364">
        <v>31</v>
      </c>
      <c r="B364" t="s">
        <v>384</v>
      </c>
      <c r="E364" t="s">
        <v>399</v>
      </c>
      <c r="K364">
        <f>Scores_and_Fixtures[[#This Row],[Wk]]</f>
        <v>31</v>
      </c>
      <c r="L364" t="str">
        <f>Scores_and_Fixtures[[#This Row],[Home]]</f>
        <v>Hull City</v>
      </c>
      <c r="M364">
        <f ca="1">IF(ISBLANK(Scores_and_Fixtures[[#This Row],[Home Score]])=FALSE,Scores_and_Fixtures[[#This Row],[Home Score]],_xlfn.BINOM.INV(10000,(VLOOKUP(L364,$CK$4:$CM$27,2,FALSE)*VLOOKUP(O364,$CK$4:$CM$27,3,FALSE)*($CM$2/2))/10000,RAND()))</f>
        <v>4</v>
      </c>
      <c r="N364">
        <f ca="1">IF(ISBLANK(Scores_and_Fixtures[[#This Row],[Away Score]])=FALSE,Scores_and_Fixtures[[#This Row],[Away Score]],_xlfn.BINOM.INV(10000,(VLOOKUP(O364,$CK$4:$CM$27,2,FALSE)*VLOOKUP(L364,$CK$4:$CM$27,3,FALSE)*($CM$2/2))/10000,RAND()))</f>
        <v>4</v>
      </c>
      <c r="O364" t="str">
        <f>Scores_and_Fixtures[[#This Row],[Away]]</f>
        <v>Swansea City</v>
      </c>
      <c r="U364">
        <v>263</v>
      </c>
      <c r="V364">
        <v>14</v>
      </c>
      <c r="W364">
        <v>10</v>
      </c>
      <c r="X364">
        <v>16</v>
      </c>
      <c r="Y364">
        <v>12</v>
      </c>
      <c r="Z364">
        <v>17</v>
      </c>
      <c r="AA364">
        <v>20</v>
      </c>
      <c r="AB364">
        <v>5</v>
      </c>
      <c r="AC364">
        <v>3</v>
      </c>
      <c r="AD364">
        <v>4</v>
      </c>
      <c r="AE364">
        <v>1</v>
      </c>
      <c r="AF364">
        <v>18</v>
      </c>
      <c r="AG364">
        <v>19</v>
      </c>
      <c r="AH364">
        <v>7</v>
      </c>
      <c r="AI364">
        <v>13</v>
      </c>
      <c r="AJ364">
        <v>8</v>
      </c>
      <c r="AK364">
        <v>22</v>
      </c>
      <c r="AL364">
        <v>24</v>
      </c>
      <c r="AM364">
        <v>23</v>
      </c>
      <c r="AN364">
        <v>2</v>
      </c>
      <c r="AO364">
        <v>21</v>
      </c>
      <c r="AP364">
        <v>6</v>
      </c>
      <c r="AQ364" t="e">
        <v>#N/A</v>
      </c>
      <c r="AR364">
        <v>11</v>
      </c>
      <c r="AS364">
        <v>9</v>
      </c>
    </row>
    <row r="365" spans="1:45" x14ac:dyDescent="0.25">
      <c r="A365">
        <v>31</v>
      </c>
      <c r="B365" t="s">
        <v>398</v>
      </c>
      <c r="E365" t="s">
        <v>391</v>
      </c>
      <c r="K365">
        <f>Scores_and_Fixtures[[#This Row],[Wk]]</f>
        <v>31</v>
      </c>
      <c r="L365" t="str">
        <f>Scores_and_Fixtures[[#This Row],[Home]]</f>
        <v>Sunderland</v>
      </c>
      <c r="M365">
        <f ca="1">IF(ISBLANK(Scores_and_Fixtures[[#This Row],[Home Score]])=FALSE,Scores_and_Fixtures[[#This Row],[Home Score]],_xlfn.BINOM.INV(10000,(VLOOKUP(L365,$CK$4:$CM$27,2,FALSE)*VLOOKUP(O365,$CK$4:$CM$27,3,FALSE)*($CM$2/2))/10000,RAND()))</f>
        <v>3</v>
      </c>
      <c r="N365">
        <f ca="1">IF(ISBLANK(Scores_and_Fixtures[[#This Row],[Away Score]])=FALSE,Scores_and_Fixtures[[#This Row],[Away Score]],_xlfn.BINOM.INV(10000,(VLOOKUP(O365,$CK$4:$CM$27,2,FALSE)*VLOOKUP(L365,$CK$4:$CM$27,3,FALSE)*($CM$2/2))/10000,RAND()))</f>
        <v>1</v>
      </c>
      <c r="O365" t="str">
        <f>Scores_and_Fixtures[[#This Row],[Away]]</f>
        <v>Plymouth Argyle</v>
      </c>
      <c r="U365">
        <v>264</v>
      </c>
      <c r="V365">
        <v>20</v>
      </c>
      <c r="W365">
        <v>6</v>
      </c>
      <c r="X365">
        <v>15</v>
      </c>
      <c r="Y365">
        <v>7</v>
      </c>
      <c r="Z365">
        <v>13</v>
      </c>
      <c r="AA365">
        <v>22</v>
      </c>
      <c r="AB365">
        <v>11</v>
      </c>
      <c r="AC365">
        <v>2</v>
      </c>
      <c r="AD365">
        <v>4</v>
      </c>
      <c r="AE365">
        <v>1</v>
      </c>
      <c r="AF365">
        <v>14</v>
      </c>
      <c r="AG365">
        <v>19</v>
      </c>
      <c r="AH365">
        <v>12</v>
      </c>
      <c r="AI365">
        <v>18</v>
      </c>
      <c r="AJ365">
        <v>10</v>
      </c>
      <c r="AK365">
        <v>17</v>
      </c>
      <c r="AL365">
        <v>24</v>
      </c>
      <c r="AM365">
        <v>23</v>
      </c>
      <c r="AN365">
        <v>3</v>
      </c>
      <c r="AO365">
        <v>21</v>
      </c>
      <c r="AP365">
        <v>8</v>
      </c>
      <c r="AQ365">
        <v>16</v>
      </c>
      <c r="AR365">
        <v>9</v>
      </c>
      <c r="AS365">
        <v>5</v>
      </c>
    </row>
    <row r="366" spans="1:45" x14ac:dyDescent="0.25">
      <c r="A366">
        <v>31</v>
      </c>
      <c r="B366" t="s">
        <v>379</v>
      </c>
      <c r="E366" t="s">
        <v>397</v>
      </c>
      <c r="K366">
        <f>Scores_and_Fixtures[[#This Row],[Wk]]</f>
        <v>31</v>
      </c>
      <c r="L366" t="str">
        <f>Scores_and_Fixtures[[#This Row],[Home]]</f>
        <v>Blackburn</v>
      </c>
      <c r="M366">
        <f ca="1">IF(ISBLANK(Scores_and_Fixtures[[#This Row],[Home Score]])=FALSE,Scores_and_Fixtures[[#This Row],[Home Score]],_xlfn.BINOM.INV(10000,(VLOOKUP(L366,$CK$4:$CM$27,2,FALSE)*VLOOKUP(O366,$CK$4:$CM$27,3,FALSE)*($CM$2/2))/10000,RAND()))</f>
        <v>2</v>
      </c>
      <c r="N366">
        <f ca="1">IF(ISBLANK(Scores_and_Fixtures[[#This Row],[Away Score]])=FALSE,Scores_and_Fixtures[[#This Row],[Away Score]],_xlfn.BINOM.INV(10000,(VLOOKUP(O366,$CK$4:$CM$27,2,FALSE)*VLOOKUP(L366,$CK$4:$CM$27,3,FALSE)*($CM$2/2))/10000,RAND()))</f>
        <v>3</v>
      </c>
      <c r="O366" t="str">
        <f>Scores_and_Fixtures[[#This Row],[Away]]</f>
        <v>Stoke City</v>
      </c>
      <c r="U366">
        <v>265</v>
      </c>
      <c r="V366">
        <v>12</v>
      </c>
      <c r="W366">
        <v>17</v>
      </c>
      <c r="X366">
        <v>13</v>
      </c>
      <c r="Y366">
        <v>10</v>
      </c>
      <c r="Z366">
        <v>15</v>
      </c>
      <c r="AA366">
        <v>16</v>
      </c>
      <c r="AB366">
        <v>6</v>
      </c>
      <c r="AC366">
        <v>2</v>
      </c>
      <c r="AD366">
        <v>3</v>
      </c>
      <c r="AE366">
        <v>1</v>
      </c>
      <c r="AF366">
        <v>7</v>
      </c>
      <c r="AG366">
        <v>20</v>
      </c>
      <c r="AH366">
        <v>9</v>
      </c>
      <c r="AI366">
        <v>19</v>
      </c>
      <c r="AJ366">
        <v>8</v>
      </c>
      <c r="AK366">
        <v>22</v>
      </c>
      <c r="AL366">
        <v>24</v>
      </c>
      <c r="AM366">
        <v>23</v>
      </c>
      <c r="AN366">
        <v>4</v>
      </c>
      <c r="AO366">
        <v>18</v>
      </c>
      <c r="AP366">
        <v>14</v>
      </c>
      <c r="AQ366">
        <v>21</v>
      </c>
      <c r="AR366">
        <v>11</v>
      </c>
      <c r="AS366">
        <v>5</v>
      </c>
    </row>
    <row r="367" spans="1:45" x14ac:dyDescent="0.25">
      <c r="A367">
        <v>31</v>
      </c>
      <c r="B367" t="s">
        <v>382</v>
      </c>
      <c r="E367" t="s">
        <v>389</v>
      </c>
      <c r="K367">
        <f>Scores_and_Fixtures[[#This Row],[Wk]]</f>
        <v>31</v>
      </c>
      <c r="L367" t="str">
        <f>Scores_and_Fixtures[[#This Row],[Home]]</f>
        <v>Coventry City</v>
      </c>
      <c r="M367">
        <f ca="1">IF(ISBLANK(Scores_and_Fixtures[[#This Row],[Home Score]])=FALSE,Scores_and_Fixtures[[#This Row],[Home Score]],_xlfn.BINOM.INV(10000,(VLOOKUP(L367,$CK$4:$CM$27,2,FALSE)*VLOOKUP(O367,$CK$4:$CM$27,3,FALSE)*($CM$2/2))/10000,RAND()))</f>
        <v>0</v>
      </c>
      <c r="N367">
        <f ca="1">IF(ISBLANK(Scores_and_Fixtures[[#This Row],[Away Score]])=FALSE,Scores_and_Fixtures[[#This Row],[Away Score]],_xlfn.BINOM.INV(10000,(VLOOKUP(O367,$CK$4:$CM$27,2,FALSE)*VLOOKUP(L367,$CK$4:$CM$27,3,FALSE)*($CM$2/2))/10000,RAND()))</f>
        <v>1</v>
      </c>
      <c r="O367" t="str">
        <f>Scores_and_Fixtures[[#This Row],[Away]]</f>
        <v>Millwall</v>
      </c>
      <c r="U367">
        <v>266</v>
      </c>
      <c r="V367">
        <v>17</v>
      </c>
      <c r="W367">
        <v>8</v>
      </c>
      <c r="X367">
        <v>12</v>
      </c>
      <c r="Y367">
        <v>6</v>
      </c>
      <c r="Z367">
        <v>11</v>
      </c>
      <c r="AA367">
        <v>22</v>
      </c>
      <c r="AB367">
        <v>10</v>
      </c>
      <c r="AC367">
        <v>2</v>
      </c>
      <c r="AD367">
        <v>4</v>
      </c>
      <c r="AE367">
        <v>1</v>
      </c>
      <c r="AF367">
        <v>16</v>
      </c>
      <c r="AG367">
        <v>15</v>
      </c>
      <c r="AH367">
        <v>13</v>
      </c>
      <c r="AI367">
        <v>20</v>
      </c>
      <c r="AJ367">
        <v>19</v>
      </c>
      <c r="AK367">
        <v>21</v>
      </c>
      <c r="AL367">
        <v>23</v>
      </c>
      <c r="AM367">
        <v>24</v>
      </c>
      <c r="AN367">
        <v>3</v>
      </c>
      <c r="AO367">
        <v>18</v>
      </c>
      <c r="AP367">
        <v>9</v>
      </c>
      <c r="AQ367">
        <v>14</v>
      </c>
      <c r="AR367">
        <v>7</v>
      </c>
      <c r="AS367">
        <v>5</v>
      </c>
    </row>
    <row r="368" spans="1:45" x14ac:dyDescent="0.25">
      <c r="A368">
        <v>31</v>
      </c>
      <c r="B368" t="s">
        <v>400</v>
      </c>
      <c r="E368" t="s">
        <v>387</v>
      </c>
      <c r="K368">
        <f>Scores_and_Fixtures[[#This Row],[Wk]]</f>
        <v>31</v>
      </c>
      <c r="L368" t="str">
        <f>Scores_and_Fixtures[[#This Row],[Home]]</f>
        <v>Watford</v>
      </c>
      <c r="M368">
        <f ca="1">IF(ISBLANK(Scores_and_Fixtures[[#This Row],[Home Score]])=FALSE,Scores_and_Fixtures[[#This Row],[Home Score]],_xlfn.BINOM.INV(10000,(VLOOKUP(L368,$CK$4:$CM$27,2,FALSE)*VLOOKUP(O368,$CK$4:$CM$27,3,FALSE)*($CM$2/2))/10000,RAND()))</f>
        <v>0</v>
      </c>
      <c r="N368">
        <f ca="1">IF(ISBLANK(Scores_and_Fixtures[[#This Row],[Away Score]])=FALSE,Scores_and_Fixtures[[#This Row],[Away Score]],_xlfn.BINOM.INV(10000,(VLOOKUP(O368,$CK$4:$CM$27,2,FALSE)*VLOOKUP(L368,$CK$4:$CM$27,3,FALSE)*($CM$2/2))/10000,RAND()))</f>
        <v>1</v>
      </c>
      <c r="O368" t="str">
        <f>Scores_and_Fixtures[[#This Row],[Away]]</f>
        <v>Leicester City</v>
      </c>
      <c r="U368">
        <v>267</v>
      </c>
      <c r="V368">
        <v>14</v>
      </c>
      <c r="W368">
        <v>13</v>
      </c>
      <c r="X368">
        <v>12</v>
      </c>
      <c r="Y368">
        <v>9</v>
      </c>
      <c r="Z368">
        <v>19</v>
      </c>
      <c r="AA368">
        <v>21</v>
      </c>
      <c r="AB368">
        <v>8</v>
      </c>
      <c r="AC368">
        <v>1</v>
      </c>
      <c r="AD368">
        <v>3</v>
      </c>
      <c r="AE368">
        <v>2</v>
      </c>
      <c r="AF368">
        <v>11</v>
      </c>
      <c r="AG368">
        <v>16</v>
      </c>
      <c r="AH368">
        <v>10</v>
      </c>
      <c r="AI368">
        <v>18</v>
      </c>
      <c r="AJ368">
        <v>17</v>
      </c>
      <c r="AK368">
        <v>23</v>
      </c>
      <c r="AL368">
        <v>24</v>
      </c>
      <c r="AM368">
        <v>22</v>
      </c>
      <c r="AN368">
        <v>4</v>
      </c>
      <c r="AO368">
        <v>20</v>
      </c>
      <c r="AP368">
        <v>6</v>
      </c>
      <c r="AQ368">
        <v>15</v>
      </c>
      <c r="AR368">
        <v>7</v>
      </c>
      <c r="AS368">
        <v>5</v>
      </c>
    </row>
    <row r="369" spans="1:45" x14ac:dyDescent="0.25">
      <c r="A369">
        <v>31</v>
      </c>
      <c r="B369" t="s">
        <v>385</v>
      </c>
      <c r="E369" t="s">
        <v>401</v>
      </c>
      <c r="K369">
        <f>Scores_and_Fixtures[[#This Row],[Wk]]</f>
        <v>31</v>
      </c>
      <c r="L369" t="str">
        <f>Scores_and_Fixtures[[#This Row],[Home]]</f>
        <v>Ipswich Town</v>
      </c>
      <c r="M369">
        <f ca="1">IF(ISBLANK(Scores_and_Fixtures[[#This Row],[Home Score]])=FALSE,Scores_and_Fixtures[[#This Row],[Home Score]],_xlfn.BINOM.INV(10000,(VLOOKUP(L369,$CK$4:$CM$27,2,FALSE)*VLOOKUP(O369,$CK$4:$CM$27,3,FALSE)*($CM$2/2))/10000,RAND()))</f>
        <v>2</v>
      </c>
      <c r="N369">
        <f ca="1">IF(ISBLANK(Scores_and_Fixtures[[#This Row],[Away Score]])=FALSE,Scores_and_Fixtures[[#This Row],[Away Score]],_xlfn.BINOM.INV(10000,(VLOOKUP(O369,$CK$4:$CM$27,2,FALSE)*VLOOKUP(L369,$CK$4:$CM$27,3,FALSE)*($CM$2/2))/10000,RAND()))</f>
        <v>2</v>
      </c>
      <c r="O369" t="str">
        <f>Scores_and_Fixtures[[#This Row],[Away]]</f>
        <v>West Brom</v>
      </c>
      <c r="U369">
        <v>268</v>
      </c>
      <c r="V369">
        <v>12</v>
      </c>
      <c r="W369">
        <v>15</v>
      </c>
      <c r="X369">
        <v>9</v>
      </c>
      <c r="Y369">
        <v>16</v>
      </c>
      <c r="Z369">
        <v>14</v>
      </c>
      <c r="AA369">
        <v>22</v>
      </c>
      <c r="AB369">
        <v>6</v>
      </c>
      <c r="AC369">
        <v>2</v>
      </c>
      <c r="AD369">
        <v>3</v>
      </c>
      <c r="AE369">
        <v>1</v>
      </c>
      <c r="AF369">
        <v>13</v>
      </c>
      <c r="AG369">
        <v>19</v>
      </c>
      <c r="AH369">
        <v>5</v>
      </c>
      <c r="AI369">
        <v>17</v>
      </c>
      <c r="AJ369">
        <v>11</v>
      </c>
      <c r="AK369">
        <v>20</v>
      </c>
      <c r="AL369">
        <v>24</v>
      </c>
      <c r="AM369">
        <v>23</v>
      </c>
      <c r="AN369">
        <v>4</v>
      </c>
      <c r="AO369">
        <v>21</v>
      </c>
      <c r="AP369">
        <v>8</v>
      </c>
      <c r="AQ369">
        <v>18</v>
      </c>
      <c r="AR369">
        <v>10</v>
      </c>
      <c r="AS369">
        <v>7</v>
      </c>
    </row>
    <row r="370" spans="1:45" x14ac:dyDescent="0.25">
      <c r="A370">
        <v>31</v>
      </c>
      <c r="B370" t="s">
        <v>396</v>
      </c>
      <c r="E370" t="s">
        <v>383</v>
      </c>
      <c r="K370">
        <f>Scores_and_Fixtures[[#This Row],[Wk]]</f>
        <v>31</v>
      </c>
      <c r="L370" t="str">
        <f>Scores_and_Fixtures[[#This Row],[Home]]</f>
        <v>Southampton</v>
      </c>
      <c r="M370">
        <f ca="1">IF(ISBLANK(Scores_and_Fixtures[[#This Row],[Home Score]])=FALSE,Scores_and_Fixtures[[#This Row],[Home Score]],_xlfn.BINOM.INV(10000,(VLOOKUP(L370,$CK$4:$CM$27,2,FALSE)*VLOOKUP(O370,$CK$4:$CM$27,3,FALSE)*($CM$2/2))/10000,RAND()))</f>
        <v>1</v>
      </c>
      <c r="N370">
        <f ca="1">IF(ISBLANK(Scores_and_Fixtures[[#This Row],[Away Score]])=FALSE,Scores_and_Fixtures[[#This Row],[Away Score]],_xlfn.BINOM.INV(10000,(VLOOKUP(O370,$CK$4:$CM$27,2,FALSE)*VLOOKUP(L370,$CK$4:$CM$27,3,FALSE)*($CM$2/2))/10000,RAND()))</f>
        <v>0</v>
      </c>
      <c r="O370" t="str">
        <f>Scores_and_Fixtures[[#This Row],[Away]]</f>
        <v>Huddersfield</v>
      </c>
      <c r="U370">
        <v>269</v>
      </c>
      <c r="V370">
        <v>17</v>
      </c>
      <c r="W370">
        <v>13</v>
      </c>
      <c r="X370">
        <v>15</v>
      </c>
      <c r="Y370">
        <v>10</v>
      </c>
      <c r="Z370">
        <v>14</v>
      </c>
      <c r="AA370">
        <v>22</v>
      </c>
      <c r="AB370">
        <v>5</v>
      </c>
      <c r="AC370">
        <v>2</v>
      </c>
      <c r="AD370">
        <v>4</v>
      </c>
      <c r="AE370">
        <v>1</v>
      </c>
      <c r="AF370">
        <v>12</v>
      </c>
      <c r="AG370">
        <v>21</v>
      </c>
      <c r="AH370">
        <v>6</v>
      </c>
      <c r="AI370">
        <v>16</v>
      </c>
      <c r="AJ370">
        <v>9</v>
      </c>
      <c r="AK370">
        <v>18</v>
      </c>
      <c r="AL370">
        <v>23</v>
      </c>
      <c r="AM370">
        <v>24</v>
      </c>
      <c r="AN370">
        <v>3</v>
      </c>
      <c r="AO370">
        <v>19</v>
      </c>
      <c r="AP370">
        <v>7</v>
      </c>
      <c r="AQ370">
        <v>20</v>
      </c>
      <c r="AR370">
        <v>8</v>
      </c>
      <c r="AS370">
        <v>11</v>
      </c>
    </row>
    <row r="371" spans="1:45" x14ac:dyDescent="0.25">
      <c r="A371">
        <v>31</v>
      </c>
      <c r="B371" t="s">
        <v>386</v>
      </c>
      <c r="E371" t="s">
        <v>394</v>
      </c>
      <c r="K371">
        <f>Scores_and_Fixtures[[#This Row],[Wk]]</f>
        <v>31</v>
      </c>
      <c r="L371" t="str">
        <f>Scores_and_Fixtures[[#This Row],[Home]]</f>
        <v>Leeds United</v>
      </c>
      <c r="M371">
        <f ca="1">IF(ISBLANK(Scores_and_Fixtures[[#This Row],[Home Score]])=FALSE,Scores_and_Fixtures[[#This Row],[Home Score]],_xlfn.BINOM.INV(10000,(VLOOKUP(L371,$CK$4:$CM$27,2,FALSE)*VLOOKUP(O371,$CK$4:$CM$27,3,FALSE)*($CM$2/2))/10000,RAND()))</f>
        <v>2</v>
      </c>
      <c r="N371">
        <f ca="1">IF(ISBLANK(Scores_and_Fixtures[[#This Row],[Away Score]])=FALSE,Scores_and_Fixtures[[#This Row],[Away Score]],_xlfn.BINOM.INV(10000,(VLOOKUP(O371,$CK$4:$CM$27,2,FALSE)*VLOOKUP(L371,$CK$4:$CM$27,3,FALSE)*($CM$2/2))/10000,RAND()))</f>
        <v>1</v>
      </c>
      <c r="O371" t="str">
        <f>Scores_and_Fixtures[[#This Row],[Away]]</f>
        <v>Rotherham Utd</v>
      </c>
      <c r="U371">
        <v>270</v>
      </c>
      <c r="V371">
        <v>20</v>
      </c>
      <c r="W371">
        <v>12</v>
      </c>
      <c r="X371">
        <v>17</v>
      </c>
      <c r="Y371">
        <v>11</v>
      </c>
      <c r="Z371">
        <v>15</v>
      </c>
      <c r="AA371">
        <v>18</v>
      </c>
      <c r="AB371">
        <v>6</v>
      </c>
      <c r="AC371">
        <v>2</v>
      </c>
      <c r="AD371">
        <v>4</v>
      </c>
      <c r="AE371">
        <v>1</v>
      </c>
      <c r="AF371">
        <v>9</v>
      </c>
      <c r="AG371">
        <v>16</v>
      </c>
      <c r="AH371">
        <v>10</v>
      </c>
      <c r="AI371">
        <v>19</v>
      </c>
      <c r="AJ371">
        <v>14</v>
      </c>
      <c r="AK371">
        <v>22</v>
      </c>
      <c r="AL371">
        <v>23</v>
      </c>
      <c r="AM371">
        <v>24</v>
      </c>
      <c r="AN371">
        <v>3</v>
      </c>
      <c r="AO371">
        <v>21</v>
      </c>
      <c r="AP371">
        <v>8</v>
      </c>
      <c r="AQ371">
        <v>13</v>
      </c>
      <c r="AR371">
        <v>5</v>
      </c>
      <c r="AS371">
        <v>7</v>
      </c>
    </row>
    <row r="372" spans="1:45" x14ac:dyDescent="0.25">
      <c r="A372">
        <v>31</v>
      </c>
      <c r="B372" t="s">
        <v>395</v>
      </c>
      <c r="E372" t="s">
        <v>378</v>
      </c>
      <c r="K372">
        <f>Scores_and_Fixtures[[#This Row],[Wk]]</f>
        <v>31</v>
      </c>
      <c r="L372" t="str">
        <f>Scores_and_Fixtures[[#This Row],[Home]]</f>
        <v>Sheffield Weds</v>
      </c>
      <c r="M372">
        <f ca="1">IF(ISBLANK(Scores_and_Fixtures[[#This Row],[Home Score]])=FALSE,Scores_and_Fixtures[[#This Row],[Home Score]],_xlfn.BINOM.INV(10000,(VLOOKUP(L372,$CK$4:$CM$27,2,FALSE)*VLOOKUP(O372,$CK$4:$CM$27,3,FALSE)*($CM$2/2))/10000,RAND()))</f>
        <v>1</v>
      </c>
      <c r="N372">
        <f ca="1">IF(ISBLANK(Scores_and_Fixtures[[#This Row],[Away Score]])=FALSE,Scores_and_Fixtures[[#This Row],[Away Score]],_xlfn.BINOM.INV(10000,(VLOOKUP(O372,$CK$4:$CM$27,2,FALSE)*VLOOKUP(L372,$CK$4:$CM$27,3,FALSE)*($CM$2/2))/10000,RAND()))</f>
        <v>0</v>
      </c>
      <c r="O372" t="str">
        <f>Scores_and_Fixtures[[#This Row],[Away]]</f>
        <v>Birmingham City</v>
      </c>
      <c r="U372">
        <v>271</v>
      </c>
      <c r="V372">
        <v>11</v>
      </c>
      <c r="W372">
        <v>14</v>
      </c>
      <c r="X372">
        <v>15</v>
      </c>
      <c r="Y372">
        <v>17</v>
      </c>
      <c r="Z372">
        <v>18</v>
      </c>
      <c r="AA372">
        <v>19</v>
      </c>
      <c r="AB372">
        <v>5</v>
      </c>
      <c r="AC372">
        <v>1</v>
      </c>
      <c r="AD372">
        <v>6</v>
      </c>
      <c r="AE372">
        <v>2</v>
      </c>
      <c r="AF372">
        <v>10</v>
      </c>
      <c r="AG372">
        <v>20</v>
      </c>
      <c r="AH372">
        <v>9</v>
      </c>
      <c r="AI372">
        <v>8</v>
      </c>
      <c r="AJ372">
        <v>7</v>
      </c>
      <c r="AK372">
        <v>21</v>
      </c>
      <c r="AL372">
        <v>24</v>
      </c>
      <c r="AM372">
        <v>23</v>
      </c>
      <c r="AN372">
        <v>4</v>
      </c>
      <c r="AO372">
        <v>22</v>
      </c>
      <c r="AP372">
        <v>13</v>
      </c>
      <c r="AQ372">
        <v>16</v>
      </c>
      <c r="AR372">
        <v>12</v>
      </c>
      <c r="AS372">
        <v>3</v>
      </c>
    </row>
    <row r="373" spans="1:45" x14ac:dyDescent="0.25">
      <c r="A373">
        <v>31</v>
      </c>
      <c r="B373" t="s">
        <v>388</v>
      </c>
      <c r="E373" t="s">
        <v>380</v>
      </c>
      <c r="K373">
        <f>Scores_and_Fixtures[[#This Row],[Wk]]</f>
        <v>31</v>
      </c>
      <c r="L373" t="str">
        <f>Scores_and_Fixtures[[#This Row],[Home]]</f>
        <v>Middlesbrough</v>
      </c>
      <c r="M373">
        <f ca="1">IF(ISBLANK(Scores_and_Fixtures[[#This Row],[Home Score]])=FALSE,Scores_and_Fixtures[[#This Row],[Home Score]],_xlfn.BINOM.INV(10000,(VLOOKUP(L373,$CK$4:$CM$27,2,FALSE)*VLOOKUP(O373,$CK$4:$CM$27,3,FALSE)*($CM$2/2))/10000,RAND()))</f>
        <v>1</v>
      </c>
      <c r="N373">
        <f ca="1">IF(ISBLANK(Scores_and_Fixtures[[#This Row],[Away Score]])=FALSE,Scores_and_Fixtures[[#This Row],[Away Score]],_xlfn.BINOM.INV(10000,(VLOOKUP(O373,$CK$4:$CM$27,2,FALSE)*VLOOKUP(L373,$CK$4:$CM$27,3,FALSE)*($CM$2/2))/10000,RAND()))</f>
        <v>2</v>
      </c>
      <c r="O373" t="str">
        <f>Scores_and_Fixtures[[#This Row],[Away]]</f>
        <v>Bristol City</v>
      </c>
      <c r="U373">
        <v>272</v>
      </c>
      <c r="V373">
        <v>19</v>
      </c>
      <c r="W373">
        <v>8</v>
      </c>
      <c r="X373">
        <v>14</v>
      </c>
      <c r="Y373">
        <v>10</v>
      </c>
      <c r="Z373">
        <v>13</v>
      </c>
      <c r="AA373">
        <v>18</v>
      </c>
      <c r="AB373">
        <v>4</v>
      </c>
      <c r="AC373">
        <v>2</v>
      </c>
      <c r="AD373">
        <v>3</v>
      </c>
      <c r="AE373">
        <v>1</v>
      </c>
      <c r="AF373">
        <v>5</v>
      </c>
      <c r="AG373">
        <v>20</v>
      </c>
      <c r="AH373">
        <v>9</v>
      </c>
      <c r="AI373">
        <v>15</v>
      </c>
      <c r="AJ373">
        <v>17</v>
      </c>
      <c r="AK373">
        <v>22</v>
      </c>
      <c r="AL373">
        <v>24</v>
      </c>
      <c r="AM373">
        <v>23</v>
      </c>
      <c r="AN373">
        <v>6</v>
      </c>
      <c r="AO373">
        <v>21</v>
      </c>
      <c r="AP373">
        <v>12</v>
      </c>
      <c r="AQ373">
        <v>16</v>
      </c>
      <c r="AR373">
        <v>7</v>
      </c>
      <c r="AS373">
        <v>11</v>
      </c>
    </row>
    <row r="374" spans="1:45" x14ac:dyDescent="0.25">
      <c r="A374">
        <v>32</v>
      </c>
      <c r="B374" t="s">
        <v>387</v>
      </c>
      <c r="E374" t="s">
        <v>395</v>
      </c>
      <c r="K374">
        <f>Scores_and_Fixtures[[#This Row],[Wk]]</f>
        <v>32</v>
      </c>
      <c r="L374" t="str">
        <f>Scores_and_Fixtures[[#This Row],[Home]]</f>
        <v>Leicester City</v>
      </c>
      <c r="M374">
        <f ca="1">IF(ISBLANK(Scores_and_Fixtures[[#This Row],[Home Score]])=FALSE,Scores_and_Fixtures[[#This Row],[Home Score]],_xlfn.BINOM.INV(10000,(VLOOKUP(L374,$CK$4:$CM$27,2,FALSE)*VLOOKUP(O374,$CK$4:$CM$27,3,FALSE)*($CM$2/2))/10000,RAND()))</f>
        <v>4</v>
      </c>
      <c r="N374">
        <f ca="1">IF(ISBLANK(Scores_and_Fixtures[[#This Row],[Away Score]])=FALSE,Scores_and_Fixtures[[#This Row],[Away Score]],_xlfn.BINOM.INV(10000,(VLOOKUP(O374,$CK$4:$CM$27,2,FALSE)*VLOOKUP(L374,$CK$4:$CM$27,3,FALSE)*($CM$2/2))/10000,RAND()))</f>
        <v>0</v>
      </c>
      <c r="O374" t="str">
        <f>Scores_and_Fixtures[[#This Row],[Away]]</f>
        <v>Sheffield Weds</v>
      </c>
      <c r="U374">
        <v>273</v>
      </c>
      <c r="V374">
        <v>17</v>
      </c>
      <c r="W374">
        <v>9</v>
      </c>
      <c r="X374">
        <v>11</v>
      </c>
      <c r="Y374">
        <v>15</v>
      </c>
      <c r="Z374">
        <v>18</v>
      </c>
      <c r="AA374">
        <v>22</v>
      </c>
      <c r="AB374">
        <v>3</v>
      </c>
      <c r="AC374">
        <v>2</v>
      </c>
      <c r="AD374">
        <v>5</v>
      </c>
      <c r="AE374">
        <v>1</v>
      </c>
      <c r="AF374">
        <v>14</v>
      </c>
      <c r="AG374">
        <v>19</v>
      </c>
      <c r="AH374">
        <v>10</v>
      </c>
      <c r="AI374">
        <v>13</v>
      </c>
      <c r="AJ374">
        <v>12</v>
      </c>
      <c r="AK374">
        <v>20</v>
      </c>
      <c r="AL374">
        <v>24</v>
      </c>
      <c r="AM374">
        <v>23</v>
      </c>
      <c r="AN374">
        <v>4</v>
      </c>
      <c r="AO374">
        <v>21</v>
      </c>
      <c r="AP374">
        <v>8</v>
      </c>
      <c r="AQ374">
        <v>16</v>
      </c>
      <c r="AR374">
        <v>6</v>
      </c>
      <c r="AS374">
        <v>7</v>
      </c>
    </row>
    <row r="375" spans="1:45" x14ac:dyDescent="0.25">
      <c r="A375">
        <v>32</v>
      </c>
      <c r="B375" t="s">
        <v>399</v>
      </c>
      <c r="E375" t="s">
        <v>386</v>
      </c>
      <c r="K375">
        <f>Scores_and_Fixtures[[#This Row],[Wk]]</f>
        <v>32</v>
      </c>
      <c r="L375" t="str">
        <f>Scores_and_Fixtures[[#This Row],[Home]]</f>
        <v>Swansea City</v>
      </c>
      <c r="M375">
        <f ca="1">IF(ISBLANK(Scores_and_Fixtures[[#This Row],[Home Score]])=FALSE,Scores_and_Fixtures[[#This Row],[Home Score]],_xlfn.BINOM.INV(10000,(VLOOKUP(L375,$CK$4:$CM$27,2,FALSE)*VLOOKUP(O375,$CK$4:$CM$27,3,FALSE)*($CM$2/2))/10000,RAND()))</f>
        <v>1</v>
      </c>
      <c r="N375">
        <f ca="1">IF(ISBLANK(Scores_and_Fixtures[[#This Row],[Away Score]])=FALSE,Scores_and_Fixtures[[#This Row],[Away Score]],_xlfn.BINOM.INV(10000,(VLOOKUP(O375,$CK$4:$CM$27,2,FALSE)*VLOOKUP(L375,$CK$4:$CM$27,3,FALSE)*($CM$2/2))/10000,RAND()))</f>
        <v>2</v>
      </c>
      <c r="O375" t="str">
        <f>Scores_and_Fixtures[[#This Row],[Away]]</f>
        <v>Leeds United</v>
      </c>
      <c r="U375">
        <v>274</v>
      </c>
      <c r="V375">
        <v>13</v>
      </c>
      <c r="W375">
        <v>10</v>
      </c>
      <c r="X375">
        <v>12</v>
      </c>
      <c r="Y375">
        <v>11</v>
      </c>
      <c r="Z375">
        <v>15</v>
      </c>
      <c r="AA375">
        <v>23</v>
      </c>
      <c r="AB375">
        <v>5</v>
      </c>
      <c r="AC375">
        <v>2</v>
      </c>
      <c r="AD375">
        <v>6</v>
      </c>
      <c r="AE375">
        <v>1</v>
      </c>
      <c r="AF375">
        <v>8</v>
      </c>
      <c r="AG375">
        <v>17</v>
      </c>
      <c r="AH375">
        <v>14</v>
      </c>
      <c r="AI375">
        <v>16</v>
      </c>
      <c r="AJ375">
        <v>19</v>
      </c>
      <c r="AK375">
        <v>21</v>
      </c>
      <c r="AL375">
        <v>24</v>
      </c>
      <c r="AM375">
        <v>22</v>
      </c>
      <c r="AN375">
        <v>3</v>
      </c>
      <c r="AO375">
        <v>20</v>
      </c>
      <c r="AP375">
        <v>9</v>
      </c>
      <c r="AQ375">
        <v>18</v>
      </c>
      <c r="AR375">
        <v>7</v>
      </c>
      <c r="AS375">
        <v>4</v>
      </c>
    </row>
    <row r="376" spans="1:45" x14ac:dyDescent="0.25">
      <c r="A376">
        <v>32</v>
      </c>
      <c r="B376" t="s">
        <v>378</v>
      </c>
      <c r="E376" t="s">
        <v>379</v>
      </c>
      <c r="K376">
        <f>Scores_and_Fixtures[[#This Row],[Wk]]</f>
        <v>32</v>
      </c>
      <c r="L376" t="str">
        <f>Scores_and_Fixtures[[#This Row],[Home]]</f>
        <v>Birmingham City</v>
      </c>
      <c r="M376">
        <f ca="1">IF(ISBLANK(Scores_and_Fixtures[[#This Row],[Home Score]])=FALSE,Scores_and_Fixtures[[#This Row],[Home Score]],_xlfn.BINOM.INV(10000,(VLOOKUP(L376,$CK$4:$CM$27,2,FALSE)*VLOOKUP(O376,$CK$4:$CM$27,3,FALSE)*($CM$2/2))/10000,RAND()))</f>
        <v>0</v>
      </c>
      <c r="N376">
        <f ca="1">IF(ISBLANK(Scores_and_Fixtures[[#This Row],[Away Score]])=FALSE,Scores_and_Fixtures[[#This Row],[Away Score]],_xlfn.BINOM.INV(10000,(VLOOKUP(O376,$CK$4:$CM$27,2,FALSE)*VLOOKUP(L376,$CK$4:$CM$27,3,FALSE)*($CM$2/2))/10000,RAND()))</f>
        <v>0</v>
      </c>
      <c r="O376" t="str">
        <f>Scores_and_Fixtures[[#This Row],[Away]]</f>
        <v>Blackburn</v>
      </c>
      <c r="U376">
        <v>275</v>
      </c>
      <c r="V376">
        <v>11</v>
      </c>
      <c r="W376">
        <v>15</v>
      </c>
      <c r="X376">
        <v>14</v>
      </c>
      <c r="Y376">
        <v>13</v>
      </c>
      <c r="Z376">
        <v>10</v>
      </c>
      <c r="AA376">
        <v>21</v>
      </c>
      <c r="AB376">
        <v>7</v>
      </c>
      <c r="AC376">
        <v>2</v>
      </c>
      <c r="AD376">
        <v>3</v>
      </c>
      <c r="AE376">
        <v>1</v>
      </c>
      <c r="AF376">
        <v>12</v>
      </c>
      <c r="AG376">
        <v>18</v>
      </c>
      <c r="AH376">
        <v>8</v>
      </c>
      <c r="AI376">
        <v>17</v>
      </c>
      <c r="AJ376">
        <v>16</v>
      </c>
      <c r="AK376">
        <v>19</v>
      </c>
      <c r="AL376">
        <v>24</v>
      </c>
      <c r="AM376">
        <v>23</v>
      </c>
      <c r="AN376">
        <v>4</v>
      </c>
      <c r="AO376">
        <v>22</v>
      </c>
      <c r="AP376">
        <v>5</v>
      </c>
      <c r="AQ376">
        <v>20</v>
      </c>
      <c r="AR376">
        <v>9</v>
      </c>
      <c r="AS376">
        <v>6</v>
      </c>
    </row>
    <row r="377" spans="1:45" x14ac:dyDescent="0.25">
      <c r="A377">
        <v>32</v>
      </c>
      <c r="B377" t="s">
        <v>390</v>
      </c>
      <c r="E377" t="s">
        <v>400</v>
      </c>
      <c r="K377">
        <f>Scores_and_Fixtures[[#This Row],[Wk]]</f>
        <v>32</v>
      </c>
      <c r="L377" t="str">
        <f>Scores_and_Fixtures[[#This Row],[Home]]</f>
        <v>Norwich City</v>
      </c>
      <c r="M377">
        <f ca="1">IF(ISBLANK(Scores_and_Fixtures[[#This Row],[Home Score]])=FALSE,Scores_and_Fixtures[[#This Row],[Home Score]],_xlfn.BINOM.INV(10000,(VLOOKUP(L377,$CK$4:$CM$27,2,FALSE)*VLOOKUP(O377,$CK$4:$CM$27,3,FALSE)*($CM$2/2))/10000,RAND()))</f>
        <v>0</v>
      </c>
      <c r="N377">
        <f ca="1">IF(ISBLANK(Scores_and_Fixtures[[#This Row],[Away Score]])=FALSE,Scores_and_Fixtures[[#This Row],[Away Score]],_xlfn.BINOM.INV(10000,(VLOOKUP(O377,$CK$4:$CM$27,2,FALSE)*VLOOKUP(L377,$CK$4:$CM$27,3,FALSE)*($CM$2/2))/10000,RAND()))</f>
        <v>4</v>
      </c>
      <c r="O377" t="str">
        <f>Scores_and_Fixtures[[#This Row],[Away]]</f>
        <v>Watford</v>
      </c>
      <c r="U377">
        <v>276</v>
      </c>
      <c r="V377">
        <v>15</v>
      </c>
      <c r="W377">
        <v>11</v>
      </c>
      <c r="X377">
        <v>10</v>
      </c>
      <c r="Y377">
        <v>16</v>
      </c>
      <c r="Z377">
        <v>18</v>
      </c>
      <c r="AA377">
        <v>22</v>
      </c>
      <c r="AB377">
        <v>8</v>
      </c>
      <c r="AC377">
        <v>1</v>
      </c>
      <c r="AD377">
        <v>3</v>
      </c>
      <c r="AE377">
        <v>2</v>
      </c>
      <c r="AF377">
        <v>6</v>
      </c>
      <c r="AG377">
        <v>19</v>
      </c>
      <c r="AH377">
        <v>7</v>
      </c>
      <c r="AI377">
        <v>12</v>
      </c>
      <c r="AJ377">
        <v>17</v>
      </c>
      <c r="AK377">
        <v>20</v>
      </c>
      <c r="AL377">
        <v>24</v>
      </c>
      <c r="AM377">
        <v>23</v>
      </c>
      <c r="AN377">
        <v>4</v>
      </c>
      <c r="AO377">
        <v>21</v>
      </c>
      <c r="AP377">
        <v>9</v>
      </c>
      <c r="AQ377">
        <v>14</v>
      </c>
      <c r="AR377">
        <v>5</v>
      </c>
      <c r="AS377">
        <v>13</v>
      </c>
    </row>
    <row r="378" spans="1:45" x14ac:dyDescent="0.25">
      <c r="A378">
        <v>32</v>
      </c>
      <c r="B378" t="s">
        <v>394</v>
      </c>
      <c r="E378" t="s">
        <v>384</v>
      </c>
      <c r="K378">
        <f>Scores_and_Fixtures[[#This Row],[Wk]]</f>
        <v>32</v>
      </c>
      <c r="L378" t="str">
        <f>Scores_and_Fixtures[[#This Row],[Home]]</f>
        <v>Rotherham Utd</v>
      </c>
      <c r="M378">
        <f ca="1">IF(ISBLANK(Scores_and_Fixtures[[#This Row],[Home Score]])=FALSE,Scores_and_Fixtures[[#This Row],[Home Score]],_xlfn.BINOM.INV(10000,(VLOOKUP(L378,$CK$4:$CM$27,2,FALSE)*VLOOKUP(O378,$CK$4:$CM$27,3,FALSE)*($CM$2/2))/10000,RAND()))</f>
        <v>2</v>
      </c>
      <c r="N378">
        <f ca="1">IF(ISBLANK(Scores_and_Fixtures[[#This Row],[Away Score]])=FALSE,Scores_and_Fixtures[[#This Row],[Away Score]],_xlfn.BINOM.INV(10000,(VLOOKUP(O378,$CK$4:$CM$27,2,FALSE)*VLOOKUP(L378,$CK$4:$CM$27,3,FALSE)*($CM$2/2))/10000,RAND()))</f>
        <v>2</v>
      </c>
      <c r="O378" t="str">
        <f>Scores_and_Fixtures[[#This Row],[Away]]</f>
        <v>Hull City</v>
      </c>
      <c r="U378">
        <v>277</v>
      </c>
      <c r="V378">
        <v>17</v>
      </c>
      <c r="W378">
        <v>16</v>
      </c>
      <c r="X378">
        <v>10</v>
      </c>
      <c r="Y378">
        <v>11</v>
      </c>
      <c r="Z378">
        <v>15</v>
      </c>
      <c r="AA378">
        <v>22</v>
      </c>
      <c r="AB378">
        <v>5</v>
      </c>
      <c r="AC378">
        <v>2</v>
      </c>
      <c r="AD378">
        <v>3</v>
      </c>
      <c r="AE378">
        <v>1</v>
      </c>
      <c r="AF378">
        <v>12</v>
      </c>
      <c r="AG378">
        <v>18</v>
      </c>
      <c r="AH378">
        <v>14</v>
      </c>
      <c r="AI378">
        <v>13</v>
      </c>
      <c r="AJ378">
        <v>9</v>
      </c>
      <c r="AK378">
        <v>20</v>
      </c>
      <c r="AL378">
        <v>24</v>
      </c>
      <c r="AM378">
        <v>23</v>
      </c>
      <c r="AN378">
        <v>4</v>
      </c>
      <c r="AO378">
        <v>21</v>
      </c>
      <c r="AP378">
        <v>8</v>
      </c>
      <c r="AQ378">
        <v>19</v>
      </c>
      <c r="AR378">
        <v>7</v>
      </c>
      <c r="AS378">
        <v>6</v>
      </c>
    </row>
    <row r="379" spans="1:45" x14ac:dyDescent="0.25">
      <c r="A379">
        <v>32</v>
      </c>
      <c r="B379" t="s">
        <v>380</v>
      </c>
      <c r="E379" t="s">
        <v>396</v>
      </c>
      <c r="K379">
        <f>Scores_and_Fixtures[[#This Row],[Wk]]</f>
        <v>32</v>
      </c>
      <c r="L379" t="str">
        <f>Scores_and_Fixtures[[#This Row],[Home]]</f>
        <v>Bristol City</v>
      </c>
      <c r="M379">
        <f ca="1">IF(ISBLANK(Scores_and_Fixtures[[#This Row],[Home Score]])=FALSE,Scores_and_Fixtures[[#This Row],[Home Score]],_xlfn.BINOM.INV(10000,(VLOOKUP(L379,$CK$4:$CM$27,2,FALSE)*VLOOKUP(O379,$CK$4:$CM$27,3,FALSE)*($CM$2/2))/10000,RAND()))</f>
        <v>2</v>
      </c>
      <c r="N379">
        <f ca="1">IF(ISBLANK(Scores_and_Fixtures[[#This Row],[Away Score]])=FALSE,Scores_and_Fixtures[[#This Row],[Away Score]],_xlfn.BINOM.INV(10000,(VLOOKUP(O379,$CK$4:$CM$27,2,FALSE)*VLOOKUP(L379,$CK$4:$CM$27,3,FALSE)*($CM$2/2))/10000,RAND()))</f>
        <v>1</v>
      </c>
      <c r="O379" t="str">
        <f>Scores_and_Fixtures[[#This Row],[Away]]</f>
        <v>Southampton</v>
      </c>
      <c r="U379">
        <v>278</v>
      </c>
      <c r="V379">
        <v>17</v>
      </c>
      <c r="W379">
        <v>10</v>
      </c>
      <c r="X379">
        <v>11</v>
      </c>
      <c r="Y379">
        <v>12</v>
      </c>
      <c r="Z379">
        <v>14</v>
      </c>
      <c r="AA379">
        <v>21</v>
      </c>
      <c r="AB379">
        <v>4</v>
      </c>
      <c r="AC379">
        <v>2</v>
      </c>
      <c r="AD379">
        <v>3</v>
      </c>
      <c r="AE379">
        <v>1</v>
      </c>
      <c r="AF379">
        <v>8</v>
      </c>
      <c r="AG379">
        <v>16</v>
      </c>
      <c r="AH379">
        <v>13</v>
      </c>
      <c r="AI379">
        <v>19</v>
      </c>
      <c r="AJ379">
        <v>18</v>
      </c>
      <c r="AK379">
        <v>22</v>
      </c>
      <c r="AL379">
        <v>24</v>
      </c>
      <c r="AM379">
        <v>23</v>
      </c>
      <c r="AN379">
        <v>5</v>
      </c>
      <c r="AO379">
        <v>20</v>
      </c>
      <c r="AP379">
        <v>9</v>
      </c>
      <c r="AQ379">
        <v>15</v>
      </c>
      <c r="AR379">
        <v>7</v>
      </c>
      <c r="AS379">
        <v>6</v>
      </c>
    </row>
    <row r="380" spans="1:45" x14ac:dyDescent="0.25">
      <c r="A380">
        <v>32</v>
      </c>
      <c r="B380" t="s">
        <v>392</v>
      </c>
      <c r="E380" t="s">
        <v>388</v>
      </c>
      <c r="K380">
        <f>Scores_and_Fixtures[[#This Row],[Wk]]</f>
        <v>32</v>
      </c>
      <c r="L380" t="str">
        <f>Scores_and_Fixtures[[#This Row],[Home]]</f>
        <v>Preston</v>
      </c>
      <c r="M380">
        <f ca="1">IF(ISBLANK(Scores_and_Fixtures[[#This Row],[Home Score]])=FALSE,Scores_and_Fixtures[[#This Row],[Home Score]],_xlfn.BINOM.INV(10000,(VLOOKUP(L380,$CK$4:$CM$27,2,FALSE)*VLOOKUP(O380,$CK$4:$CM$27,3,FALSE)*($CM$2/2))/10000,RAND()))</f>
        <v>2</v>
      </c>
      <c r="N380">
        <f ca="1">IF(ISBLANK(Scores_and_Fixtures[[#This Row],[Away Score]])=FALSE,Scores_and_Fixtures[[#This Row],[Away Score]],_xlfn.BINOM.INV(10000,(VLOOKUP(O380,$CK$4:$CM$27,2,FALSE)*VLOOKUP(L380,$CK$4:$CM$27,3,FALSE)*($CM$2/2))/10000,RAND()))</f>
        <v>2</v>
      </c>
      <c r="O380" t="str">
        <f>Scores_and_Fixtures[[#This Row],[Away]]</f>
        <v>Middlesbrough</v>
      </c>
      <c r="U380">
        <v>279</v>
      </c>
      <c r="V380">
        <v>12</v>
      </c>
      <c r="W380">
        <v>11</v>
      </c>
      <c r="X380">
        <v>15</v>
      </c>
      <c r="Y380">
        <v>13</v>
      </c>
      <c r="Z380">
        <v>14</v>
      </c>
      <c r="AA380">
        <v>19</v>
      </c>
      <c r="AB380">
        <v>7</v>
      </c>
      <c r="AC380">
        <v>2</v>
      </c>
      <c r="AD380">
        <v>3</v>
      </c>
      <c r="AE380">
        <v>1</v>
      </c>
      <c r="AF380">
        <v>8</v>
      </c>
      <c r="AG380">
        <v>16</v>
      </c>
      <c r="AH380">
        <v>10</v>
      </c>
      <c r="AI380">
        <v>17</v>
      </c>
      <c r="AJ380">
        <v>18</v>
      </c>
      <c r="AK380">
        <v>22</v>
      </c>
      <c r="AL380">
        <v>23</v>
      </c>
      <c r="AM380">
        <v>24</v>
      </c>
      <c r="AN380">
        <v>5</v>
      </c>
      <c r="AO380">
        <v>21</v>
      </c>
      <c r="AP380">
        <v>9</v>
      </c>
      <c r="AQ380">
        <v>20</v>
      </c>
      <c r="AR380">
        <v>6</v>
      </c>
      <c r="AS380">
        <v>4</v>
      </c>
    </row>
    <row r="381" spans="1:45" x14ac:dyDescent="0.25">
      <c r="A381">
        <v>32</v>
      </c>
      <c r="B381" t="s">
        <v>389</v>
      </c>
      <c r="E381" t="s">
        <v>385</v>
      </c>
      <c r="K381">
        <f>Scores_and_Fixtures[[#This Row],[Wk]]</f>
        <v>32</v>
      </c>
      <c r="L381" t="str">
        <f>Scores_and_Fixtures[[#This Row],[Home]]</f>
        <v>Millwall</v>
      </c>
      <c r="M381">
        <f ca="1">IF(ISBLANK(Scores_and_Fixtures[[#This Row],[Home Score]])=FALSE,Scores_and_Fixtures[[#This Row],[Home Score]],_xlfn.BINOM.INV(10000,(VLOOKUP(L381,$CK$4:$CM$27,2,FALSE)*VLOOKUP(O381,$CK$4:$CM$27,3,FALSE)*($CM$2/2))/10000,RAND()))</f>
        <v>1</v>
      </c>
      <c r="N381">
        <f ca="1">IF(ISBLANK(Scores_and_Fixtures[[#This Row],[Away Score]])=FALSE,Scores_and_Fixtures[[#This Row],[Away Score]],_xlfn.BINOM.INV(10000,(VLOOKUP(O381,$CK$4:$CM$27,2,FALSE)*VLOOKUP(L381,$CK$4:$CM$27,3,FALSE)*($CM$2/2))/10000,RAND()))</f>
        <v>2</v>
      </c>
      <c r="O381" t="str">
        <f>Scores_and_Fixtures[[#This Row],[Away]]</f>
        <v>Ipswich Town</v>
      </c>
      <c r="U381">
        <v>280</v>
      </c>
      <c r="V381">
        <v>15</v>
      </c>
      <c r="W381">
        <v>13</v>
      </c>
      <c r="X381">
        <v>19</v>
      </c>
      <c r="Y381">
        <v>7</v>
      </c>
      <c r="Z381">
        <v>11</v>
      </c>
      <c r="AA381">
        <v>22</v>
      </c>
      <c r="AB381">
        <v>4</v>
      </c>
      <c r="AC381">
        <v>2</v>
      </c>
      <c r="AD381">
        <v>5</v>
      </c>
      <c r="AE381">
        <v>1</v>
      </c>
      <c r="AF381">
        <v>10</v>
      </c>
      <c r="AG381">
        <v>17</v>
      </c>
      <c r="AH381">
        <v>9</v>
      </c>
      <c r="AI381">
        <v>16</v>
      </c>
      <c r="AJ381">
        <v>12</v>
      </c>
      <c r="AK381">
        <v>21</v>
      </c>
      <c r="AL381">
        <v>24</v>
      </c>
      <c r="AM381">
        <v>23</v>
      </c>
      <c r="AN381">
        <v>3</v>
      </c>
      <c r="AO381">
        <v>18</v>
      </c>
      <c r="AP381">
        <v>14</v>
      </c>
      <c r="AQ381">
        <v>20</v>
      </c>
      <c r="AR381">
        <v>8</v>
      </c>
      <c r="AS381">
        <v>6</v>
      </c>
    </row>
    <row r="382" spans="1:45" x14ac:dyDescent="0.25">
      <c r="A382">
        <v>32</v>
      </c>
      <c r="B382" t="s">
        <v>383</v>
      </c>
      <c r="E382" t="s">
        <v>398</v>
      </c>
      <c r="K382">
        <f>Scores_and_Fixtures[[#This Row],[Wk]]</f>
        <v>32</v>
      </c>
      <c r="L382" t="str">
        <f>Scores_and_Fixtures[[#This Row],[Home]]</f>
        <v>Huddersfield</v>
      </c>
      <c r="M382">
        <f ca="1">IF(ISBLANK(Scores_and_Fixtures[[#This Row],[Home Score]])=FALSE,Scores_and_Fixtures[[#This Row],[Home Score]],_xlfn.BINOM.INV(10000,(VLOOKUP(L382,$CK$4:$CM$27,2,FALSE)*VLOOKUP(O382,$CK$4:$CM$27,3,FALSE)*($CM$2/2))/10000,RAND()))</f>
        <v>0</v>
      </c>
      <c r="N382">
        <f ca="1">IF(ISBLANK(Scores_and_Fixtures[[#This Row],[Away Score]])=FALSE,Scores_and_Fixtures[[#This Row],[Away Score]],_xlfn.BINOM.INV(10000,(VLOOKUP(O382,$CK$4:$CM$27,2,FALSE)*VLOOKUP(L382,$CK$4:$CM$27,3,FALSE)*($CM$2/2))/10000,RAND()))</f>
        <v>1</v>
      </c>
      <c r="O382" t="str">
        <f>Scores_and_Fixtures[[#This Row],[Away]]</f>
        <v>Sunderland</v>
      </c>
      <c r="U382">
        <v>281</v>
      </c>
      <c r="V382">
        <v>17</v>
      </c>
      <c r="W382">
        <v>16</v>
      </c>
      <c r="X382">
        <v>14</v>
      </c>
      <c r="Y382">
        <v>10</v>
      </c>
      <c r="Z382">
        <v>13</v>
      </c>
      <c r="AA382">
        <v>20</v>
      </c>
      <c r="AB382">
        <v>7</v>
      </c>
      <c r="AC382">
        <v>2</v>
      </c>
      <c r="AD382">
        <v>3</v>
      </c>
      <c r="AE382">
        <v>1</v>
      </c>
      <c r="AF382">
        <v>11</v>
      </c>
      <c r="AG382">
        <v>19</v>
      </c>
      <c r="AH382">
        <v>9</v>
      </c>
      <c r="AI382">
        <v>15</v>
      </c>
      <c r="AJ382">
        <v>18</v>
      </c>
      <c r="AK382">
        <v>22</v>
      </c>
      <c r="AL382">
        <v>24</v>
      </c>
      <c r="AM382">
        <v>23</v>
      </c>
      <c r="AN382">
        <v>4</v>
      </c>
      <c r="AO382">
        <v>21</v>
      </c>
      <c r="AP382">
        <v>8</v>
      </c>
      <c r="AQ382">
        <v>12</v>
      </c>
      <c r="AR382">
        <v>6</v>
      </c>
      <c r="AS382">
        <v>5</v>
      </c>
    </row>
    <row r="383" spans="1:45" x14ac:dyDescent="0.25">
      <c r="A383">
        <v>32</v>
      </c>
      <c r="B383" t="s">
        <v>391</v>
      </c>
      <c r="E383" t="s">
        <v>382</v>
      </c>
      <c r="K383">
        <f>Scores_and_Fixtures[[#This Row],[Wk]]</f>
        <v>32</v>
      </c>
      <c r="L383" t="str">
        <f>Scores_and_Fixtures[[#This Row],[Home]]</f>
        <v>Plymouth Argyle</v>
      </c>
      <c r="M383">
        <f ca="1">IF(ISBLANK(Scores_and_Fixtures[[#This Row],[Home Score]])=FALSE,Scores_and_Fixtures[[#This Row],[Home Score]],_xlfn.BINOM.INV(10000,(VLOOKUP(L383,$CK$4:$CM$27,2,FALSE)*VLOOKUP(O383,$CK$4:$CM$27,3,FALSE)*($CM$2/2))/10000,RAND()))</f>
        <v>0</v>
      </c>
      <c r="N383">
        <f ca="1">IF(ISBLANK(Scores_and_Fixtures[[#This Row],[Away Score]])=FALSE,Scores_and_Fixtures[[#This Row],[Away Score]],_xlfn.BINOM.INV(10000,(VLOOKUP(O383,$CK$4:$CM$27,2,FALSE)*VLOOKUP(L383,$CK$4:$CM$27,3,FALSE)*($CM$2/2))/10000,RAND()))</f>
        <v>2</v>
      </c>
      <c r="O383" t="str">
        <f>Scores_and_Fixtures[[#This Row],[Away]]</f>
        <v>Coventry City</v>
      </c>
      <c r="U383">
        <v>282</v>
      </c>
      <c r="V383">
        <v>15</v>
      </c>
      <c r="W383">
        <v>7</v>
      </c>
      <c r="X383">
        <v>12</v>
      </c>
      <c r="Y383">
        <v>10</v>
      </c>
      <c r="Z383">
        <v>13</v>
      </c>
      <c r="AA383">
        <v>21</v>
      </c>
      <c r="AB383">
        <v>5</v>
      </c>
      <c r="AC383">
        <v>2</v>
      </c>
      <c r="AD383">
        <v>3</v>
      </c>
      <c r="AE383">
        <v>1</v>
      </c>
      <c r="AF383">
        <v>14</v>
      </c>
      <c r="AG383">
        <v>20</v>
      </c>
      <c r="AH383">
        <v>17</v>
      </c>
      <c r="AI383">
        <v>19</v>
      </c>
      <c r="AJ383">
        <v>8</v>
      </c>
      <c r="AK383">
        <v>22</v>
      </c>
      <c r="AL383">
        <v>24</v>
      </c>
      <c r="AM383">
        <v>23</v>
      </c>
      <c r="AN383">
        <v>4</v>
      </c>
      <c r="AO383">
        <v>18</v>
      </c>
      <c r="AP383">
        <v>9</v>
      </c>
      <c r="AQ383">
        <v>16</v>
      </c>
      <c r="AR383">
        <v>11</v>
      </c>
      <c r="AS383">
        <v>6</v>
      </c>
    </row>
    <row r="384" spans="1:45" x14ac:dyDescent="0.25">
      <c r="A384">
        <v>32</v>
      </c>
      <c r="B384" t="s">
        <v>397</v>
      </c>
      <c r="E384" t="s">
        <v>393</v>
      </c>
      <c r="K384">
        <f>Scores_and_Fixtures[[#This Row],[Wk]]</f>
        <v>32</v>
      </c>
      <c r="L384" t="str">
        <f>Scores_and_Fixtures[[#This Row],[Home]]</f>
        <v>Stoke City</v>
      </c>
      <c r="M384">
        <f ca="1">IF(ISBLANK(Scores_and_Fixtures[[#This Row],[Home Score]])=FALSE,Scores_and_Fixtures[[#This Row],[Home Score]],_xlfn.BINOM.INV(10000,(VLOOKUP(L384,$CK$4:$CM$27,2,FALSE)*VLOOKUP(O384,$CK$4:$CM$27,3,FALSE)*($CM$2/2))/10000,RAND()))</f>
        <v>3</v>
      </c>
      <c r="N384">
        <f ca="1">IF(ISBLANK(Scores_and_Fixtures[[#This Row],[Away Score]])=FALSE,Scores_and_Fixtures[[#This Row],[Away Score]],_xlfn.BINOM.INV(10000,(VLOOKUP(O384,$CK$4:$CM$27,2,FALSE)*VLOOKUP(L384,$CK$4:$CM$27,3,FALSE)*($CM$2/2))/10000,RAND()))</f>
        <v>0</v>
      </c>
      <c r="O384" t="str">
        <f>Scores_and_Fixtures[[#This Row],[Away]]</f>
        <v>QPR</v>
      </c>
      <c r="U384">
        <v>283</v>
      </c>
      <c r="V384">
        <v>14</v>
      </c>
      <c r="W384">
        <v>9</v>
      </c>
      <c r="X384">
        <v>16</v>
      </c>
      <c r="Y384">
        <v>18</v>
      </c>
      <c r="Z384">
        <v>15</v>
      </c>
      <c r="AA384">
        <v>20</v>
      </c>
      <c r="AB384">
        <v>5</v>
      </c>
      <c r="AC384">
        <v>2</v>
      </c>
      <c r="AD384">
        <v>4</v>
      </c>
      <c r="AE384">
        <v>1</v>
      </c>
      <c r="AF384">
        <v>13</v>
      </c>
      <c r="AG384">
        <v>17</v>
      </c>
      <c r="AH384">
        <v>12</v>
      </c>
      <c r="AI384">
        <v>11</v>
      </c>
      <c r="AJ384">
        <v>10</v>
      </c>
      <c r="AK384">
        <v>22</v>
      </c>
      <c r="AL384">
        <v>24</v>
      </c>
      <c r="AM384">
        <v>23</v>
      </c>
      <c r="AN384">
        <v>3</v>
      </c>
      <c r="AO384">
        <v>21</v>
      </c>
      <c r="AP384">
        <v>7</v>
      </c>
      <c r="AQ384">
        <v>19</v>
      </c>
      <c r="AR384">
        <v>6</v>
      </c>
      <c r="AS384">
        <v>8</v>
      </c>
    </row>
    <row r="385" spans="1:45" x14ac:dyDescent="0.25">
      <c r="A385">
        <v>32</v>
      </c>
      <c r="B385" t="s">
        <v>401</v>
      </c>
      <c r="E385" t="s">
        <v>381</v>
      </c>
      <c r="K385">
        <f>Scores_and_Fixtures[[#This Row],[Wk]]</f>
        <v>32</v>
      </c>
      <c r="L385" t="str">
        <f>Scores_and_Fixtures[[#This Row],[Home]]</f>
        <v>West Brom</v>
      </c>
      <c r="M385">
        <f ca="1">IF(ISBLANK(Scores_and_Fixtures[[#This Row],[Home Score]])=FALSE,Scores_and_Fixtures[[#This Row],[Home Score]],_xlfn.BINOM.INV(10000,(VLOOKUP(L385,$CK$4:$CM$27,2,FALSE)*VLOOKUP(O385,$CK$4:$CM$27,3,FALSE)*($CM$2/2))/10000,RAND()))</f>
        <v>2</v>
      </c>
      <c r="N385">
        <f ca="1">IF(ISBLANK(Scores_and_Fixtures[[#This Row],[Away Score]])=FALSE,Scores_and_Fixtures[[#This Row],[Away Score]],_xlfn.BINOM.INV(10000,(VLOOKUP(O385,$CK$4:$CM$27,2,FALSE)*VLOOKUP(L385,$CK$4:$CM$27,3,FALSE)*($CM$2/2))/10000,RAND()))</f>
        <v>0</v>
      </c>
      <c r="O385" t="str">
        <f>Scores_and_Fixtures[[#This Row],[Away]]</f>
        <v>Cardiff City</v>
      </c>
      <c r="U385">
        <v>284</v>
      </c>
      <c r="V385">
        <v>18</v>
      </c>
      <c r="W385">
        <v>10</v>
      </c>
      <c r="X385">
        <v>16</v>
      </c>
      <c r="Y385">
        <v>11</v>
      </c>
      <c r="Z385">
        <v>12</v>
      </c>
      <c r="AA385">
        <v>20</v>
      </c>
      <c r="AB385">
        <v>8</v>
      </c>
      <c r="AC385">
        <v>2</v>
      </c>
      <c r="AD385">
        <v>3</v>
      </c>
      <c r="AE385">
        <v>1</v>
      </c>
      <c r="AF385">
        <v>7</v>
      </c>
      <c r="AG385">
        <v>14</v>
      </c>
      <c r="AH385">
        <v>9</v>
      </c>
      <c r="AI385">
        <v>15</v>
      </c>
      <c r="AJ385">
        <v>19</v>
      </c>
      <c r="AK385">
        <v>22</v>
      </c>
      <c r="AL385">
        <v>23</v>
      </c>
      <c r="AM385">
        <v>24</v>
      </c>
      <c r="AN385">
        <v>4</v>
      </c>
      <c r="AO385">
        <v>21</v>
      </c>
      <c r="AP385">
        <v>13</v>
      </c>
      <c r="AQ385">
        <v>17</v>
      </c>
      <c r="AR385">
        <v>6</v>
      </c>
      <c r="AS385">
        <v>5</v>
      </c>
    </row>
    <row r="386" spans="1:45" x14ac:dyDescent="0.25">
      <c r="A386">
        <v>33</v>
      </c>
      <c r="B386" t="s">
        <v>378</v>
      </c>
      <c r="E386" t="s">
        <v>398</v>
      </c>
      <c r="K386">
        <f>Scores_and_Fixtures[[#This Row],[Wk]]</f>
        <v>33</v>
      </c>
      <c r="L386" t="str">
        <f>Scores_and_Fixtures[[#This Row],[Home]]</f>
        <v>Birmingham City</v>
      </c>
      <c r="M386">
        <f ca="1">IF(ISBLANK(Scores_and_Fixtures[[#This Row],[Home Score]])=FALSE,Scores_and_Fixtures[[#This Row],[Home Score]],_xlfn.BINOM.INV(10000,(VLOOKUP(L386,$CK$4:$CM$27,2,FALSE)*VLOOKUP(O386,$CK$4:$CM$27,3,FALSE)*($CM$2/2))/10000,RAND()))</f>
        <v>0</v>
      </c>
      <c r="N386">
        <f ca="1">IF(ISBLANK(Scores_and_Fixtures[[#This Row],[Away Score]])=FALSE,Scores_and_Fixtures[[#This Row],[Away Score]],_xlfn.BINOM.INV(10000,(VLOOKUP(O386,$CK$4:$CM$27,2,FALSE)*VLOOKUP(L386,$CK$4:$CM$27,3,FALSE)*($CM$2/2))/10000,RAND()))</f>
        <v>1</v>
      </c>
      <c r="O386" t="str">
        <f>Scores_and_Fixtures[[#This Row],[Away]]</f>
        <v>Sunderland</v>
      </c>
      <c r="U386">
        <v>285</v>
      </c>
      <c r="V386">
        <v>17</v>
      </c>
      <c r="W386">
        <v>10</v>
      </c>
      <c r="X386">
        <v>19</v>
      </c>
      <c r="Y386">
        <v>9</v>
      </c>
      <c r="Z386">
        <v>15</v>
      </c>
      <c r="AA386">
        <v>22</v>
      </c>
      <c r="AB386">
        <v>6</v>
      </c>
      <c r="AC386">
        <v>2</v>
      </c>
      <c r="AD386">
        <v>4</v>
      </c>
      <c r="AE386">
        <v>1</v>
      </c>
      <c r="AF386">
        <v>16</v>
      </c>
      <c r="AG386">
        <v>11</v>
      </c>
      <c r="AH386">
        <v>13</v>
      </c>
      <c r="AI386">
        <v>14</v>
      </c>
      <c r="AJ386">
        <v>12</v>
      </c>
      <c r="AK386">
        <v>21</v>
      </c>
      <c r="AL386">
        <v>23</v>
      </c>
      <c r="AM386">
        <v>24</v>
      </c>
      <c r="AN386">
        <v>3</v>
      </c>
      <c r="AO386">
        <v>20</v>
      </c>
      <c r="AP386">
        <v>8</v>
      </c>
      <c r="AQ386">
        <v>18</v>
      </c>
      <c r="AR386">
        <v>7</v>
      </c>
      <c r="AS386">
        <v>5</v>
      </c>
    </row>
    <row r="387" spans="1:45" x14ac:dyDescent="0.25">
      <c r="A387">
        <v>33</v>
      </c>
      <c r="B387" t="s">
        <v>401</v>
      </c>
      <c r="E387" t="s">
        <v>396</v>
      </c>
      <c r="K387">
        <f>Scores_and_Fixtures[[#This Row],[Wk]]</f>
        <v>33</v>
      </c>
      <c r="L387" t="str">
        <f>Scores_and_Fixtures[[#This Row],[Home]]</f>
        <v>West Brom</v>
      </c>
      <c r="M387">
        <f ca="1">IF(ISBLANK(Scores_and_Fixtures[[#This Row],[Home Score]])=FALSE,Scores_and_Fixtures[[#This Row],[Home Score]],_xlfn.BINOM.INV(10000,(VLOOKUP(L387,$CK$4:$CM$27,2,FALSE)*VLOOKUP(O387,$CK$4:$CM$27,3,FALSE)*($CM$2/2))/10000,RAND()))</f>
        <v>6</v>
      </c>
      <c r="N387">
        <f ca="1">IF(ISBLANK(Scores_and_Fixtures[[#This Row],[Away Score]])=FALSE,Scores_and_Fixtures[[#This Row],[Away Score]],_xlfn.BINOM.INV(10000,(VLOOKUP(O387,$CK$4:$CM$27,2,FALSE)*VLOOKUP(L387,$CK$4:$CM$27,3,FALSE)*($CM$2/2))/10000,RAND()))</f>
        <v>0</v>
      </c>
      <c r="O387" t="str">
        <f>Scores_and_Fixtures[[#This Row],[Away]]</f>
        <v>Southampton</v>
      </c>
      <c r="U387">
        <v>286</v>
      </c>
      <c r="V387">
        <v>16</v>
      </c>
      <c r="W387">
        <v>12</v>
      </c>
      <c r="X387">
        <v>18</v>
      </c>
      <c r="Y387">
        <v>11</v>
      </c>
      <c r="Z387">
        <v>8</v>
      </c>
      <c r="AA387">
        <v>20</v>
      </c>
      <c r="AB387">
        <v>4</v>
      </c>
      <c r="AC387">
        <v>2</v>
      </c>
      <c r="AD387">
        <v>3</v>
      </c>
      <c r="AE387">
        <v>1</v>
      </c>
      <c r="AF387">
        <v>10</v>
      </c>
      <c r="AG387">
        <v>17</v>
      </c>
      <c r="AH387">
        <v>15</v>
      </c>
      <c r="AI387">
        <v>13</v>
      </c>
      <c r="AJ387">
        <v>14</v>
      </c>
      <c r="AK387">
        <v>23</v>
      </c>
      <c r="AL387">
        <v>22</v>
      </c>
      <c r="AM387">
        <v>24</v>
      </c>
      <c r="AN387">
        <v>5</v>
      </c>
      <c r="AO387">
        <v>21</v>
      </c>
      <c r="AP387">
        <v>9</v>
      </c>
      <c r="AQ387">
        <v>19</v>
      </c>
      <c r="AR387">
        <v>7</v>
      </c>
      <c r="AS387">
        <v>6</v>
      </c>
    </row>
    <row r="388" spans="1:45" x14ac:dyDescent="0.25">
      <c r="A388">
        <v>33</v>
      </c>
      <c r="B388" t="s">
        <v>392</v>
      </c>
      <c r="E388" t="s">
        <v>379</v>
      </c>
      <c r="K388">
        <f>Scores_and_Fixtures[[#This Row],[Wk]]</f>
        <v>33</v>
      </c>
      <c r="L388" t="str">
        <f>Scores_and_Fixtures[[#This Row],[Home]]</f>
        <v>Preston</v>
      </c>
      <c r="M388">
        <f ca="1">IF(ISBLANK(Scores_and_Fixtures[[#This Row],[Home Score]])=FALSE,Scores_and_Fixtures[[#This Row],[Home Score]],_xlfn.BINOM.INV(10000,(VLOOKUP(L388,$CK$4:$CM$27,2,FALSE)*VLOOKUP(O388,$CK$4:$CM$27,3,FALSE)*($CM$2/2))/10000,RAND()))</f>
        <v>2</v>
      </c>
      <c r="N388">
        <f ca="1">IF(ISBLANK(Scores_and_Fixtures[[#This Row],[Away Score]])=FALSE,Scores_and_Fixtures[[#This Row],[Away Score]],_xlfn.BINOM.INV(10000,(VLOOKUP(O388,$CK$4:$CM$27,2,FALSE)*VLOOKUP(L388,$CK$4:$CM$27,3,FALSE)*($CM$2/2))/10000,RAND()))</f>
        <v>3</v>
      </c>
      <c r="O388" t="str">
        <f>Scores_and_Fixtures[[#This Row],[Away]]</f>
        <v>Blackburn</v>
      </c>
      <c r="U388">
        <v>287</v>
      </c>
      <c r="V388">
        <v>15</v>
      </c>
      <c r="W388">
        <v>13</v>
      </c>
      <c r="X388">
        <v>11</v>
      </c>
      <c r="Y388">
        <v>8</v>
      </c>
      <c r="Z388">
        <v>18</v>
      </c>
      <c r="AA388">
        <v>21</v>
      </c>
      <c r="AB388">
        <v>7</v>
      </c>
      <c r="AC388">
        <v>2</v>
      </c>
      <c r="AD388">
        <v>3</v>
      </c>
      <c r="AE388">
        <v>1</v>
      </c>
      <c r="AF388">
        <v>10</v>
      </c>
      <c r="AG388">
        <v>14</v>
      </c>
      <c r="AH388">
        <v>12</v>
      </c>
      <c r="AI388">
        <v>19</v>
      </c>
      <c r="AJ388">
        <v>17</v>
      </c>
      <c r="AK388">
        <v>20</v>
      </c>
      <c r="AL388">
        <v>24</v>
      </c>
      <c r="AM388">
        <v>23</v>
      </c>
      <c r="AN388">
        <v>5</v>
      </c>
      <c r="AO388">
        <v>22</v>
      </c>
      <c r="AP388">
        <v>6</v>
      </c>
      <c r="AQ388">
        <v>16</v>
      </c>
      <c r="AR388">
        <v>4</v>
      </c>
      <c r="AS388">
        <v>9</v>
      </c>
    </row>
    <row r="389" spans="1:45" x14ac:dyDescent="0.25">
      <c r="A389">
        <v>33</v>
      </c>
      <c r="B389" t="s">
        <v>390</v>
      </c>
      <c r="E389" t="s">
        <v>381</v>
      </c>
      <c r="K389">
        <f>Scores_and_Fixtures[[#This Row],[Wk]]</f>
        <v>33</v>
      </c>
      <c r="L389" t="str">
        <f>Scores_and_Fixtures[[#This Row],[Home]]</f>
        <v>Norwich City</v>
      </c>
      <c r="M389">
        <f ca="1">IF(ISBLANK(Scores_and_Fixtures[[#This Row],[Home Score]])=FALSE,Scores_and_Fixtures[[#This Row],[Home Score]],_xlfn.BINOM.INV(10000,(VLOOKUP(L389,$CK$4:$CM$27,2,FALSE)*VLOOKUP(O389,$CK$4:$CM$27,3,FALSE)*($CM$2/2))/10000,RAND()))</f>
        <v>2</v>
      </c>
      <c r="N389">
        <f ca="1">IF(ISBLANK(Scores_and_Fixtures[[#This Row],[Away Score]])=FALSE,Scores_and_Fixtures[[#This Row],[Away Score]],_xlfn.BINOM.INV(10000,(VLOOKUP(O389,$CK$4:$CM$27,2,FALSE)*VLOOKUP(L389,$CK$4:$CM$27,3,FALSE)*($CM$2/2))/10000,RAND()))</f>
        <v>3</v>
      </c>
      <c r="O389" t="str">
        <f>Scores_and_Fixtures[[#This Row],[Away]]</f>
        <v>Cardiff City</v>
      </c>
      <c r="U389">
        <v>288</v>
      </c>
      <c r="V389">
        <v>13</v>
      </c>
      <c r="W389">
        <v>14</v>
      </c>
      <c r="X389">
        <v>16</v>
      </c>
      <c r="Y389">
        <v>11</v>
      </c>
      <c r="Z389">
        <v>15</v>
      </c>
      <c r="AA389">
        <v>21</v>
      </c>
      <c r="AB389">
        <v>5</v>
      </c>
      <c r="AC389">
        <v>2</v>
      </c>
      <c r="AD389">
        <v>3</v>
      </c>
      <c r="AE389">
        <v>1</v>
      </c>
      <c r="AF389">
        <v>8</v>
      </c>
      <c r="AG389">
        <v>19</v>
      </c>
      <c r="AH389">
        <v>6</v>
      </c>
      <c r="AI389">
        <v>17</v>
      </c>
      <c r="AJ389">
        <v>18</v>
      </c>
      <c r="AK389">
        <v>22</v>
      </c>
      <c r="AL389">
        <v>24</v>
      </c>
      <c r="AM389">
        <v>23</v>
      </c>
      <c r="AN389">
        <v>4</v>
      </c>
      <c r="AO389">
        <v>20</v>
      </c>
      <c r="AP389">
        <v>7</v>
      </c>
      <c r="AQ389">
        <v>12</v>
      </c>
      <c r="AR389">
        <v>10</v>
      </c>
      <c r="AS389">
        <v>9</v>
      </c>
    </row>
    <row r="390" spans="1:45" x14ac:dyDescent="0.25">
      <c r="A390">
        <v>33</v>
      </c>
      <c r="B390" t="s">
        <v>387</v>
      </c>
      <c r="E390" t="s">
        <v>388</v>
      </c>
      <c r="K390">
        <f>Scores_and_Fixtures[[#This Row],[Wk]]</f>
        <v>33</v>
      </c>
      <c r="L390" t="str">
        <f>Scores_and_Fixtures[[#This Row],[Home]]</f>
        <v>Leicester City</v>
      </c>
      <c r="M390">
        <f ca="1">IF(ISBLANK(Scores_and_Fixtures[[#This Row],[Home Score]])=FALSE,Scores_and_Fixtures[[#This Row],[Home Score]],_xlfn.BINOM.INV(10000,(VLOOKUP(L390,$CK$4:$CM$27,2,FALSE)*VLOOKUP(O390,$CK$4:$CM$27,3,FALSE)*($CM$2/2))/10000,RAND()))</f>
        <v>3</v>
      </c>
      <c r="N390">
        <f ca="1">IF(ISBLANK(Scores_and_Fixtures[[#This Row],[Away Score]])=FALSE,Scores_and_Fixtures[[#This Row],[Away Score]],_xlfn.BINOM.INV(10000,(VLOOKUP(O390,$CK$4:$CM$27,2,FALSE)*VLOOKUP(L390,$CK$4:$CM$27,3,FALSE)*($CM$2/2))/10000,RAND()))</f>
        <v>0</v>
      </c>
      <c r="O390" t="str">
        <f>Scores_and_Fixtures[[#This Row],[Away]]</f>
        <v>Middlesbrough</v>
      </c>
      <c r="U390">
        <v>289</v>
      </c>
      <c r="V390">
        <v>13</v>
      </c>
      <c r="W390">
        <v>14</v>
      </c>
      <c r="X390">
        <v>11</v>
      </c>
      <c r="Y390">
        <v>16</v>
      </c>
      <c r="Z390">
        <v>9</v>
      </c>
      <c r="AA390">
        <v>22</v>
      </c>
      <c r="AB390">
        <v>4</v>
      </c>
      <c r="AC390">
        <v>2</v>
      </c>
      <c r="AD390">
        <v>6</v>
      </c>
      <c r="AE390">
        <v>1</v>
      </c>
      <c r="AF390">
        <v>12</v>
      </c>
      <c r="AG390">
        <v>18</v>
      </c>
      <c r="AH390">
        <v>19</v>
      </c>
      <c r="AI390">
        <v>15</v>
      </c>
      <c r="AJ390">
        <v>10</v>
      </c>
      <c r="AK390">
        <v>17</v>
      </c>
      <c r="AL390">
        <v>24</v>
      </c>
      <c r="AM390">
        <v>23</v>
      </c>
      <c r="AN390">
        <v>3</v>
      </c>
      <c r="AO390">
        <v>21</v>
      </c>
      <c r="AP390">
        <v>8</v>
      </c>
      <c r="AQ390">
        <v>20</v>
      </c>
      <c r="AR390">
        <v>7</v>
      </c>
      <c r="AS390">
        <v>5</v>
      </c>
    </row>
    <row r="391" spans="1:45" x14ac:dyDescent="0.25">
      <c r="A391">
        <v>33</v>
      </c>
      <c r="B391" t="s">
        <v>397</v>
      </c>
      <c r="E391" t="s">
        <v>382</v>
      </c>
      <c r="K391">
        <f>Scores_and_Fixtures[[#This Row],[Wk]]</f>
        <v>33</v>
      </c>
      <c r="L391" t="str">
        <f>Scores_and_Fixtures[[#This Row],[Home]]</f>
        <v>Stoke City</v>
      </c>
      <c r="M391">
        <f ca="1">IF(ISBLANK(Scores_and_Fixtures[[#This Row],[Home Score]])=FALSE,Scores_and_Fixtures[[#This Row],[Home Score]],_xlfn.BINOM.INV(10000,(VLOOKUP(L391,$CK$4:$CM$27,2,FALSE)*VLOOKUP(O391,$CK$4:$CM$27,3,FALSE)*($CM$2/2))/10000,RAND()))</f>
        <v>1</v>
      </c>
      <c r="N391">
        <f ca="1">IF(ISBLANK(Scores_and_Fixtures[[#This Row],[Away Score]])=FALSE,Scores_and_Fixtures[[#This Row],[Away Score]],_xlfn.BINOM.INV(10000,(VLOOKUP(O391,$CK$4:$CM$27,2,FALSE)*VLOOKUP(L391,$CK$4:$CM$27,3,FALSE)*($CM$2/2))/10000,RAND()))</f>
        <v>1</v>
      </c>
      <c r="O391" t="str">
        <f>Scores_and_Fixtures[[#This Row],[Away]]</f>
        <v>Coventry City</v>
      </c>
      <c r="U391">
        <v>290</v>
      </c>
      <c r="V391">
        <v>18</v>
      </c>
      <c r="W391">
        <v>9</v>
      </c>
      <c r="X391">
        <v>16</v>
      </c>
      <c r="Y391">
        <v>7</v>
      </c>
      <c r="Z391">
        <v>15</v>
      </c>
      <c r="AA391">
        <v>20</v>
      </c>
      <c r="AB391">
        <v>5</v>
      </c>
      <c r="AC391">
        <v>2</v>
      </c>
      <c r="AD391">
        <v>4</v>
      </c>
      <c r="AE391">
        <v>1</v>
      </c>
      <c r="AF391">
        <v>13</v>
      </c>
      <c r="AG391">
        <v>19</v>
      </c>
      <c r="AH391">
        <v>11</v>
      </c>
      <c r="AI391">
        <v>17</v>
      </c>
      <c r="AJ391">
        <v>14</v>
      </c>
      <c r="AK391">
        <v>22</v>
      </c>
      <c r="AL391">
        <v>23</v>
      </c>
      <c r="AM391">
        <v>24</v>
      </c>
      <c r="AN391">
        <v>3</v>
      </c>
      <c r="AO391">
        <v>21</v>
      </c>
      <c r="AP391">
        <v>8</v>
      </c>
      <c r="AQ391">
        <v>12</v>
      </c>
      <c r="AR391">
        <v>6</v>
      </c>
      <c r="AS391">
        <v>10</v>
      </c>
    </row>
    <row r="392" spans="1:45" x14ac:dyDescent="0.25">
      <c r="A392">
        <v>33</v>
      </c>
      <c r="B392" t="s">
        <v>391</v>
      </c>
      <c r="E392" t="s">
        <v>386</v>
      </c>
      <c r="K392">
        <f>Scores_and_Fixtures[[#This Row],[Wk]]</f>
        <v>33</v>
      </c>
      <c r="L392" t="str">
        <f>Scores_and_Fixtures[[#This Row],[Home]]</f>
        <v>Plymouth Argyle</v>
      </c>
      <c r="M392">
        <f ca="1">IF(ISBLANK(Scores_and_Fixtures[[#This Row],[Home Score]])=FALSE,Scores_and_Fixtures[[#This Row],[Home Score]],_xlfn.BINOM.INV(10000,(VLOOKUP(L392,$CK$4:$CM$27,2,FALSE)*VLOOKUP(O392,$CK$4:$CM$27,3,FALSE)*($CM$2/2))/10000,RAND()))</f>
        <v>1</v>
      </c>
      <c r="N392">
        <f ca="1">IF(ISBLANK(Scores_and_Fixtures[[#This Row],[Away Score]])=FALSE,Scores_and_Fixtures[[#This Row],[Away Score]],_xlfn.BINOM.INV(10000,(VLOOKUP(O392,$CK$4:$CM$27,2,FALSE)*VLOOKUP(L392,$CK$4:$CM$27,3,FALSE)*($CM$2/2))/10000,RAND()))</f>
        <v>0</v>
      </c>
      <c r="O392" t="str">
        <f>Scores_and_Fixtures[[#This Row],[Away]]</f>
        <v>Leeds United</v>
      </c>
      <c r="U392">
        <v>291</v>
      </c>
      <c r="V392">
        <v>12</v>
      </c>
      <c r="W392">
        <v>15</v>
      </c>
      <c r="X392">
        <v>11</v>
      </c>
      <c r="Y392">
        <v>13</v>
      </c>
      <c r="Z392">
        <v>16</v>
      </c>
      <c r="AA392">
        <v>20</v>
      </c>
      <c r="AB392">
        <v>8</v>
      </c>
      <c r="AC392">
        <v>3</v>
      </c>
      <c r="AD392">
        <v>4</v>
      </c>
      <c r="AE392">
        <v>1</v>
      </c>
      <c r="AF392">
        <v>6</v>
      </c>
      <c r="AG392">
        <v>17</v>
      </c>
      <c r="AH392">
        <v>10</v>
      </c>
      <c r="AI392">
        <v>21</v>
      </c>
      <c r="AJ392">
        <v>14</v>
      </c>
      <c r="AK392">
        <v>19</v>
      </c>
      <c r="AL392">
        <v>24</v>
      </c>
      <c r="AM392">
        <v>23</v>
      </c>
      <c r="AN392">
        <v>2</v>
      </c>
      <c r="AO392">
        <v>22</v>
      </c>
      <c r="AP392">
        <v>7</v>
      </c>
      <c r="AQ392">
        <v>18</v>
      </c>
      <c r="AR392">
        <v>9</v>
      </c>
      <c r="AS392">
        <v>5</v>
      </c>
    </row>
    <row r="393" spans="1:45" x14ac:dyDescent="0.25">
      <c r="A393">
        <v>33</v>
      </c>
      <c r="B393" t="s">
        <v>380</v>
      </c>
      <c r="E393" t="s">
        <v>393</v>
      </c>
      <c r="K393">
        <f>Scores_and_Fixtures[[#This Row],[Wk]]</f>
        <v>33</v>
      </c>
      <c r="L393" t="str">
        <f>Scores_and_Fixtures[[#This Row],[Home]]</f>
        <v>Bristol City</v>
      </c>
      <c r="M393">
        <f ca="1">IF(ISBLANK(Scores_and_Fixtures[[#This Row],[Home Score]])=FALSE,Scores_and_Fixtures[[#This Row],[Home Score]],_xlfn.BINOM.INV(10000,(VLOOKUP(L393,$CK$4:$CM$27,2,FALSE)*VLOOKUP(O393,$CK$4:$CM$27,3,FALSE)*($CM$2/2))/10000,RAND()))</f>
        <v>1</v>
      </c>
      <c r="N393">
        <f ca="1">IF(ISBLANK(Scores_and_Fixtures[[#This Row],[Away Score]])=FALSE,Scores_and_Fixtures[[#This Row],[Away Score]],_xlfn.BINOM.INV(10000,(VLOOKUP(O393,$CK$4:$CM$27,2,FALSE)*VLOOKUP(L393,$CK$4:$CM$27,3,FALSE)*($CM$2/2))/10000,RAND()))</f>
        <v>1</v>
      </c>
      <c r="O393" t="str">
        <f>Scores_and_Fixtures[[#This Row],[Away]]</f>
        <v>QPR</v>
      </c>
      <c r="U393">
        <v>292</v>
      </c>
      <c r="V393">
        <v>9</v>
      </c>
      <c r="W393">
        <v>13</v>
      </c>
      <c r="X393">
        <v>18</v>
      </c>
      <c r="Y393">
        <v>14</v>
      </c>
      <c r="Z393">
        <v>10</v>
      </c>
      <c r="AA393">
        <v>20</v>
      </c>
      <c r="AB393">
        <v>8</v>
      </c>
      <c r="AC393">
        <v>2</v>
      </c>
      <c r="AD393">
        <v>3</v>
      </c>
      <c r="AE393">
        <v>1</v>
      </c>
      <c r="AF393">
        <v>12</v>
      </c>
      <c r="AG393">
        <v>17</v>
      </c>
      <c r="AH393">
        <v>11</v>
      </c>
      <c r="AI393">
        <v>19</v>
      </c>
      <c r="AJ393">
        <v>15</v>
      </c>
      <c r="AK393">
        <v>21</v>
      </c>
      <c r="AL393">
        <v>23</v>
      </c>
      <c r="AM393">
        <v>24</v>
      </c>
      <c r="AN393">
        <v>4</v>
      </c>
      <c r="AO393">
        <v>22</v>
      </c>
      <c r="AP393">
        <v>7</v>
      </c>
      <c r="AQ393">
        <v>16</v>
      </c>
      <c r="AR393">
        <v>6</v>
      </c>
      <c r="AS393">
        <v>5</v>
      </c>
    </row>
    <row r="394" spans="1:45" x14ac:dyDescent="0.25">
      <c r="A394">
        <v>33</v>
      </c>
      <c r="B394" t="s">
        <v>394</v>
      </c>
      <c r="E394" t="s">
        <v>400</v>
      </c>
      <c r="K394">
        <f>Scores_and_Fixtures[[#This Row],[Wk]]</f>
        <v>33</v>
      </c>
      <c r="L394" t="str">
        <f>Scores_and_Fixtures[[#This Row],[Home]]</f>
        <v>Rotherham Utd</v>
      </c>
      <c r="M394">
        <f ca="1">IF(ISBLANK(Scores_and_Fixtures[[#This Row],[Home Score]])=FALSE,Scores_and_Fixtures[[#This Row],[Home Score]],_xlfn.BINOM.INV(10000,(VLOOKUP(L394,$CK$4:$CM$27,2,FALSE)*VLOOKUP(O394,$CK$4:$CM$27,3,FALSE)*($CM$2/2))/10000,RAND()))</f>
        <v>0</v>
      </c>
      <c r="N394">
        <f ca="1">IF(ISBLANK(Scores_and_Fixtures[[#This Row],[Away Score]])=FALSE,Scores_and_Fixtures[[#This Row],[Away Score]],_xlfn.BINOM.INV(10000,(VLOOKUP(O394,$CK$4:$CM$27,2,FALSE)*VLOOKUP(L394,$CK$4:$CM$27,3,FALSE)*($CM$2/2))/10000,RAND()))</f>
        <v>1</v>
      </c>
      <c r="O394" t="str">
        <f>Scores_and_Fixtures[[#This Row],[Away]]</f>
        <v>Watford</v>
      </c>
      <c r="U394">
        <v>293</v>
      </c>
      <c r="V394">
        <v>11</v>
      </c>
      <c r="W394">
        <v>12</v>
      </c>
      <c r="X394">
        <v>17</v>
      </c>
      <c r="Y394">
        <v>14</v>
      </c>
      <c r="Z394">
        <v>16</v>
      </c>
      <c r="AA394">
        <v>19</v>
      </c>
      <c r="AB394">
        <v>5</v>
      </c>
      <c r="AC394">
        <v>2</v>
      </c>
      <c r="AD394">
        <v>3</v>
      </c>
      <c r="AE394">
        <v>1</v>
      </c>
      <c r="AF394">
        <v>10</v>
      </c>
      <c r="AG394">
        <v>18</v>
      </c>
      <c r="AH394">
        <v>8</v>
      </c>
      <c r="AI394">
        <v>15</v>
      </c>
      <c r="AJ394">
        <v>13</v>
      </c>
      <c r="AK394">
        <v>22</v>
      </c>
      <c r="AL394">
        <v>23</v>
      </c>
      <c r="AM394">
        <v>24</v>
      </c>
      <c r="AN394">
        <v>4</v>
      </c>
      <c r="AO394">
        <v>21</v>
      </c>
      <c r="AP394">
        <v>9</v>
      </c>
      <c r="AQ394">
        <v>20</v>
      </c>
      <c r="AR394">
        <v>6</v>
      </c>
      <c r="AS394">
        <v>7</v>
      </c>
    </row>
    <row r="395" spans="1:45" x14ac:dyDescent="0.25">
      <c r="A395">
        <v>33</v>
      </c>
      <c r="B395" t="s">
        <v>389</v>
      </c>
      <c r="E395" t="s">
        <v>395</v>
      </c>
      <c r="K395">
        <f>Scores_and_Fixtures[[#This Row],[Wk]]</f>
        <v>33</v>
      </c>
      <c r="L395" t="str">
        <f>Scores_and_Fixtures[[#This Row],[Home]]</f>
        <v>Millwall</v>
      </c>
      <c r="M395">
        <f ca="1">IF(ISBLANK(Scores_and_Fixtures[[#This Row],[Home Score]])=FALSE,Scores_and_Fixtures[[#This Row],[Home Score]],_xlfn.BINOM.INV(10000,(VLOOKUP(L395,$CK$4:$CM$27,2,FALSE)*VLOOKUP(O395,$CK$4:$CM$27,3,FALSE)*($CM$2/2))/10000,RAND()))</f>
        <v>1</v>
      </c>
      <c r="N395">
        <f ca="1">IF(ISBLANK(Scores_and_Fixtures[[#This Row],[Away Score]])=FALSE,Scores_and_Fixtures[[#This Row],[Away Score]],_xlfn.BINOM.INV(10000,(VLOOKUP(O395,$CK$4:$CM$27,2,FALSE)*VLOOKUP(L395,$CK$4:$CM$27,3,FALSE)*($CM$2/2))/10000,RAND()))</f>
        <v>1</v>
      </c>
      <c r="O395" t="str">
        <f>Scores_and_Fixtures[[#This Row],[Away]]</f>
        <v>Sheffield Weds</v>
      </c>
      <c r="U395">
        <v>294</v>
      </c>
      <c r="V395">
        <v>16</v>
      </c>
      <c r="W395">
        <v>14</v>
      </c>
      <c r="X395">
        <v>13</v>
      </c>
      <c r="Y395">
        <v>10</v>
      </c>
      <c r="Z395">
        <v>15</v>
      </c>
      <c r="AA395">
        <v>22</v>
      </c>
      <c r="AB395">
        <v>3</v>
      </c>
      <c r="AC395">
        <v>2</v>
      </c>
      <c r="AD395">
        <v>4</v>
      </c>
      <c r="AE395">
        <v>1</v>
      </c>
      <c r="AF395">
        <v>8</v>
      </c>
      <c r="AG395">
        <v>19</v>
      </c>
      <c r="AH395">
        <v>12</v>
      </c>
      <c r="AI395">
        <v>20</v>
      </c>
      <c r="AJ395">
        <v>11</v>
      </c>
      <c r="AK395">
        <v>21</v>
      </c>
      <c r="AL395">
        <v>24</v>
      </c>
      <c r="AM395">
        <v>23</v>
      </c>
      <c r="AN395">
        <v>5</v>
      </c>
      <c r="AO395">
        <v>18</v>
      </c>
      <c r="AP395">
        <v>9</v>
      </c>
      <c r="AQ395">
        <v>17</v>
      </c>
      <c r="AR395">
        <v>7</v>
      </c>
      <c r="AS395">
        <v>6</v>
      </c>
    </row>
    <row r="396" spans="1:45" x14ac:dyDescent="0.25">
      <c r="A396">
        <v>33</v>
      </c>
      <c r="B396" t="s">
        <v>383</v>
      </c>
      <c r="E396" t="s">
        <v>384</v>
      </c>
      <c r="K396">
        <f>Scores_and_Fixtures[[#This Row],[Wk]]</f>
        <v>33</v>
      </c>
      <c r="L396" t="str">
        <f>Scores_and_Fixtures[[#This Row],[Home]]</f>
        <v>Huddersfield</v>
      </c>
      <c r="M396">
        <f ca="1">IF(ISBLANK(Scores_and_Fixtures[[#This Row],[Home Score]])=FALSE,Scores_and_Fixtures[[#This Row],[Home Score]],_xlfn.BINOM.INV(10000,(VLOOKUP(L396,$CK$4:$CM$27,2,FALSE)*VLOOKUP(O396,$CK$4:$CM$27,3,FALSE)*($CM$2/2))/10000,RAND()))</f>
        <v>1</v>
      </c>
      <c r="N396">
        <f ca="1">IF(ISBLANK(Scores_and_Fixtures[[#This Row],[Away Score]])=FALSE,Scores_and_Fixtures[[#This Row],[Away Score]],_xlfn.BINOM.INV(10000,(VLOOKUP(O396,$CK$4:$CM$27,2,FALSE)*VLOOKUP(L396,$CK$4:$CM$27,3,FALSE)*($CM$2/2))/10000,RAND()))</f>
        <v>3</v>
      </c>
      <c r="O396" t="str">
        <f>Scores_and_Fixtures[[#This Row],[Away]]</f>
        <v>Hull City</v>
      </c>
      <c r="U396">
        <v>295</v>
      </c>
      <c r="V396">
        <v>17</v>
      </c>
      <c r="W396">
        <v>7</v>
      </c>
      <c r="X396">
        <v>10</v>
      </c>
      <c r="Y396">
        <v>12</v>
      </c>
      <c r="Z396">
        <v>14</v>
      </c>
      <c r="AA396">
        <v>22</v>
      </c>
      <c r="AB396">
        <v>6</v>
      </c>
      <c r="AC396">
        <v>2</v>
      </c>
      <c r="AD396">
        <v>3</v>
      </c>
      <c r="AE396">
        <v>1</v>
      </c>
      <c r="AF396">
        <v>11</v>
      </c>
      <c r="AG396">
        <v>19</v>
      </c>
      <c r="AH396">
        <v>8</v>
      </c>
      <c r="AI396">
        <v>15</v>
      </c>
      <c r="AJ396">
        <v>16</v>
      </c>
      <c r="AK396">
        <v>21</v>
      </c>
      <c r="AL396">
        <v>24</v>
      </c>
      <c r="AM396">
        <v>23</v>
      </c>
      <c r="AN396">
        <v>4</v>
      </c>
      <c r="AO396">
        <v>20</v>
      </c>
      <c r="AP396">
        <v>13</v>
      </c>
      <c r="AQ396">
        <v>18</v>
      </c>
      <c r="AR396">
        <v>9</v>
      </c>
      <c r="AS396">
        <v>5</v>
      </c>
    </row>
    <row r="397" spans="1:45" x14ac:dyDescent="0.25">
      <c r="A397">
        <v>33</v>
      </c>
      <c r="B397" t="s">
        <v>399</v>
      </c>
      <c r="E397" t="s">
        <v>385</v>
      </c>
      <c r="K397">
        <f>Scores_and_Fixtures[[#This Row],[Wk]]</f>
        <v>33</v>
      </c>
      <c r="L397" t="str">
        <f>Scores_and_Fixtures[[#This Row],[Home]]</f>
        <v>Swansea City</v>
      </c>
      <c r="M397">
        <f ca="1">IF(ISBLANK(Scores_and_Fixtures[[#This Row],[Home Score]])=FALSE,Scores_and_Fixtures[[#This Row],[Home Score]],_xlfn.BINOM.INV(10000,(VLOOKUP(L397,$CK$4:$CM$27,2,FALSE)*VLOOKUP(O397,$CK$4:$CM$27,3,FALSE)*($CM$2/2))/10000,RAND()))</f>
        <v>3</v>
      </c>
      <c r="N397">
        <f ca="1">IF(ISBLANK(Scores_and_Fixtures[[#This Row],[Away Score]])=FALSE,Scores_and_Fixtures[[#This Row],[Away Score]],_xlfn.BINOM.INV(10000,(VLOOKUP(O397,$CK$4:$CM$27,2,FALSE)*VLOOKUP(L397,$CK$4:$CM$27,3,FALSE)*($CM$2/2))/10000,RAND()))</f>
        <v>2</v>
      </c>
      <c r="O397" t="str">
        <f>Scores_and_Fixtures[[#This Row],[Away]]</f>
        <v>Ipswich Town</v>
      </c>
      <c r="U397">
        <v>296</v>
      </c>
      <c r="V397">
        <v>13</v>
      </c>
      <c r="W397">
        <v>20</v>
      </c>
      <c r="X397">
        <v>18</v>
      </c>
      <c r="Y397">
        <v>15</v>
      </c>
      <c r="Z397">
        <v>16</v>
      </c>
      <c r="AA397">
        <v>22</v>
      </c>
      <c r="AB397">
        <v>9</v>
      </c>
      <c r="AC397">
        <v>2</v>
      </c>
      <c r="AD397">
        <v>4</v>
      </c>
      <c r="AE397">
        <v>1</v>
      </c>
      <c r="AF397">
        <v>12</v>
      </c>
      <c r="AG397">
        <v>17</v>
      </c>
      <c r="AH397">
        <v>8</v>
      </c>
      <c r="AI397">
        <v>10</v>
      </c>
      <c r="AJ397">
        <v>11</v>
      </c>
      <c r="AK397">
        <v>21</v>
      </c>
      <c r="AL397">
        <v>24</v>
      </c>
      <c r="AM397">
        <v>23</v>
      </c>
      <c r="AN397">
        <v>3</v>
      </c>
      <c r="AO397">
        <v>19</v>
      </c>
      <c r="AP397">
        <v>7</v>
      </c>
      <c r="AQ397">
        <v>14</v>
      </c>
      <c r="AR397">
        <v>6</v>
      </c>
      <c r="AS397">
        <v>5</v>
      </c>
    </row>
    <row r="398" spans="1:45" x14ac:dyDescent="0.25">
      <c r="A398">
        <v>34</v>
      </c>
      <c r="B398" t="s">
        <v>386</v>
      </c>
      <c r="E398" t="s">
        <v>387</v>
      </c>
      <c r="K398">
        <f>Scores_and_Fixtures[[#This Row],[Wk]]</f>
        <v>34</v>
      </c>
      <c r="L398" t="str">
        <f>Scores_and_Fixtures[[#This Row],[Home]]</f>
        <v>Leeds United</v>
      </c>
      <c r="M398">
        <f ca="1">IF(ISBLANK(Scores_and_Fixtures[[#This Row],[Home Score]])=FALSE,Scores_and_Fixtures[[#This Row],[Home Score]],_xlfn.BINOM.INV(10000,(VLOOKUP(L398,$CK$4:$CM$27,2,FALSE)*VLOOKUP(O398,$CK$4:$CM$27,3,FALSE)*($CM$2/2))/10000,RAND()))</f>
        <v>1</v>
      </c>
      <c r="N398">
        <f ca="1">IF(ISBLANK(Scores_and_Fixtures[[#This Row],[Away Score]])=FALSE,Scores_and_Fixtures[[#This Row],[Away Score]],_xlfn.BINOM.INV(10000,(VLOOKUP(O398,$CK$4:$CM$27,2,FALSE)*VLOOKUP(L398,$CK$4:$CM$27,3,FALSE)*($CM$2/2))/10000,RAND()))</f>
        <v>1</v>
      </c>
      <c r="O398" t="str">
        <f>Scores_and_Fixtures[[#This Row],[Away]]</f>
        <v>Leicester City</v>
      </c>
      <c r="U398">
        <v>297</v>
      </c>
      <c r="V398">
        <v>15</v>
      </c>
      <c r="W398">
        <v>11</v>
      </c>
      <c r="X398">
        <v>10</v>
      </c>
      <c r="Y398">
        <v>18</v>
      </c>
      <c r="Z398">
        <v>14</v>
      </c>
      <c r="AA398">
        <v>22</v>
      </c>
      <c r="AB398">
        <v>7</v>
      </c>
      <c r="AC398">
        <v>4</v>
      </c>
      <c r="AD398">
        <v>2</v>
      </c>
      <c r="AE398">
        <v>1</v>
      </c>
      <c r="AF398">
        <v>17</v>
      </c>
      <c r="AG398">
        <v>19</v>
      </c>
      <c r="AH398">
        <v>9</v>
      </c>
      <c r="AI398">
        <v>13</v>
      </c>
      <c r="AJ398">
        <v>12</v>
      </c>
      <c r="AK398">
        <v>21</v>
      </c>
      <c r="AL398">
        <v>24</v>
      </c>
      <c r="AM398">
        <v>23</v>
      </c>
      <c r="AN398">
        <v>3</v>
      </c>
      <c r="AO398">
        <v>20</v>
      </c>
      <c r="AP398">
        <v>8</v>
      </c>
      <c r="AQ398">
        <v>16</v>
      </c>
      <c r="AR398">
        <v>6</v>
      </c>
      <c r="AS398">
        <v>5</v>
      </c>
    </row>
    <row r="399" spans="1:45" x14ac:dyDescent="0.25">
      <c r="A399">
        <v>34</v>
      </c>
      <c r="B399" t="s">
        <v>395</v>
      </c>
      <c r="E399" t="s">
        <v>380</v>
      </c>
      <c r="K399">
        <f>Scores_and_Fixtures[[#This Row],[Wk]]</f>
        <v>34</v>
      </c>
      <c r="L399" t="str">
        <f>Scores_and_Fixtures[[#This Row],[Home]]</f>
        <v>Sheffield Weds</v>
      </c>
      <c r="M399">
        <f ca="1">IF(ISBLANK(Scores_and_Fixtures[[#This Row],[Home Score]])=FALSE,Scores_and_Fixtures[[#This Row],[Home Score]],_xlfn.BINOM.INV(10000,(VLOOKUP(L399,$CK$4:$CM$27,2,FALSE)*VLOOKUP(O399,$CK$4:$CM$27,3,FALSE)*($CM$2/2))/10000,RAND()))</f>
        <v>0</v>
      </c>
      <c r="N399">
        <f ca="1">IF(ISBLANK(Scores_and_Fixtures[[#This Row],[Away Score]])=FALSE,Scores_and_Fixtures[[#This Row],[Away Score]],_xlfn.BINOM.INV(10000,(VLOOKUP(O399,$CK$4:$CM$27,2,FALSE)*VLOOKUP(L399,$CK$4:$CM$27,3,FALSE)*($CM$2/2))/10000,RAND()))</f>
        <v>1</v>
      </c>
      <c r="O399" t="str">
        <f>Scores_and_Fixtures[[#This Row],[Away]]</f>
        <v>Bristol City</v>
      </c>
      <c r="U399">
        <v>298</v>
      </c>
      <c r="V399">
        <v>14</v>
      </c>
      <c r="W399">
        <v>13</v>
      </c>
      <c r="X399">
        <v>11</v>
      </c>
      <c r="Y399">
        <v>10</v>
      </c>
      <c r="Z399">
        <v>16</v>
      </c>
      <c r="AA399">
        <v>20</v>
      </c>
      <c r="AB399">
        <v>6</v>
      </c>
      <c r="AC399">
        <v>2</v>
      </c>
      <c r="AD399">
        <v>3</v>
      </c>
      <c r="AE399">
        <v>1</v>
      </c>
      <c r="AF399">
        <v>7</v>
      </c>
      <c r="AG399">
        <v>17</v>
      </c>
      <c r="AH399">
        <v>12</v>
      </c>
      <c r="AI399">
        <v>15</v>
      </c>
      <c r="AJ399">
        <v>18</v>
      </c>
      <c r="AK399">
        <v>21</v>
      </c>
      <c r="AL399">
        <v>24</v>
      </c>
      <c r="AM399">
        <v>23</v>
      </c>
      <c r="AN399">
        <v>4</v>
      </c>
      <c r="AO399">
        <v>22</v>
      </c>
      <c r="AP399">
        <v>5</v>
      </c>
      <c r="AQ399">
        <v>19</v>
      </c>
      <c r="AR399">
        <v>8</v>
      </c>
      <c r="AS399">
        <v>9</v>
      </c>
    </row>
    <row r="400" spans="1:45" x14ac:dyDescent="0.25">
      <c r="A400">
        <v>34</v>
      </c>
      <c r="B400" t="s">
        <v>396</v>
      </c>
      <c r="E400" t="s">
        <v>389</v>
      </c>
      <c r="K400">
        <f>Scores_and_Fixtures[[#This Row],[Wk]]</f>
        <v>34</v>
      </c>
      <c r="L400" t="str">
        <f>Scores_and_Fixtures[[#This Row],[Home]]</f>
        <v>Southampton</v>
      </c>
      <c r="M400">
        <f ca="1">IF(ISBLANK(Scores_and_Fixtures[[#This Row],[Home Score]])=FALSE,Scores_and_Fixtures[[#This Row],[Home Score]],_xlfn.BINOM.INV(10000,(VLOOKUP(L400,$CK$4:$CM$27,2,FALSE)*VLOOKUP(O400,$CK$4:$CM$27,3,FALSE)*($CM$2/2))/10000,RAND()))</f>
        <v>5</v>
      </c>
      <c r="N400">
        <f ca="1">IF(ISBLANK(Scores_and_Fixtures[[#This Row],[Away Score]])=FALSE,Scores_and_Fixtures[[#This Row],[Away Score]],_xlfn.BINOM.INV(10000,(VLOOKUP(O400,$CK$4:$CM$27,2,FALSE)*VLOOKUP(L400,$CK$4:$CM$27,3,FALSE)*($CM$2/2))/10000,RAND()))</f>
        <v>3</v>
      </c>
      <c r="O400" t="str">
        <f>Scores_and_Fixtures[[#This Row],[Away]]</f>
        <v>Millwall</v>
      </c>
      <c r="U400">
        <v>299</v>
      </c>
      <c r="V400">
        <v>16</v>
      </c>
      <c r="W400">
        <v>11</v>
      </c>
      <c r="X400">
        <v>12</v>
      </c>
      <c r="Y400">
        <v>14</v>
      </c>
      <c r="Z400">
        <v>10</v>
      </c>
      <c r="AA400">
        <v>20</v>
      </c>
      <c r="AB400">
        <v>6</v>
      </c>
      <c r="AC400">
        <v>3</v>
      </c>
      <c r="AD400">
        <v>4</v>
      </c>
      <c r="AE400">
        <v>1</v>
      </c>
      <c r="AF400">
        <v>13</v>
      </c>
      <c r="AG400">
        <v>19</v>
      </c>
      <c r="AH400">
        <v>15</v>
      </c>
      <c r="AI400">
        <v>18</v>
      </c>
      <c r="AJ400">
        <v>9</v>
      </c>
      <c r="AK400">
        <v>22</v>
      </c>
      <c r="AL400">
        <v>24</v>
      </c>
      <c r="AM400">
        <v>23</v>
      </c>
      <c r="AN400">
        <v>2</v>
      </c>
      <c r="AO400">
        <v>21</v>
      </c>
      <c r="AP400">
        <v>5</v>
      </c>
      <c r="AQ400">
        <v>17</v>
      </c>
      <c r="AR400">
        <v>8</v>
      </c>
      <c r="AS400">
        <v>7</v>
      </c>
    </row>
    <row r="401" spans="1:45" x14ac:dyDescent="0.25">
      <c r="A401">
        <v>34</v>
      </c>
      <c r="B401" t="s">
        <v>379</v>
      </c>
      <c r="E401" t="s">
        <v>390</v>
      </c>
      <c r="K401">
        <f>Scores_and_Fixtures[[#This Row],[Wk]]</f>
        <v>34</v>
      </c>
      <c r="L401" t="str">
        <f>Scores_and_Fixtures[[#This Row],[Home]]</f>
        <v>Blackburn</v>
      </c>
      <c r="M401">
        <f ca="1">IF(ISBLANK(Scores_and_Fixtures[[#This Row],[Home Score]])=FALSE,Scores_and_Fixtures[[#This Row],[Home Score]],_xlfn.BINOM.INV(10000,(VLOOKUP(L401,$CK$4:$CM$27,2,FALSE)*VLOOKUP(O401,$CK$4:$CM$27,3,FALSE)*($CM$2/2))/10000,RAND()))</f>
        <v>1</v>
      </c>
      <c r="N401">
        <f ca="1">IF(ISBLANK(Scores_and_Fixtures[[#This Row],[Away Score]])=FALSE,Scores_and_Fixtures[[#This Row],[Away Score]],_xlfn.BINOM.INV(10000,(VLOOKUP(O401,$CK$4:$CM$27,2,FALSE)*VLOOKUP(L401,$CK$4:$CM$27,3,FALSE)*($CM$2/2))/10000,RAND()))</f>
        <v>1</v>
      </c>
      <c r="O401" t="str">
        <f>Scores_and_Fixtures[[#This Row],[Away]]</f>
        <v>Norwich City</v>
      </c>
      <c r="U401">
        <v>300</v>
      </c>
      <c r="V401">
        <v>17</v>
      </c>
      <c r="W401">
        <v>9</v>
      </c>
      <c r="X401">
        <v>15</v>
      </c>
      <c r="Y401">
        <v>12</v>
      </c>
      <c r="Z401">
        <v>11</v>
      </c>
      <c r="AA401">
        <v>20</v>
      </c>
      <c r="AB401">
        <v>4</v>
      </c>
      <c r="AC401">
        <v>3</v>
      </c>
      <c r="AD401">
        <v>2</v>
      </c>
      <c r="AE401">
        <v>1</v>
      </c>
      <c r="AF401">
        <v>7</v>
      </c>
      <c r="AG401">
        <v>13</v>
      </c>
      <c r="AH401">
        <v>16</v>
      </c>
      <c r="AI401">
        <v>18</v>
      </c>
      <c r="AJ401">
        <v>14</v>
      </c>
      <c r="AK401">
        <v>22</v>
      </c>
      <c r="AL401">
        <v>24</v>
      </c>
      <c r="AM401">
        <v>23</v>
      </c>
      <c r="AN401">
        <v>5</v>
      </c>
      <c r="AO401">
        <v>21</v>
      </c>
      <c r="AP401">
        <v>8</v>
      </c>
      <c r="AQ401">
        <v>19</v>
      </c>
      <c r="AR401">
        <v>10</v>
      </c>
      <c r="AS401">
        <v>6</v>
      </c>
    </row>
    <row r="402" spans="1:45" x14ac:dyDescent="0.25">
      <c r="A402">
        <v>34</v>
      </c>
      <c r="B402" t="s">
        <v>384</v>
      </c>
      <c r="E402" t="s">
        <v>401</v>
      </c>
      <c r="K402">
        <f>Scores_and_Fixtures[[#This Row],[Wk]]</f>
        <v>34</v>
      </c>
      <c r="L402" t="str">
        <f>Scores_and_Fixtures[[#This Row],[Home]]</f>
        <v>Hull City</v>
      </c>
      <c r="M402">
        <f ca="1">IF(ISBLANK(Scores_and_Fixtures[[#This Row],[Home Score]])=FALSE,Scores_and_Fixtures[[#This Row],[Home Score]],_xlfn.BINOM.INV(10000,(VLOOKUP(L402,$CK$4:$CM$27,2,FALSE)*VLOOKUP(O402,$CK$4:$CM$27,3,FALSE)*($CM$2/2))/10000,RAND()))</f>
        <v>4</v>
      </c>
      <c r="N402">
        <f ca="1">IF(ISBLANK(Scores_and_Fixtures[[#This Row],[Away Score]])=FALSE,Scores_and_Fixtures[[#This Row],[Away Score]],_xlfn.BINOM.INV(10000,(VLOOKUP(O402,$CK$4:$CM$27,2,FALSE)*VLOOKUP(L402,$CK$4:$CM$27,3,FALSE)*($CM$2/2))/10000,RAND()))</f>
        <v>0</v>
      </c>
      <c r="O402" t="str">
        <f>Scores_and_Fixtures[[#This Row],[Away]]</f>
        <v>West Brom</v>
      </c>
      <c r="U402">
        <v>301</v>
      </c>
      <c r="V402">
        <v>20</v>
      </c>
      <c r="W402">
        <v>8</v>
      </c>
      <c r="X402">
        <v>16</v>
      </c>
      <c r="Y402">
        <v>15</v>
      </c>
      <c r="Z402">
        <v>14</v>
      </c>
      <c r="AA402">
        <v>19</v>
      </c>
      <c r="AB402">
        <v>9</v>
      </c>
      <c r="AC402">
        <v>2</v>
      </c>
      <c r="AD402">
        <v>3</v>
      </c>
      <c r="AE402">
        <v>1</v>
      </c>
      <c r="AF402">
        <v>7</v>
      </c>
      <c r="AG402">
        <v>18</v>
      </c>
      <c r="AH402">
        <v>13</v>
      </c>
      <c r="AI402">
        <v>12</v>
      </c>
      <c r="AJ402">
        <v>17</v>
      </c>
      <c r="AK402">
        <v>22</v>
      </c>
      <c r="AL402">
        <v>24</v>
      </c>
      <c r="AM402">
        <v>23</v>
      </c>
      <c r="AN402">
        <v>5</v>
      </c>
      <c r="AO402">
        <v>21</v>
      </c>
      <c r="AP402">
        <v>10</v>
      </c>
      <c r="AQ402">
        <v>11</v>
      </c>
      <c r="AR402">
        <v>6</v>
      </c>
      <c r="AS402">
        <v>4</v>
      </c>
    </row>
    <row r="403" spans="1:45" x14ac:dyDescent="0.25">
      <c r="A403">
        <v>34</v>
      </c>
      <c r="B403" t="s">
        <v>382</v>
      </c>
      <c r="E403" t="s">
        <v>392</v>
      </c>
      <c r="K403">
        <f>Scores_and_Fixtures[[#This Row],[Wk]]</f>
        <v>34</v>
      </c>
      <c r="L403" t="str">
        <f>Scores_and_Fixtures[[#This Row],[Home]]</f>
        <v>Coventry City</v>
      </c>
      <c r="M403">
        <f ca="1">IF(ISBLANK(Scores_and_Fixtures[[#This Row],[Home Score]])=FALSE,Scores_and_Fixtures[[#This Row],[Home Score]],_xlfn.BINOM.INV(10000,(VLOOKUP(L403,$CK$4:$CM$27,2,FALSE)*VLOOKUP(O403,$CK$4:$CM$27,3,FALSE)*($CM$2/2))/10000,RAND()))</f>
        <v>2</v>
      </c>
      <c r="N403">
        <f ca="1">IF(ISBLANK(Scores_and_Fixtures[[#This Row],[Away Score]])=FALSE,Scores_and_Fixtures[[#This Row],[Away Score]],_xlfn.BINOM.INV(10000,(VLOOKUP(O403,$CK$4:$CM$27,2,FALSE)*VLOOKUP(L403,$CK$4:$CM$27,3,FALSE)*($CM$2/2))/10000,RAND()))</f>
        <v>2</v>
      </c>
      <c r="O403" t="str">
        <f>Scores_and_Fixtures[[#This Row],[Away]]</f>
        <v>Preston</v>
      </c>
      <c r="U403">
        <v>302</v>
      </c>
      <c r="V403">
        <v>18</v>
      </c>
      <c r="W403">
        <v>9</v>
      </c>
      <c r="X403">
        <v>13</v>
      </c>
      <c r="Y403">
        <v>8</v>
      </c>
      <c r="Z403">
        <v>17</v>
      </c>
      <c r="AA403">
        <v>22</v>
      </c>
      <c r="AB403">
        <v>5</v>
      </c>
      <c r="AC403">
        <v>2</v>
      </c>
      <c r="AD403">
        <v>3</v>
      </c>
      <c r="AE403">
        <v>1</v>
      </c>
      <c r="AF403">
        <v>15</v>
      </c>
      <c r="AG403">
        <v>19</v>
      </c>
      <c r="AH403">
        <v>10</v>
      </c>
      <c r="AI403">
        <v>12</v>
      </c>
      <c r="AJ403">
        <v>11</v>
      </c>
      <c r="AK403">
        <v>21</v>
      </c>
      <c r="AL403">
        <v>24</v>
      </c>
      <c r="AM403">
        <v>23</v>
      </c>
      <c r="AN403">
        <v>4</v>
      </c>
      <c r="AO403">
        <v>20</v>
      </c>
      <c r="AP403">
        <v>16</v>
      </c>
      <c r="AQ403">
        <v>14</v>
      </c>
      <c r="AR403">
        <v>7</v>
      </c>
      <c r="AS403">
        <v>6</v>
      </c>
    </row>
    <row r="404" spans="1:45" x14ac:dyDescent="0.25">
      <c r="A404">
        <v>34</v>
      </c>
      <c r="B404" t="s">
        <v>398</v>
      </c>
      <c r="E404" t="s">
        <v>399</v>
      </c>
      <c r="K404">
        <f>Scores_and_Fixtures[[#This Row],[Wk]]</f>
        <v>34</v>
      </c>
      <c r="L404" t="str">
        <f>Scores_and_Fixtures[[#This Row],[Home]]</f>
        <v>Sunderland</v>
      </c>
      <c r="M404">
        <f ca="1">IF(ISBLANK(Scores_and_Fixtures[[#This Row],[Home Score]])=FALSE,Scores_and_Fixtures[[#This Row],[Home Score]],_xlfn.BINOM.INV(10000,(VLOOKUP(L404,$CK$4:$CM$27,2,FALSE)*VLOOKUP(O404,$CK$4:$CM$27,3,FALSE)*($CM$2/2))/10000,RAND()))</f>
        <v>3</v>
      </c>
      <c r="N404">
        <f ca="1">IF(ISBLANK(Scores_and_Fixtures[[#This Row],[Away Score]])=FALSE,Scores_and_Fixtures[[#This Row],[Away Score]],_xlfn.BINOM.INV(10000,(VLOOKUP(O404,$CK$4:$CM$27,2,FALSE)*VLOOKUP(L404,$CK$4:$CM$27,3,FALSE)*($CM$2/2))/10000,RAND()))</f>
        <v>1</v>
      </c>
      <c r="O404" t="str">
        <f>Scores_and_Fixtures[[#This Row],[Away]]</f>
        <v>Swansea City</v>
      </c>
      <c r="U404">
        <v>303</v>
      </c>
      <c r="V404">
        <v>17</v>
      </c>
      <c r="W404">
        <v>9</v>
      </c>
      <c r="X404">
        <v>18</v>
      </c>
      <c r="Y404">
        <v>14</v>
      </c>
      <c r="Z404">
        <v>12</v>
      </c>
      <c r="AA404">
        <v>23</v>
      </c>
      <c r="AB404">
        <v>4</v>
      </c>
      <c r="AC404">
        <v>2</v>
      </c>
      <c r="AD404">
        <v>8</v>
      </c>
      <c r="AE404">
        <v>1</v>
      </c>
      <c r="AF404">
        <v>11</v>
      </c>
      <c r="AG404">
        <v>19</v>
      </c>
      <c r="AH404">
        <v>13</v>
      </c>
      <c r="AI404">
        <v>16</v>
      </c>
      <c r="AJ404">
        <v>7</v>
      </c>
      <c r="AK404">
        <v>21</v>
      </c>
      <c r="AL404">
        <v>24</v>
      </c>
      <c r="AM404">
        <v>22</v>
      </c>
      <c r="AN404">
        <v>3</v>
      </c>
      <c r="AO404">
        <v>20</v>
      </c>
      <c r="AP404">
        <v>10</v>
      </c>
      <c r="AQ404">
        <v>15</v>
      </c>
      <c r="AR404">
        <v>6</v>
      </c>
      <c r="AS404">
        <v>5</v>
      </c>
    </row>
    <row r="405" spans="1:45" x14ac:dyDescent="0.25">
      <c r="A405">
        <v>34</v>
      </c>
      <c r="B405" t="s">
        <v>388</v>
      </c>
      <c r="E405" t="s">
        <v>391</v>
      </c>
      <c r="K405">
        <f>Scores_and_Fixtures[[#This Row],[Wk]]</f>
        <v>34</v>
      </c>
      <c r="L405" t="str">
        <f>Scores_and_Fixtures[[#This Row],[Home]]</f>
        <v>Middlesbrough</v>
      </c>
      <c r="M405">
        <f ca="1">IF(ISBLANK(Scores_and_Fixtures[[#This Row],[Home Score]])=FALSE,Scores_and_Fixtures[[#This Row],[Home Score]],_xlfn.BINOM.INV(10000,(VLOOKUP(L405,$CK$4:$CM$27,2,FALSE)*VLOOKUP(O405,$CK$4:$CM$27,3,FALSE)*($CM$2/2))/10000,RAND()))</f>
        <v>0</v>
      </c>
      <c r="N405">
        <f ca="1">IF(ISBLANK(Scores_and_Fixtures[[#This Row],[Away Score]])=FALSE,Scores_and_Fixtures[[#This Row],[Away Score]],_xlfn.BINOM.INV(10000,(VLOOKUP(O405,$CK$4:$CM$27,2,FALSE)*VLOOKUP(L405,$CK$4:$CM$27,3,FALSE)*($CM$2/2))/10000,RAND()))</f>
        <v>3</v>
      </c>
      <c r="O405" t="str">
        <f>Scores_and_Fixtures[[#This Row],[Away]]</f>
        <v>Plymouth Argyle</v>
      </c>
      <c r="U405">
        <v>304</v>
      </c>
      <c r="V405">
        <v>19</v>
      </c>
      <c r="W405">
        <v>12</v>
      </c>
      <c r="X405">
        <v>8</v>
      </c>
      <c r="Y405">
        <v>11</v>
      </c>
      <c r="Z405">
        <v>10</v>
      </c>
      <c r="AA405">
        <v>21</v>
      </c>
      <c r="AB405">
        <v>7</v>
      </c>
      <c r="AC405">
        <v>2</v>
      </c>
      <c r="AD405">
        <v>3</v>
      </c>
      <c r="AE405">
        <v>1</v>
      </c>
      <c r="AF405">
        <v>17</v>
      </c>
      <c r="AG405">
        <v>20</v>
      </c>
      <c r="AH405">
        <v>13</v>
      </c>
      <c r="AI405">
        <v>15</v>
      </c>
      <c r="AJ405">
        <v>14</v>
      </c>
      <c r="AK405">
        <v>22</v>
      </c>
      <c r="AL405">
        <v>24</v>
      </c>
      <c r="AM405">
        <v>23</v>
      </c>
      <c r="AN405">
        <v>4</v>
      </c>
      <c r="AO405">
        <v>18</v>
      </c>
      <c r="AP405">
        <v>6</v>
      </c>
      <c r="AQ405">
        <v>16</v>
      </c>
      <c r="AR405">
        <v>9</v>
      </c>
      <c r="AS405">
        <v>5</v>
      </c>
    </row>
    <row r="406" spans="1:45" x14ac:dyDescent="0.25">
      <c r="A406">
        <v>34</v>
      </c>
      <c r="B406" t="s">
        <v>400</v>
      </c>
      <c r="E406" t="s">
        <v>383</v>
      </c>
      <c r="K406">
        <f>Scores_and_Fixtures[[#This Row],[Wk]]</f>
        <v>34</v>
      </c>
      <c r="L406" t="str">
        <f>Scores_and_Fixtures[[#This Row],[Home]]</f>
        <v>Watford</v>
      </c>
      <c r="M406">
        <f ca="1">IF(ISBLANK(Scores_and_Fixtures[[#This Row],[Home Score]])=FALSE,Scores_and_Fixtures[[#This Row],[Home Score]],_xlfn.BINOM.INV(10000,(VLOOKUP(L406,$CK$4:$CM$27,2,FALSE)*VLOOKUP(O406,$CK$4:$CM$27,3,FALSE)*($CM$2/2))/10000,RAND()))</f>
        <v>3</v>
      </c>
      <c r="N406">
        <f ca="1">IF(ISBLANK(Scores_and_Fixtures[[#This Row],[Away Score]])=FALSE,Scores_and_Fixtures[[#This Row],[Away Score]],_xlfn.BINOM.INV(10000,(VLOOKUP(O406,$CK$4:$CM$27,2,FALSE)*VLOOKUP(L406,$CK$4:$CM$27,3,FALSE)*($CM$2/2))/10000,RAND()))</f>
        <v>0</v>
      </c>
      <c r="O406" t="str">
        <f>Scores_and_Fixtures[[#This Row],[Away]]</f>
        <v>Huddersfield</v>
      </c>
      <c r="U406">
        <v>305</v>
      </c>
      <c r="V406">
        <v>19</v>
      </c>
      <c r="W406">
        <v>14</v>
      </c>
      <c r="X406">
        <v>15</v>
      </c>
      <c r="Y406">
        <v>8</v>
      </c>
      <c r="Z406">
        <v>12</v>
      </c>
      <c r="AA406">
        <v>21</v>
      </c>
      <c r="AB406">
        <v>6</v>
      </c>
      <c r="AC406">
        <v>2</v>
      </c>
      <c r="AD406">
        <v>3</v>
      </c>
      <c r="AE406">
        <v>1</v>
      </c>
      <c r="AF406">
        <v>10</v>
      </c>
      <c r="AG406">
        <v>18</v>
      </c>
      <c r="AH406">
        <v>11</v>
      </c>
      <c r="AI406">
        <v>20</v>
      </c>
      <c r="AJ406">
        <v>13</v>
      </c>
      <c r="AK406">
        <v>22</v>
      </c>
      <c r="AL406">
        <v>24</v>
      </c>
      <c r="AM406">
        <v>23</v>
      </c>
      <c r="AN406">
        <v>4</v>
      </c>
      <c r="AO406">
        <v>17</v>
      </c>
      <c r="AP406">
        <v>7</v>
      </c>
      <c r="AQ406">
        <v>16</v>
      </c>
      <c r="AR406">
        <v>9</v>
      </c>
      <c r="AS406">
        <v>5</v>
      </c>
    </row>
    <row r="407" spans="1:45" x14ac:dyDescent="0.25">
      <c r="A407">
        <v>34</v>
      </c>
      <c r="B407" t="s">
        <v>393</v>
      </c>
      <c r="E407" t="s">
        <v>394</v>
      </c>
      <c r="K407">
        <f>Scores_and_Fixtures[[#This Row],[Wk]]</f>
        <v>34</v>
      </c>
      <c r="L407" t="str">
        <f>Scores_and_Fixtures[[#This Row],[Home]]</f>
        <v>QPR</v>
      </c>
      <c r="M407">
        <f ca="1">IF(ISBLANK(Scores_and_Fixtures[[#This Row],[Home Score]])=FALSE,Scores_and_Fixtures[[#This Row],[Home Score]],_xlfn.BINOM.INV(10000,(VLOOKUP(L407,$CK$4:$CM$27,2,FALSE)*VLOOKUP(O407,$CK$4:$CM$27,3,FALSE)*($CM$2/2))/10000,RAND()))</f>
        <v>2</v>
      </c>
      <c r="N407">
        <f ca="1">IF(ISBLANK(Scores_and_Fixtures[[#This Row],[Away Score]])=FALSE,Scores_and_Fixtures[[#This Row],[Away Score]],_xlfn.BINOM.INV(10000,(VLOOKUP(O407,$CK$4:$CM$27,2,FALSE)*VLOOKUP(L407,$CK$4:$CM$27,3,FALSE)*($CM$2/2))/10000,RAND()))</f>
        <v>2</v>
      </c>
      <c r="O407" t="str">
        <f>Scores_and_Fixtures[[#This Row],[Away]]</f>
        <v>Rotherham Utd</v>
      </c>
      <c r="U407">
        <v>306</v>
      </c>
      <c r="V407">
        <v>12</v>
      </c>
      <c r="W407">
        <v>14</v>
      </c>
      <c r="X407">
        <v>20</v>
      </c>
      <c r="Y407">
        <v>13</v>
      </c>
      <c r="Z407">
        <v>16</v>
      </c>
      <c r="AA407">
        <v>21</v>
      </c>
      <c r="AB407">
        <v>3</v>
      </c>
      <c r="AC407">
        <v>2</v>
      </c>
      <c r="AD407">
        <v>6</v>
      </c>
      <c r="AE407">
        <v>1</v>
      </c>
      <c r="AF407">
        <v>11</v>
      </c>
      <c r="AG407">
        <v>18</v>
      </c>
      <c r="AH407">
        <v>17</v>
      </c>
      <c r="AI407">
        <v>19</v>
      </c>
      <c r="AJ407">
        <v>7</v>
      </c>
      <c r="AK407">
        <v>22</v>
      </c>
      <c r="AL407">
        <v>23</v>
      </c>
      <c r="AM407">
        <v>24</v>
      </c>
      <c r="AN407">
        <v>4</v>
      </c>
      <c r="AO407">
        <v>15</v>
      </c>
      <c r="AP407">
        <v>8</v>
      </c>
      <c r="AQ407">
        <v>10</v>
      </c>
      <c r="AR407">
        <v>9</v>
      </c>
      <c r="AS407">
        <v>5</v>
      </c>
    </row>
    <row r="408" spans="1:45" x14ac:dyDescent="0.25">
      <c r="A408">
        <v>34</v>
      </c>
      <c r="B408" t="s">
        <v>385</v>
      </c>
      <c r="E408" t="s">
        <v>378</v>
      </c>
      <c r="K408">
        <f>Scores_and_Fixtures[[#This Row],[Wk]]</f>
        <v>34</v>
      </c>
      <c r="L408" t="str">
        <f>Scores_and_Fixtures[[#This Row],[Home]]</f>
        <v>Ipswich Town</v>
      </c>
      <c r="M408">
        <f ca="1">IF(ISBLANK(Scores_and_Fixtures[[#This Row],[Home Score]])=FALSE,Scores_and_Fixtures[[#This Row],[Home Score]],_xlfn.BINOM.INV(10000,(VLOOKUP(L408,$CK$4:$CM$27,2,FALSE)*VLOOKUP(O408,$CK$4:$CM$27,3,FALSE)*($CM$2/2))/10000,RAND()))</f>
        <v>1</v>
      </c>
      <c r="N408">
        <f ca="1">IF(ISBLANK(Scores_and_Fixtures[[#This Row],[Away Score]])=FALSE,Scores_and_Fixtures[[#This Row],[Away Score]],_xlfn.BINOM.INV(10000,(VLOOKUP(O408,$CK$4:$CM$27,2,FALSE)*VLOOKUP(L408,$CK$4:$CM$27,3,FALSE)*($CM$2/2))/10000,RAND()))</f>
        <v>3</v>
      </c>
      <c r="O408" t="str">
        <f>Scores_and_Fixtures[[#This Row],[Away]]</f>
        <v>Birmingham City</v>
      </c>
      <c r="U408">
        <v>307</v>
      </c>
      <c r="V408">
        <v>11</v>
      </c>
      <c r="W408">
        <v>6</v>
      </c>
      <c r="X408">
        <v>10</v>
      </c>
      <c r="Y408">
        <v>16</v>
      </c>
      <c r="Z408">
        <v>14</v>
      </c>
      <c r="AA408">
        <v>21</v>
      </c>
      <c r="AB408">
        <v>5</v>
      </c>
      <c r="AC408">
        <v>2</v>
      </c>
      <c r="AD408">
        <v>4</v>
      </c>
      <c r="AE408">
        <v>1</v>
      </c>
      <c r="AF408">
        <v>12</v>
      </c>
      <c r="AG408">
        <v>18</v>
      </c>
      <c r="AH408">
        <v>15</v>
      </c>
      <c r="AI408">
        <v>13</v>
      </c>
      <c r="AJ408">
        <v>19</v>
      </c>
      <c r="AK408">
        <v>22</v>
      </c>
      <c r="AL408">
        <v>24</v>
      </c>
      <c r="AM408">
        <v>23</v>
      </c>
      <c r="AN408">
        <v>3</v>
      </c>
      <c r="AO408">
        <v>20</v>
      </c>
      <c r="AP408">
        <v>9</v>
      </c>
      <c r="AQ408">
        <v>17</v>
      </c>
      <c r="AR408">
        <v>8</v>
      </c>
      <c r="AS408">
        <v>7</v>
      </c>
    </row>
    <row r="409" spans="1:45" x14ac:dyDescent="0.25">
      <c r="A409">
        <v>34</v>
      </c>
      <c r="B409" t="s">
        <v>381</v>
      </c>
      <c r="E409" t="s">
        <v>397</v>
      </c>
      <c r="K409">
        <f>Scores_and_Fixtures[[#This Row],[Wk]]</f>
        <v>34</v>
      </c>
      <c r="L409" t="str">
        <f>Scores_and_Fixtures[[#This Row],[Home]]</f>
        <v>Cardiff City</v>
      </c>
      <c r="M409">
        <f ca="1">IF(ISBLANK(Scores_and_Fixtures[[#This Row],[Home Score]])=FALSE,Scores_and_Fixtures[[#This Row],[Home Score]],_xlfn.BINOM.INV(10000,(VLOOKUP(L409,$CK$4:$CM$27,2,FALSE)*VLOOKUP(O409,$CK$4:$CM$27,3,FALSE)*($CM$2/2))/10000,RAND()))</f>
        <v>0</v>
      </c>
      <c r="N409">
        <f ca="1">IF(ISBLANK(Scores_and_Fixtures[[#This Row],[Away Score]])=FALSE,Scores_and_Fixtures[[#This Row],[Away Score]],_xlfn.BINOM.INV(10000,(VLOOKUP(O409,$CK$4:$CM$27,2,FALSE)*VLOOKUP(L409,$CK$4:$CM$27,3,FALSE)*($CM$2/2))/10000,RAND()))</f>
        <v>0</v>
      </c>
      <c r="O409" t="str">
        <f>Scores_and_Fixtures[[#This Row],[Away]]</f>
        <v>Stoke City</v>
      </c>
      <c r="U409">
        <v>308</v>
      </c>
      <c r="V409">
        <v>19</v>
      </c>
      <c r="W409">
        <v>10</v>
      </c>
      <c r="X409">
        <v>16</v>
      </c>
      <c r="Y409">
        <v>14</v>
      </c>
      <c r="Z409">
        <v>11</v>
      </c>
      <c r="AA409">
        <v>21</v>
      </c>
      <c r="AB409">
        <v>13</v>
      </c>
      <c r="AC409">
        <v>2</v>
      </c>
      <c r="AD409">
        <v>4</v>
      </c>
      <c r="AE409">
        <v>1</v>
      </c>
      <c r="AF409">
        <v>9</v>
      </c>
      <c r="AG409">
        <v>20</v>
      </c>
      <c r="AH409">
        <v>8</v>
      </c>
      <c r="AI409">
        <v>15</v>
      </c>
      <c r="AJ409">
        <v>12</v>
      </c>
      <c r="AK409">
        <v>23</v>
      </c>
      <c r="AL409">
        <v>24</v>
      </c>
      <c r="AM409">
        <v>22</v>
      </c>
      <c r="AN409">
        <v>3</v>
      </c>
      <c r="AO409">
        <v>17</v>
      </c>
      <c r="AP409">
        <v>7</v>
      </c>
      <c r="AQ409">
        <v>18</v>
      </c>
      <c r="AR409">
        <v>6</v>
      </c>
      <c r="AS409">
        <v>5</v>
      </c>
    </row>
    <row r="410" spans="1:45" x14ac:dyDescent="0.25">
      <c r="A410">
        <v>35</v>
      </c>
      <c r="B410" t="s">
        <v>383</v>
      </c>
      <c r="E410" t="s">
        <v>386</v>
      </c>
      <c r="K410">
        <f>Scores_and_Fixtures[[#This Row],[Wk]]</f>
        <v>35</v>
      </c>
      <c r="L410" t="str">
        <f>Scores_and_Fixtures[[#This Row],[Home]]</f>
        <v>Huddersfield</v>
      </c>
      <c r="M410">
        <f ca="1">IF(ISBLANK(Scores_and_Fixtures[[#This Row],[Home Score]])=FALSE,Scores_and_Fixtures[[#This Row],[Home Score]],_xlfn.BINOM.INV(10000,(VLOOKUP(L410,$CK$4:$CM$27,2,FALSE)*VLOOKUP(O410,$CK$4:$CM$27,3,FALSE)*($CM$2/2))/10000,RAND()))</f>
        <v>0</v>
      </c>
      <c r="N410">
        <f ca="1">IF(ISBLANK(Scores_and_Fixtures[[#This Row],[Away Score]])=FALSE,Scores_and_Fixtures[[#This Row],[Away Score]],_xlfn.BINOM.INV(10000,(VLOOKUP(O410,$CK$4:$CM$27,2,FALSE)*VLOOKUP(L410,$CK$4:$CM$27,3,FALSE)*($CM$2/2))/10000,RAND()))</f>
        <v>0</v>
      </c>
      <c r="O410" t="str">
        <f>Scores_and_Fixtures[[#This Row],[Away]]</f>
        <v>Leeds United</v>
      </c>
      <c r="U410">
        <v>309</v>
      </c>
      <c r="V410">
        <v>12</v>
      </c>
      <c r="W410">
        <v>7</v>
      </c>
      <c r="X410">
        <v>13</v>
      </c>
      <c r="Y410">
        <v>17</v>
      </c>
      <c r="Z410">
        <v>16</v>
      </c>
      <c r="AA410">
        <v>22</v>
      </c>
      <c r="AB410">
        <v>4</v>
      </c>
      <c r="AC410">
        <v>2</v>
      </c>
      <c r="AD410">
        <v>3</v>
      </c>
      <c r="AE410">
        <v>1</v>
      </c>
      <c r="AF410">
        <v>11</v>
      </c>
      <c r="AG410">
        <v>20</v>
      </c>
      <c r="AH410">
        <v>9</v>
      </c>
      <c r="AI410">
        <v>15</v>
      </c>
      <c r="AJ410">
        <v>14</v>
      </c>
      <c r="AK410">
        <v>19</v>
      </c>
      <c r="AL410">
        <v>24</v>
      </c>
      <c r="AM410">
        <v>23</v>
      </c>
      <c r="AN410">
        <v>6</v>
      </c>
      <c r="AO410">
        <v>21</v>
      </c>
      <c r="AP410">
        <v>5</v>
      </c>
      <c r="AQ410">
        <v>18</v>
      </c>
      <c r="AR410">
        <v>10</v>
      </c>
      <c r="AS410">
        <v>8</v>
      </c>
    </row>
    <row r="411" spans="1:45" x14ac:dyDescent="0.25">
      <c r="A411">
        <v>35</v>
      </c>
      <c r="B411" t="s">
        <v>389</v>
      </c>
      <c r="E411" t="s">
        <v>400</v>
      </c>
      <c r="K411">
        <f>Scores_and_Fixtures[[#This Row],[Wk]]</f>
        <v>35</v>
      </c>
      <c r="L411" t="str">
        <f>Scores_and_Fixtures[[#This Row],[Home]]</f>
        <v>Millwall</v>
      </c>
      <c r="M411">
        <f ca="1">IF(ISBLANK(Scores_and_Fixtures[[#This Row],[Home Score]])=FALSE,Scores_and_Fixtures[[#This Row],[Home Score]],_xlfn.BINOM.INV(10000,(VLOOKUP(L411,$CK$4:$CM$27,2,FALSE)*VLOOKUP(O411,$CK$4:$CM$27,3,FALSE)*($CM$2/2))/10000,RAND()))</f>
        <v>3</v>
      </c>
      <c r="N411">
        <f ca="1">IF(ISBLANK(Scores_and_Fixtures[[#This Row],[Away Score]])=FALSE,Scores_and_Fixtures[[#This Row],[Away Score]],_xlfn.BINOM.INV(10000,(VLOOKUP(O411,$CK$4:$CM$27,2,FALSE)*VLOOKUP(L411,$CK$4:$CM$27,3,FALSE)*($CM$2/2))/10000,RAND()))</f>
        <v>2</v>
      </c>
      <c r="O411" t="str">
        <f>Scores_and_Fixtures[[#This Row],[Away]]</f>
        <v>Watford</v>
      </c>
      <c r="U411">
        <v>310</v>
      </c>
      <c r="V411">
        <v>8</v>
      </c>
      <c r="W411">
        <v>12</v>
      </c>
      <c r="X411">
        <v>13</v>
      </c>
      <c r="Y411">
        <v>11</v>
      </c>
      <c r="Z411">
        <v>16</v>
      </c>
      <c r="AA411">
        <v>15</v>
      </c>
      <c r="AB411">
        <v>3</v>
      </c>
      <c r="AC411">
        <v>2</v>
      </c>
      <c r="AD411">
        <v>4</v>
      </c>
      <c r="AE411">
        <v>1</v>
      </c>
      <c r="AF411">
        <v>10</v>
      </c>
      <c r="AG411">
        <v>17</v>
      </c>
      <c r="AH411">
        <v>21</v>
      </c>
      <c r="AI411">
        <v>19</v>
      </c>
      <c r="AJ411">
        <v>18</v>
      </c>
      <c r="AK411">
        <v>22</v>
      </c>
      <c r="AL411">
        <v>24</v>
      </c>
      <c r="AM411">
        <v>23</v>
      </c>
      <c r="AN411">
        <v>6</v>
      </c>
      <c r="AO411">
        <v>20</v>
      </c>
      <c r="AP411">
        <v>9</v>
      </c>
      <c r="AQ411">
        <v>14</v>
      </c>
      <c r="AR411">
        <v>7</v>
      </c>
      <c r="AS411">
        <v>5</v>
      </c>
    </row>
    <row r="412" spans="1:45" x14ac:dyDescent="0.25">
      <c r="A412">
        <v>35</v>
      </c>
      <c r="B412" t="s">
        <v>397</v>
      </c>
      <c r="E412" t="s">
        <v>388</v>
      </c>
      <c r="K412">
        <f>Scores_and_Fixtures[[#This Row],[Wk]]</f>
        <v>35</v>
      </c>
      <c r="L412" t="str">
        <f>Scores_and_Fixtures[[#This Row],[Home]]</f>
        <v>Stoke City</v>
      </c>
      <c r="M412">
        <f ca="1">IF(ISBLANK(Scores_and_Fixtures[[#This Row],[Home Score]])=FALSE,Scores_and_Fixtures[[#This Row],[Home Score]],_xlfn.BINOM.INV(10000,(VLOOKUP(L412,$CK$4:$CM$27,2,FALSE)*VLOOKUP(O412,$CK$4:$CM$27,3,FALSE)*($CM$2/2))/10000,RAND()))</f>
        <v>0</v>
      </c>
      <c r="N412">
        <f ca="1">IF(ISBLANK(Scores_and_Fixtures[[#This Row],[Away Score]])=FALSE,Scores_and_Fixtures[[#This Row],[Away Score]],_xlfn.BINOM.INV(10000,(VLOOKUP(O412,$CK$4:$CM$27,2,FALSE)*VLOOKUP(L412,$CK$4:$CM$27,3,FALSE)*($CM$2/2))/10000,RAND()))</f>
        <v>1</v>
      </c>
      <c r="O412" t="str">
        <f>Scores_and_Fixtures[[#This Row],[Away]]</f>
        <v>Middlesbrough</v>
      </c>
      <c r="U412">
        <v>311</v>
      </c>
      <c r="V412">
        <v>18</v>
      </c>
      <c r="W412">
        <v>10</v>
      </c>
      <c r="X412">
        <v>15</v>
      </c>
      <c r="Y412">
        <v>13</v>
      </c>
      <c r="Z412">
        <v>11</v>
      </c>
      <c r="AA412">
        <v>22</v>
      </c>
      <c r="AB412">
        <v>3</v>
      </c>
      <c r="AC412">
        <v>2</v>
      </c>
      <c r="AD412">
        <v>4</v>
      </c>
      <c r="AE412">
        <v>1</v>
      </c>
      <c r="AF412">
        <v>12</v>
      </c>
      <c r="AG412">
        <v>16</v>
      </c>
      <c r="AH412">
        <v>9</v>
      </c>
      <c r="AI412">
        <v>17</v>
      </c>
      <c r="AJ412">
        <v>14</v>
      </c>
      <c r="AK412">
        <v>21</v>
      </c>
      <c r="AL412">
        <v>24</v>
      </c>
      <c r="AM412">
        <v>23</v>
      </c>
      <c r="AN412">
        <v>5</v>
      </c>
      <c r="AO412">
        <v>19</v>
      </c>
      <c r="AP412">
        <v>7</v>
      </c>
      <c r="AQ412">
        <v>20</v>
      </c>
      <c r="AR412">
        <v>8</v>
      </c>
      <c r="AS412">
        <v>6</v>
      </c>
    </row>
    <row r="413" spans="1:45" x14ac:dyDescent="0.25">
      <c r="A413">
        <v>35</v>
      </c>
      <c r="B413" t="s">
        <v>401</v>
      </c>
      <c r="E413" t="s">
        <v>382</v>
      </c>
      <c r="K413">
        <f>Scores_and_Fixtures[[#This Row],[Wk]]</f>
        <v>35</v>
      </c>
      <c r="L413" t="str">
        <f>Scores_and_Fixtures[[#This Row],[Home]]</f>
        <v>West Brom</v>
      </c>
      <c r="M413">
        <f ca="1">IF(ISBLANK(Scores_and_Fixtures[[#This Row],[Home Score]])=FALSE,Scores_and_Fixtures[[#This Row],[Home Score]],_xlfn.BINOM.INV(10000,(VLOOKUP(L413,$CK$4:$CM$27,2,FALSE)*VLOOKUP(O413,$CK$4:$CM$27,3,FALSE)*($CM$2/2))/10000,RAND()))</f>
        <v>0</v>
      </c>
      <c r="N413">
        <f ca="1">IF(ISBLANK(Scores_and_Fixtures[[#This Row],[Away Score]])=FALSE,Scores_and_Fixtures[[#This Row],[Away Score]],_xlfn.BINOM.INV(10000,(VLOOKUP(O413,$CK$4:$CM$27,2,FALSE)*VLOOKUP(L413,$CK$4:$CM$27,3,FALSE)*($CM$2/2))/10000,RAND()))</f>
        <v>3</v>
      </c>
      <c r="O413" t="str">
        <f>Scores_and_Fixtures[[#This Row],[Away]]</f>
        <v>Coventry City</v>
      </c>
      <c r="U413">
        <v>312</v>
      </c>
      <c r="V413">
        <v>14</v>
      </c>
      <c r="W413">
        <v>8</v>
      </c>
      <c r="X413">
        <v>11</v>
      </c>
      <c r="Y413">
        <v>7</v>
      </c>
      <c r="Z413">
        <v>9</v>
      </c>
      <c r="AA413">
        <v>20</v>
      </c>
      <c r="AB413">
        <v>12</v>
      </c>
      <c r="AC413">
        <v>2</v>
      </c>
      <c r="AD413">
        <v>3</v>
      </c>
      <c r="AE413">
        <v>1</v>
      </c>
      <c r="AF413">
        <v>18</v>
      </c>
      <c r="AG413">
        <v>17</v>
      </c>
      <c r="AH413">
        <v>13</v>
      </c>
      <c r="AI413">
        <v>16</v>
      </c>
      <c r="AJ413">
        <v>19</v>
      </c>
      <c r="AK413">
        <v>22</v>
      </c>
      <c r="AL413">
        <v>23</v>
      </c>
      <c r="AM413">
        <v>24</v>
      </c>
      <c r="AN413">
        <v>4</v>
      </c>
      <c r="AO413">
        <v>21</v>
      </c>
      <c r="AP413">
        <v>10</v>
      </c>
      <c r="AQ413">
        <v>15</v>
      </c>
      <c r="AR413">
        <v>6</v>
      </c>
      <c r="AS413">
        <v>5</v>
      </c>
    </row>
    <row r="414" spans="1:45" x14ac:dyDescent="0.25">
      <c r="A414">
        <v>35</v>
      </c>
      <c r="B414" t="s">
        <v>399</v>
      </c>
      <c r="E414" t="s">
        <v>379</v>
      </c>
      <c r="K414">
        <f>Scores_and_Fixtures[[#This Row],[Wk]]</f>
        <v>35</v>
      </c>
      <c r="L414" t="str">
        <f>Scores_and_Fixtures[[#This Row],[Home]]</f>
        <v>Swansea City</v>
      </c>
      <c r="M414">
        <f ca="1">IF(ISBLANK(Scores_and_Fixtures[[#This Row],[Home Score]])=FALSE,Scores_and_Fixtures[[#This Row],[Home Score]],_xlfn.BINOM.INV(10000,(VLOOKUP(L414,$CK$4:$CM$27,2,FALSE)*VLOOKUP(O414,$CK$4:$CM$27,3,FALSE)*($CM$2/2))/10000,RAND()))</f>
        <v>2</v>
      </c>
      <c r="N414">
        <f ca="1">IF(ISBLANK(Scores_and_Fixtures[[#This Row],[Away Score]])=FALSE,Scores_and_Fixtures[[#This Row],[Away Score]],_xlfn.BINOM.INV(10000,(VLOOKUP(O414,$CK$4:$CM$27,2,FALSE)*VLOOKUP(L414,$CK$4:$CM$27,3,FALSE)*($CM$2/2))/10000,RAND()))</f>
        <v>2</v>
      </c>
      <c r="O414" t="str">
        <f>Scores_and_Fixtures[[#This Row],[Away]]</f>
        <v>Blackburn</v>
      </c>
      <c r="U414">
        <v>313</v>
      </c>
      <c r="V414">
        <v>13</v>
      </c>
      <c r="W414">
        <v>12</v>
      </c>
      <c r="X414">
        <v>7</v>
      </c>
      <c r="Y414">
        <v>11</v>
      </c>
      <c r="Z414">
        <v>8</v>
      </c>
      <c r="AA414">
        <v>20</v>
      </c>
      <c r="AB414">
        <v>4</v>
      </c>
      <c r="AC414">
        <v>3</v>
      </c>
      <c r="AD414">
        <v>2</v>
      </c>
      <c r="AE414">
        <v>1</v>
      </c>
      <c r="AF414">
        <v>10</v>
      </c>
      <c r="AG414">
        <v>19</v>
      </c>
      <c r="AH414">
        <v>17</v>
      </c>
      <c r="AI414">
        <v>16</v>
      </c>
      <c r="AJ414">
        <v>18</v>
      </c>
      <c r="AK414">
        <v>21</v>
      </c>
      <c r="AL414">
        <v>23</v>
      </c>
      <c r="AM414">
        <v>24</v>
      </c>
      <c r="AN414">
        <v>5</v>
      </c>
      <c r="AO414">
        <v>22</v>
      </c>
      <c r="AP414">
        <v>14</v>
      </c>
      <c r="AQ414">
        <v>15</v>
      </c>
      <c r="AR414">
        <v>6</v>
      </c>
      <c r="AS414">
        <v>9</v>
      </c>
    </row>
    <row r="415" spans="1:45" x14ac:dyDescent="0.25">
      <c r="A415">
        <v>35</v>
      </c>
      <c r="B415" t="s">
        <v>380</v>
      </c>
      <c r="E415" t="s">
        <v>381</v>
      </c>
      <c r="K415">
        <f>Scores_and_Fixtures[[#This Row],[Wk]]</f>
        <v>35</v>
      </c>
      <c r="L415" t="str">
        <f>Scores_and_Fixtures[[#This Row],[Home]]</f>
        <v>Bristol City</v>
      </c>
      <c r="M415">
        <f ca="1">IF(ISBLANK(Scores_and_Fixtures[[#This Row],[Home Score]])=FALSE,Scores_and_Fixtures[[#This Row],[Home Score]],_xlfn.BINOM.INV(10000,(VLOOKUP(L415,$CK$4:$CM$27,2,FALSE)*VLOOKUP(O415,$CK$4:$CM$27,3,FALSE)*($CM$2/2))/10000,RAND()))</f>
        <v>1</v>
      </c>
      <c r="N415">
        <f ca="1">IF(ISBLANK(Scores_and_Fixtures[[#This Row],[Away Score]])=FALSE,Scores_and_Fixtures[[#This Row],[Away Score]],_xlfn.BINOM.INV(10000,(VLOOKUP(O415,$CK$4:$CM$27,2,FALSE)*VLOOKUP(L415,$CK$4:$CM$27,3,FALSE)*($CM$2/2))/10000,RAND()))</f>
        <v>0</v>
      </c>
      <c r="O415" t="str">
        <f>Scores_and_Fixtures[[#This Row],[Away]]</f>
        <v>Cardiff City</v>
      </c>
      <c r="U415">
        <v>314</v>
      </c>
      <c r="V415">
        <v>16</v>
      </c>
      <c r="W415">
        <v>10</v>
      </c>
      <c r="X415">
        <v>15</v>
      </c>
      <c r="Y415">
        <v>9</v>
      </c>
      <c r="Z415">
        <v>8</v>
      </c>
      <c r="AA415">
        <v>22</v>
      </c>
      <c r="AB415">
        <v>4</v>
      </c>
      <c r="AC415">
        <v>2</v>
      </c>
      <c r="AD415">
        <v>3</v>
      </c>
      <c r="AE415">
        <v>1</v>
      </c>
      <c r="AF415">
        <v>11</v>
      </c>
      <c r="AG415">
        <v>18</v>
      </c>
      <c r="AH415">
        <v>14</v>
      </c>
      <c r="AI415">
        <v>19</v>
      </c>
      <c r="AJ415">
        <v>13</v>
      </c>
      <c r="AK415">
        <v>21</v>
      </c>
      <c r="AL415">
        <v>24</v>
      </c>
      <c r="AM415">
        <v>23</v>
      </c>
      <c r="AN415">
        <v>5</v>
      </c>
      <c r="AO415">
        <v>20</v>
      </c>
      <c r="AP415">
        <v>7</v>
      </c>
      <c r="AQ415">
        <v>17</v>
      </c>
      <c r="AR415">
        <v>12</v>
      </c>
      <c r="AS415">
        <v>6</v>
      </c>
    </row>
    <row r="416" spans="1:45" x14ac:dyDescent="0.25">
      <c r="A416">
        <v>35</v>
      </c>
      <c r="B416" t="s">
        <v>378</v>
      </c>
      <c r="E416" t="s">
        <v>396</v>
      </c>
      <c r="K416">
        <f>Scores_and_Fixtures[[#This Row],[Wk]]</f>
        <v>35</v>
      </c>
      <c r="L416" t="str">
        <f>Scores_and_Fixtures[[#This Row],[Home]]</f>
        <v>Birmingham City</v>
      </c>
      <c r="M416">
        <f ca="1">IF(ISBLANK(Scores_and_Fixtures[[#This Row],[Home Score]])=FALSE,Scores_and_Fixtures[[#This Row],[Home Score]],_xlfn.BINOM.INV(10000,(VLOOKUP(L416,$CK$4:$CM$27,2,FALSE)*VLOOKUP(O416,$CK$4:$CM$27,3,FALSE)*($CM$2/2))/10000,RAND()))</f>
        <v>1</v>
      </c>
      <c r="N416">
        <f ca="1">IF(ISBLANK(Scores_and_Fixtures[[#This Row],[Away Score]])=FALSE,Scores_and_Fixtures[[#This Row],[Away Score]],_xlfn.BINOM.INV(10000,(VLOOKUP(O416,$CK$4:$CM$27,2,FALSE)*VLOOKUP(L416,$CK$4:$CM$27,3,FALSE)*($CM$2/2))/10000,RAND()))</f>
        <v>1</v>
      </c>
      <c r="O416" t="str">
        <f>Scores_and_Fixtures[[#This Row],[Away]]</f>
        <v>Southampton</v>
      </c>
      <c r="U416">
        <v>315</v>
      </c>
      <c r="V416">
        <v>18</v>
      </c>
      <c r="W416">
        <v>7</v>
      </c>
      <c r="X416">
        <v>14</v>
      </c>
      <c r="Y416">
        <v>10</v>
      </c>
      <c r="Z416">
        <v>16</v>
      </c>
      <c r="AA416">
        <v>21</v>
      </c>
      <c r="AB416">
        <v>3</v>
      </c>
      <c r="AC416">
        <v>2</v>
      </c>
      <c r="AD416">
        <v>4</v>
      </c>
      <c r="AE416">
        <v>1</v>
      </c>
      <c r="AF416">
        <v>9</v>
      </c>
      <c r="AG416">
        <v>20</v>
      </c>
      <c r="AH416">
        <v>12</v>
      </c>
      <c r="AI416">
        <v>22</v>
      </c>
      <c r="AJ416">
        <v>15</v>
      </c>
      <c r="AK416">
        <v>19</v>
      </c>
      <c r="AL416">
        <v>24</v>
      </c>
      <c r="AM416">
        <v>23</v>
      </c>
      <c r="AN416">
        <v>5</v>
      </c>
      <c r="AO416">
        <v>17</v>
      </c>
      <c r="AP416">
        <v>11</v>
      </c>
      <c r="AQ416">
        <v>13</v>
      </c>
      <c r="AR416">
        <v>8</v>
      </c>
      <c r="AS416">
        <v>6</v>
      </c>
    </row>
    <row r="417" spans="1:45" x14ac:dyDescent="0.25">
      <c r="A417">
        <v>35</v>
      </c>
      <c r="B417" t="s">
        <v>390</v>
      </c>
      <c r="E417" t="s">
        <v>398</v>
      </c>
      <c r="K417">
        <f>Scores_and_Fixtures[[#This Row],[Wk]]</f>
        <v>35</v>
      </c>
      <c r="L417" t="str">
        <f>Scores_and_Fixtures[[#This Row],[Home]]</f>
        <v>Norwich City</v>
      </c>
      <c r="M417">
        <f ca="1">IF(ISBLANK(Scores_and_Fixtures[[#This Row],[Home Score]])=FALSE,Scores_and_Fixtures[[#This Row],[Home Score]],_xlfn.BINOM.INV(10000,(VLOOKUP(L417,$CK$4:$CM$27,2,FALSE)*VLOOKUP(O417,$CK$4:$CM$27,3,FALSE)*($CM$2/2))/10000,RAND()))</f>
        <v>3</v>
      </c>
      <c r="N417">
        <f ca="1">IF(ISBLANK(Scores_and_Fixtures[[#This Row],[Away Score]])=FALSE,Scores_and_Fixtures[[#This Row],[Away Score]],_xlfn.BINOM.INV(10000,(VLOOKUP(O417,$CK$4:$CM$27,2,FALSE)*VLOOKUP(L417,$CK$4:$CM$27,3,FALSE)*($CM$2/2))/10000,RAND()))</f>
        <v>3</v>
      </c>
      <c r="O417" t="str">
        <f>Scores_and_Fixtures[[#This Row],[Away]]</f>
        <v>Sunderland</v>
      </c>
      <c r="U417">
        <v>316</v>
      </c>
      <c r="V417">
        <v>17</v>
      </c>
      <c r="W417">
        <v>5</v>
      </c>
      <c r="X417">
        <v>13</v>
      </c>
      <c r="Y417">
        <v>10</v>
      </c>
      <c r="Z417">
        <v>18</v>
      </c>
      <c r="AA417">
        <v>20</v>
      </c>
      <c r="AB417">
        <v>6</v>
      </c>
      <c r="AC417">
        <v>2</v>
      </c>
      <c r="AD417">
        <v>3</v>
      </c>
      <c r="AE417">
        <v>1</v>
      </c>
      <c r="AF417">
        <v>15</v>
      </c>
      <c r="AG417">
        <v>19</v>
      </c>
      <c r="AH417">
        <v>14</v>
      </c>
      <c r="AI417">
        <v>16</v>
      </c>
      <c r="AJ417">
        <v>12</v>
      </c>
      <c r="AK417">
        <v>22</v>
      </c>
      <c r="AL417">
        <v>24</v>
      </c>
      <c r="AM417">
        <v>23</v>
      </c>
      <c r="AN417">
        <v>4</v>
      </c>
      <c r="AO417">
        <v>21</v>
      </c>
      <c r="AP417">
        <v>8</v>
      </c>
      <c r="AQ417">
        <v>11</v>
      </c>
      <c r="AR417">
        <v>9</v>
      </c>
      <c r="AS417">
        <v>7</v>
      </c>
    </row>
    <row r="418" spans="1:45" x14ac:dyDescent="0.25">
      <c r="A418">
        <v>35</v>
      </c>
      <c r="B418" t="s">
        <v>391</v>
      </c>
      <c r="E418" t="s">
        <v>385</v>
      </c>
      <c r="K418">
        <f>Scores_and_Fixtures[[#This Row],[Wk]]</f>
        <v>35</v>
      </c>
      <c r="L418" t="str">
        <f>Scores_and_Fixtures[[#This Row],[Home]]</f>
        <v>Plymouth Argyle</v>
      </c>
      <c r="M418">
        <f ca="1">IF(ISBLANK(Scores_and_Fixtures[[#This Row],[Home Score]])=FALSE,Scores_and_Fixtures[[#This Row],[Home Score]],_xlfn.BINOM.INV(10000,(VLOOKUP(L418,$CK$4:$CM$27,2,FALSE)*VLOOKUP(O418,$CK$4:$CM$27,3,FALSE)*($CM$2/2))/10000,RAND()))</f>
        <v>5</v>
      </c>
      <c r="N418">
        <f ca="1">IF(ISBLANK(Scores_and_Fixtures[[#This Row],[Away Score]])=FALSE,Scores_and_Fixtures[[#This Row],[Away Score]],_xlfn.BINOM.INV(10000,(VLOOKUP(O418,$CK$4:$CM$27,2,FALSE)*VLOOKUP(L418,$CK$4:$CM$27,3,FALSE)*($CM$2/2))/10000,RAND()))</f>
        <v>2</v>
      </c>
      <c r="O418" t="str">
        <f>Scores_and_Fixtures[[#This Row],[Away]]</f>
        <v>Ipswich Town</v>
      </c>
      <c r="U418">
        <v>317</v>
      </c>
      <c r="V418">
        <v>15</v>
      </c>
      <c r="W418">
        <v>10</v>
      </c>
      <c r="X418">
        <v>16</v>
      </c>
      <c r="Y418">
        <v>13</v>
      </c>
      <c r="Z418">
        <v>11</v>
      </c>
      <c r="AA418">
        <v>21</v>
      </c>
      <c r="AB418">
        <v>3</v>
      </c>
      <c r="AC418">
        <v>2</v>
      </c>
      <c r="AD418" t="e">
        <v>#N/A</v>
      </c>
      <c r="AE418">
        <v>1</v>
      </c>
      <c r="AF418">
        <v>17</v>
      </c>
      <c r="AG418">
        <v>19</v>
      </c>
      <c r="AH418">
        <v>12</v>
      </c>
      <c r="AI418">
        <v>18</v>
      </c>
      <c r="AJ418">
        <v>9</v>
      </c>
      <c r="AK418">
        <v>22</v>
      </c>
      <c r="AL418">
        <v>24</v>
      </c>
      <c r="AM418">
        <v>23</v>
      </c>
      <c r="AN418">
        <v>5</v>
      </c>
      <c r="AO418">
        <v>20</v>
      </c>
      <c r="AP418">
        <v>8</v>
      </c>
      <c r="AQ418">
        <v>14</v>
      </c>
      <c r="AR418">
        <v>7</v>
      </c>
      <c r="AS418">
        <v>6</v>
      </c>
    </row>
    <row r="419" spans="1:45" x14ac:dyDescent="0.25">
      <c r="A419">
        <v>35</v>
      </c>
      <c r="B419" t="s">
        <v>387</v>
      </c>
      <c r="E419" t="s">
        <v>393</v>
      </c>
      <c r="K419">
        <f>Scores_and_Fixtures[[#This Row],[Wk]]</f>
        <v>35</v>
      </c>
      <c r="L419" t="str">
        <f>Scores_and_Fixtures[[#This Row],[Home]]</f>
        <v>Leicester City</v>
      </c>
      <c r="M419">
        <f ca="1">IF(ISBLANK(Scores_and_Fixtures[[#This Row],[Home Score]])=FALSE,Scores_and_Fixtures[[#This Row],[Home Score]],_xlfn.BINOM.INV(10000,(VLOOKUP(L419,$CK$4:$CM$27,2,FALSE)*VLOOKUP(O419,$CK$4:$CM$27,3,FALSE)*($CM$2/2))/10000,RAND()))</f>
        <v>0</v>
      </c>
      <c r="N419">
        <f ca="1">IF(ISBLANK(Scores_and_Fixtures[[#This Row],[Away Score]])=FALSE,Scores_and_Fixtures[[#This Row],[Away Score]],_xlfn.BINOM.INV(10000,(VLOOKUP(O419,$CK$4:$CM$27,2,FALSE)*VLOOKUP(L419,$CK$4:$CM$27,3,FALSE)*($CM$2/2))/10000,RAND()))</f>
        <v>0</v>
      </c>
      <c r="O419" t="str">
        <f>Scores_and_Fixtures[[#This Row],[Away]]</f>
        <v>QPR</v>
      </c>
      <c r="U419">
        <v>318</v>
      </c>
      <c r="V419">
        <v>22</v>
      </c>
      <c r="W419">
        <v>9</v>
      </c>
      <c r="X419">
        <v>10</v>
      </c>
      <c r="Y419">
        <v>14</v>
      </c>
      <c r="Z419">
        <v>16</v>
      </c>
      <c r="AA419">
        <v>17</v>
      </c>
      <c r="AB419">
        <v>8</v>
      </c>
      <c r="AC419">
        <v>2</v>
      </c>
      <c r="AD419">
        <v>3</v>
      </c>
      <c r="AE419">
        <v>1</v>
      </c>
      <c r="AF419">
        <v>11</v>
      </c>
      <c r="AG419">
        <v>21</v>
      </c>
      <c r="AH419">
        <v>12</v>
      </c>
      <c r="AI419">
        <v>19</v>
      </c>
      <c r="AJ419">
        <v>15</v>
      </c>
      <c r="AK419">
        <v>18</v>
      </c>
      <c r="AL419">
        <v>23</v>
      </c>
      <c r="AM419">
        <v>24</v>
      </c>
      <c r="AN419">
        <v>4</v>
      </c>
      <c r="AO419">
        <v>20</v>
      </c>
      <c r="AP419">
        <v>7</v>
      </c>
      <c r="AQ419">
        <v>13</v>
      </c>
      <c r="AR419">
        <v>6</v>
      </c>
      <c r="AS419">
        <v>5</v>
      </c>
    </row>
    <row r="420" spans="1:45" x14ac:dyDescent="0.25">
      <c r="A420">
        <v>35</v>
      </c>
      <c r="B420" t="s">
        <v>394</v>
      </c>
      <c r="E420" t="s">
        <v>395</v>
      </c>
      <c r="K420">
        <f>Scores_and_Fixtures[[#This Row],[Wk]]</f>
        <v>35</v>
      </c>
      <c r="L420" t="str">
        <f>Scores_and_Fixtures[[#This Row],[Home]]</f>
        <v>Rotherham Utd</v>
      </c>
      <c r="M420">
        <f ca="1">IF(ISBLANK(Scores_and_Fixtures[[#This Row],[Home Score]])=FALSE,Scores_and_Fixtures[[#This Row],[Home Score]],_xlfn.BINOM.INV(10000,(VLOOKUP(L420,$CK$4:$CM$27,2,FALSE)*VLOOKUP(O420,$CK$4:$CM$27,3,FALSE)*($CM$2/2))/10000,RAND()))</f>
        <v>1</v>
      </c>
      <c r="N420">
        <f ca="1">IF(ISBLANK(Scores_and_Fixtures[[#This Row],[Away Score]])=FALSE,Scores_and_Fixtures[[#This Row],[Away Score]],_xlfn.BINOM.INV(10000,(VLOOKUP(O420,$CK$4:$CM$27,2,FALSE)*VLOOKUP(L420,$CK$4:$CM$27,3,FALSE)*($CM$2/2))/10000,RAND()))</f>
        <v>3</v>
      </c>
      <c r="O420" t="str">
        <f>Scores_and_Fixtures[[#This Row],[Away]]</f>
        <v>Sheffield Weds</v>
      </c>
      <c r="U420">
        <v>319</v>
      </c>
      <c r="V420">
        <v>15</v>
      </c>
      <c r="W420">
        <v>9</v>
      </c>
      <c r="X420">
        <v>14</v>
      </c>
      <c r="Y420">
        <v>7</v>
      </c>
      <c r="Z420">
        <v>12</v>
      </c>
      <c r="AA420">
        <v>22</v>
      </c>
      <c r="AB420">
        <v>4</v>
      </c>
      <c r="AC420">
        <v>2</v>
      </c>
      <c r="AD420">
        <v>3</v>
      </c>
      <c r="AE420">
        <v>1</v>
      </c>
      <c r="AF420">
        <v>8</v>
      </c>
      <c r="AG420">
        <v>20</v>
      </c>
      <c r="AH420">
        <v>11</v>
      </c>
      <c r="AI420">
        <v>19</v>
      </c>
      <c r="AJ420">
        <v>16</v>
      </c>
      <c r="AK420">
        <v>18</v>
      </c>
      <c r="AL420">
        <v>24</v>
      </c>
      <c r="AM420">
        <v>23</v>
      </c>
      <c r="AN420">
        <v>5</v>
      </c>
      <c r="AO420">
        <v>21</v>
      </c>
      <c r="AP420">
        <v>10</v>
      </c>
      <c r="AQ420">
        <v>13</v>
      </c>
      <c r="AR420">
        <v>17</v>
      </c>
      <c r="AS420">
        <v>6</v>
      </c>
    </row>
    <row r="421" spans="1:45" x14ac:dyDescent="0.25">
      <c r="A421">
        <v>35</v>
      </c>
      <c r="B421" t="s">
        <v>392</v>
      </c>
      <c r="E421" t="s">
        <v>384</v>
      </c>
      <c r="K421">
        <f>Scores_and_Fixtures[[#This Row],[Wk]]</f>
        <v>35</v>
      </c>
      <c r="L421" t="str">
        <f>Scores_and_Fixtures[[#This Row],[Home]]</f>
        <v>Preston</v>
      </c>
      <c r="M421">
        <f ca="1">IF(ISBLANK(Scores_and_Fixtures[[#This Row],[Home Score]])=FALSE,Scores_and_Fixtures[[#This Row],[Home Score]],_xlfn.BINOM.INV(10000,(VLOOKUP(L421,$CK$4:$CM$27,2,FALSE)*VLOOKUP(O421,$CK$4:$CM$27,3,FALSE)*($CM$2/2))/10000,RAND()))</f>
        <v>3</v>
      </c>
      <c r="N421">
        <f ca="1">IF(ISBLANK(Scores_and_Fixtures[[#This Row],[Away Score]])=FALSE,Scores_and_Fixtures[[#This Row],[Away Score]],_xlfn.BINOM.INV(10000,(VLOOKUP(O421,$CK$4:$CM$27,2,FALSE)*VLOOKUP(L421,$CK$4:$CM$27,3,FALSE)*($CM$2/2))/10000,RAND()))</f>
        <v>1</v>
      </c>
      <c r="O421" t="str">
        <f>Scores_and_Fixtures[[#This Row],[Away]]</f>
        <v>Hull City</v>
      </c>
      <c r="U421">
        <v>320</v>
      </c>
      <c r="V421">
        <v>13</v>
      </c>
      <c r="W421">
        <v>9</v>
      </c>
      <c r="X421">
        <v>12</v>
      </c>
      <c r="Y421">
        <v>16</v>
      </c>
      <c r="Z421">
        <v>19</v>
      </c>
      <c r="AA421">
        <v>21</v>
      </c>
      <c r="AB421">
        <v>6</v>
      </c>
      <c r="AC421">
        <v>2</v>
      </c>
      <c r="AD421">
        <v>4</v>
      </c>
      <c r="AE421">
        <v>1</v>
      </c>
      <c r="AF421">
        <v>10</v>
      </c>
      <c r="AG421">
        <v>17</v>
      </c>
      <c r="AH421">
        <v>11</v>
      </c>
      <c r="AI421">
        <v>14</v>
      </c>
      <c r="AJ421">
        <v>15</v>
      </c>
      <c r="AK421">
        <v>22</v>
      </c>
      <c r="AL421">
        <v>24</v>
      </c>
      <c r="AM421">
        <v>23</v>
      </c>
      <c r="AN421">
        <v>3</v>
      </c>
      <c r="AO421">
        <v>20</v>
      </c>
      <c r="AP421">
        <v>7</v>
      </c>
      <c r="AQ421">
        <v>18</v>
      </c>
      <c r="AR421">
        <v>8</v>
      </c>
      <c r="AS421">
        <v>5</v>
      </c>
    </row>
    <row r="422" spans="1:45" x14ac:dyDescent="0.25">
      <c r="A422">
        <v>36</v>
      </c>
      <c r="B422" t="s">
        <v>382</v>
      </c>
      <c r="E422" t="s">
        <v>394</v>
      </c>
      <c r="K422">
        <f>Scores_and_Fixtures[[#This Row],[Wk]]</f>
        <v>36</v>
      </c>
      <c r="L422" t="str">
        <f>Scores_and_Fixtures[[#This Row],[Home]]</f>
        <v>Coventry City</v>
      </c>
      <c r="M422">
        <f ca="1">IF(ISBLANK(Scores_and_Fixtures[[#This Row],[Home Score]])=FALSE,Scores_and_Fixtures[[#This Row],[Home Score]],_xlfn.BINOM.INV(10000,(VLOOKUP(L422,$CK$4:$CM$27,2,FALSE)*VLOOKUP(O422,$CK$4:$CM$27,3,FALSE)*($CM$2/2))/10000,RAND()))</f>
        <v>2</v>
      </c>
      <c r="N422">
        <f ca="1">IF(ISBLANK(Scores_and_Fixtures[[#This Row],[Away Score]])=FALSE,Scores_and_Fixtures[[#This Row],[Away Score]],_xlfn.BINOM.INV(10000,(VLOOKUP(O422,$CK$4:$CM$27,2,FALSE)*VLOOKUP(L422,$CK$4:$CM$27,3,FALSE)*($CM$2/2))/10000,RAND()))</f>
        <v>0</v>
      </c>
      <c r="O422" t="str">
        <f>Scores_and_Fixtures[[#This Row],[Away]]</f>
        <v>Rotherham Utd</v>
      </c>
      <c r="U422">
        <v>321</v>
      </c>
      <c r="V422">
        <v>16</v>
      </c>
      <c r="W422">
        <v>13</v>
      </c>
      <c r="X422">
        <v>14</v>
      </c>
      <c r="Y422">
        <v>9</v>
      </c>
      <c r="Z422">
        <v>11</v>
      </c>
      <c r="AA422">
        <v>20</v>
      </c>
      <c r="AB422">
        <v>2</v>
      </c>
      <c r="AC422">
        <v>3</v>
      </c>
      <c r="AD422">
        <v>6</v>
      </c>
      <c r="AE422">
        <v>1</v>
      </c>
      <c r="AF422">
        <v>15</v>
      </c>
      <c r="AG422">
        <v>19</v>
      </c>
      <c r="AH422">
        <v>12</v>
      </c>
      <c r="AI422">
        <v>18</v>
      </c>
      <c r="AJ422">
        <v>17</v>
      </c>
      <c r="AK422">
        <v>22</v>
      </c>
      <c r="AL422">
        <v>24</v>
      </c>
      <c r="AM422">
        <v>23</v>
      </c>
      <c r="AN422">
        <v>5</v>
      </c>
      <c r="AO422">
        <v>21</v>
      </c>
      <c r="AP422">
        <v>8</v>
      </c>
      <c r="AQ422">
        <v>10</v>
      </c>
      <c r="AR422">
        <v>7</v>
      </c>
      <c r="AS422">
        <v>4</v>
      </c>
    </row>
    <row r="423" spans="1:45" x14ac:dyDescent="0.25">
      <c r="A423">
        <v>36</v>
      </c>
      <c r="B423" t="s">
        <v>384</v>
      </c>
      <c r="E423" t="s">
        <v>378</v>
      </c>
      <c r="K423">
        <f>Scores_and_Fixtures[[#This Row],[Wk]]</f>
        <v>36</v>
      </c>
      <c r="L423" t="str">
        <f>Scores_and_Fixtures[[#This Row],[Home]]</f>
        <v>Hull City</v>
      </c>
      <c r="M423">
        <f ca="1">IF(ISBLANK(Scores_and_Fixtures[[#This Row],[Home Score]])=FALSE,Scores_and_Fixtures[[#This Row],[Home Score]],_xlfn.BINOM.INV(10000,(VLOOKUP(L423,$CK$4:$CM$27,2,FALSE)*VLOOKUP(O423,$CK$4:$CM$27,3,FALSE)*($CM$2/2))/10000,RAND()))</f>
        <v>0</v>
      </c>
      <c r="N423">
        <f ca="1">IF(ISBLANK(Scores_and_Fixtures[[#This Row],[Away Score]])=FALSE,Scores_and_Fixtures[[#This Row],[Away Score]],_xlfn.BINOM.INV(10000,(VLOOKUP(O423,$CK$4:$CM$27,2,FALSE)*VLOOKUP(L423,$CK$4:$CM$27,3,FALSE)*($CM$2/2))/10000,RAND()))</f>
        <v>1</v>
      </c>
      <c r="O423" t="str">
        <f>Scores_and_Fixtures[[#This Row],[Away]]</f>
        <v>Birmingham City</v>
      </c>
      <c r="U423">
        <v>322</v>
      </c>
      <c r="V423">
        <v>20</v>
      </c>
      <c r="W423">
        <v>7</v>
      </c>
      <c r="X423">
        <v>14</v>
      </c>
      <c r="Y423">
        <v>13</v>
      </c>
      <c r="Z423">
        <v>15</v>
      </c>
      <c r="AA423">
        <v>22</v>
      </c>
      <c r="AB423">
        <v>8</v>
      </c>
      <c r="AC423">
        <v>3</v>
      </c>
      <c r="AD423">
        <v>5</v>
      </c>
      <c r="AE423">
        <v>1</v>
      </c>
      <c r="AF423">
        <v>11</v>
      </c>
      <c r="AG423">
        <v>18</v>
      </c>
      <c r="AH423">
        <v>16</v>
      </c>
      <c r="AI423">
        <v>17</v>
      </c>
      <c r="AJ423">
        <v>10</v>
      </c>
      <c r="AK423">
        <v>21</v>
      </c>
      <c r="AL423">
        <v>24</v>
      </c>
      <c r="AM423">
        <v>23</v>
      </c>
      <c r="AN423">
        <v>2</v>
      </c>
      <c r="AO423">
        <v>19</v>
      </c>
      <c r="AP423">
        <v>12</v>
      </c>
      <c r="AQ423">
        <v>9</v>
      </c>
      <c r="AR423">
        <v>6</v>
      </c>
      <c r="AS423">
        <v>4</v>
      </c>
    </row>
    <row r="424" spans="1:45" x14ac:dyDescent="0.25">
      <c r="A424">
        <v>36</v>
      </c>
      <c r="B424" t="s">
        <v>385</v>
      </c>
      <c r="E424" t="s">
        <v>380</v>
      </c>
      <c r="K424">
        <f>Scores_and_Fixtures[[#This Row],[Wk]]</f>
        <v>36</v>
      </c>
      <c r="L424" t="str">
        <f>Scores_and_Fixtures[[#This Row],[Home]]</f>
        <v>Ipswich Town</v>
      </c>
      <c r="M424">
        <f ca="1">IF(ISBLANK(Scores_and_Fixtures[[#This Row],[Home Score]])=FALSE,Scores_and_Fixtures[[#This Row],[Home Score]],_xlfn.BINOM.INV(10000,(VLOOKUP(L424,$CK$4:$CM$27,2,FALSE)*VLOOKUP(O424,$CK$4:$CM$27,3,FALSE)*($CM$2/2))/10000,RAND()))</f>
        <v>3</v>
      </c>
      <c r="N424">
        <f ca="1">IF(ISBLANK(Scores_and_Fixtures[[#This Row],[Away Score]])=FALSE,Scores_and_Fixtures[[#This Row],[Away Score]],_xlfn.BINOM.INV(10000,(VLOOKUP(O424,$CK$4:$CM$27,2,FALSE)*VLOOKUP(L424,$CK$4:$CM$27,3,FALSE)*($CM$2/2))/10000,RAND()))</f>
        <v>1</v>
      </c>
      <c r="O424" t="str">
        <f>Scores_and_Fixtures[[#This Row],[Away]]</f>
        <v>Bristol City</v>
      </c>
      <c r="U424">
        <v>323</v>
      </c>
      <c r="V424">
        <v>18</v>
      </c>
      <c r="W424">
        <v>12</v>
      </c>
      <c r="X424">
        <v>11</v>
      </c>
      <c r="Y424">
        <v>10</v>
      </c>
      <c r="Z424">
        <v>15</v>
      </c>
      <c r="AA424">
        <v>21</v>
      </c>
      <c r="AB424">
        <v>5</v>
      </c>
      <c r="AC424">
        <v>2</v>
      </c>
      <c r="AD424">
        <v>3</v>
      </c>
      <c r="AE424">
        <v>1</v>
      </c>
      <c r="AF424">
        <v>17</v>
      </c>
      <c r="AG424">
        <v>14</v>
      </c>
      <c r="AH424">
        <v>13</v>
      </c>
      <c r="AI424">
        <v>19</v>
      </c>
      <c r="AJ424">
        <v>9</v>
      </c>
      <c r="AK424">
        <v>23</v>
      </c>
      <c r="AL424">
        <v>22</v>
      </c>
      <c r="AM424">
        <v>24</v>
      </c>
      <c r="AN424">
        <v>6</v>
      </c>
      <c r="AO424">
        <v>20</v>
      </c>
      <c r="AP424">
        <v>8</v>
      </c>
      <c r="AQ424">
        <v>16</v>
      </c>
      <c r="AR424">
        <v>7</v>
      </c>
      <c r="AS424">
        <v>4</v>
      </c>
    </row>
    <row r="425" spans="1:45" x14ac:dyDescent="0.25">
      <c r="A425">
        <v>36</v>
      </c>
      <c r="B425" t="s">
        <v>386</v>
      </c>
      <c r="E425" t="s">
        <v>397</v>
      </c>
      <c r="K425">
        <f>Scores_and_Fixtures[[#This Row],[Wk]]</f>
        <v>36</v>
      </c>
      <c r="L425" t="str">
        <f>Scores_and_Fixtures[[#This Row],[Home]]</f>
        <v>Leeds United</v>
      </c>
      <c r="M425">
        <f ca="1">IF(ISBLANK(Scores_and_Fixtures[[#This Row],[Home Score]])=FALSE,Scores_and_Fixtures[[#This Row],[Home Score]],_xlfn.BINOM.INV(10000,(VLOOKUP(L425,$CK$4:$CM$27,2,FALSE)*VLOOKUP(O425,$CK$4:$CM$27,3,FALSE)*($CM$2/2))/10000,RAND()))</f>
        <v>3</v>
      </c>
      <c r="N425">
        <f ca="1">IF(ISBLANK(Scores_and_Fixtures[[#This Row],[Away Score]])=FALSE,Scores_and_Fixtures[[#This Row],[Away Score]],_xlfn.BINOM.INV(10000,(VLOOKUP(O425,$CK$4:$CM$27,2,FALSE)*VLOOKUP(L425,$CK$4:$CM$27,3,FALSE)*($CM$2/2))/10000,RAND()))</f>
        <v>0</v>
      </c>
      <c r="O425" t="str">
        <f>Scores_and_Fixtures[[#This Row],[Away]]</f>
        <v>Stoke City</v>
      </c>
      <c r="U425">
        <v>324</v>
      </c>
      <c r="V425">
        <v>19</v>
      </c>
      <c r="W425">
        <v>12</v>
      </c>
      <c r="X425">
        <v>15</v>
      </c>
      <c r="Y425">
        <v>8</v>
      </c>
      <c r="Z425">
        <v>16</v>
      </c>
      <c r="AA425">
        <v>21</v>
      </c>
      <c r="AB425">
        <v>5</v>
      </c>
      <c r="AC425">
        <v>2</v>
      </c>
      <c r="AD425">
        <v>3</v>
      </c>
      <c r="AE425">
        <v>1</v>
      </c>
      <c r="AF425">
        <v>9</v>
      </c>
      <c r="AG425">
        <v>22</v>
      </c>
      <c r="AH425">
        <v>6</v>
      </c>
      <c r="AI425">
        <v>10</v>
      </c>
      <c r="AJ425">
        <v>13</v>
      </c>
      <c r="AK425">
        <v>20</v>
      </c>
      <c r="AL425">
        <v>23</v>
      </c>
      <c r="AM425">
        <v>24</v>
      </c>
      <c r="AN425">
        <v>4</v>
      </c>
      <c r="AO425">
        <v>18</v>
      </c>
      <c r="AP425">
        <v>14</v>
      </c>
      <c r="AQ425">
        <v>17</v>
      </c>
      <c r="AR425">
        <v>11</v>
      </c>
      <c r="AS425">
        <v>7</v>
      </c>
    </row>
    <row r="426" spans="1:45" x14ac:dyDescent="0.25">
      <c r="A426">
        <v>36</v>
      </c>
      <c r="B426" t="s">
        <v>398</v>
      </c>
      <c r="E426" t="s">
        <v>387</v>
      </c>
      <c r="K426">
        <f>Scores_and_Fixtures[[#This Row],[Wk]]</f>
        <v>36</v>
      </c>
      <c r="L426" t="str">
        <f>Scores_and_Fixtures[[#This Row],[Home]]</f>
        <v>Sunderland</v>
      </c>
      <c r="M426">
        <f ca="1">IF(ISBLANK(Scores_and_Fixtures[[#This Row],[Home Score]])=FALSE,Scores_and_Fixtures[[#This Row],[Home Score]],_xlfn.BINOM.INV(10000,(VLOOKUP(L426,$CK$4:$CM$27,2,FALSE)*VLOOKUP(O426,$CK$4:$CM$27,3,FALSE)*($CM$2/2))/10000,RAND()))</f>
        <v>1</v>
      </c>
      <c r="N426">
        <f ca="1">IF(ISBLANK(Scores_and_Fixtures[[#This Row],[Away Score]])=FALSE,Scores_and_Fixtures[[#This Row],[Away Score]],_xlfn.BINOM.INV(10000,(VLOOKUP(O426,$CK$4:$CM$27,2,FALSE)*VLOOKUP(L426,$CK$4:$CM$27,3,FALSE)*($CM$2/2))/10000,RAND()))</f>
        <v>1</v>
      </c>
      <c r="O426" t="str">
        <f>Scores_and_Fixtures[[#This Row],[Away]]</f>
        <v>Leicester City</v>
      </c>
      <c r="U426">
        <v>325</v>
      </c>
      <c r="V426">
        <v>15</v>
      </c>
      <c r="W426">
        <v>11</v>
      </c>
      <c r="X426">
        <v>17</v>
      </c>
      <c r="Y426">
        <v>12</v>
      </c>
      <c r="Z426">
        <v>18</v>
      </c>
      <c r="AA426">
        <v>20</v>
      </c>
      <c r="AB426">
        <v>7</v>
      </c>
      <c r="AC426">
        <v>2</v>
      </c>
      <c r="AD426">
        <v>3</v>
      </c>
      <c r="AE426">
        <v>1</v>
      </c>
      <c r="AF426">
        <v>14</v>
      </c>
      <c r="AG426">
        <v>13</v>
      </c>
      <c r="AH426">
        <v>9</v>
      </c>
      <c r="AI426">
        <v>10</v>
      </c>
      <c r="AJ426">
        <v>16</v>
      </c>
      <c r="AK426">
        <v>22</v>
      </c>
      <c r="AL426">
        <v>24</v>
      </c>
      <c r="AM426">
        <v>23</v>
      </c>
      <c r="AN426">
        <v>4</v>
      </c>
      <c r="AO426">
        <v>21</v>
      </c>
      <c r="AP426">
        <v>6</v>
      </c>
      <c r="AQ426">
        <v>19</v>
      </c>
      <c r="AR426">
        <v>8</v>
      </c>
      <c r="AS426">
        <v>5</v>
      </c>
    </row>
    <row r="427" spans="1:45" x14ac:dyDescent="0.25">
      <c r="A427">
        <v>36</v>
      </c>
      <c r="B427" t="s">
        <v>379</v>
      </c>
      <c r="E427" t="s">
        <v>389</v>
      </c>
      <c r="K427">
        <f>Scores_and_Fixtures[[#This Row],[Wk]]</f>
        <v>36</v>
      </c>
      <c r="L427" t="str">
        <f>Scores_and_Fixtures[[#This Row],[Home]]</f>
        <v>Blackburn</v>
      </c>
      <c r="M427">
        <f ca="1">IF(ISBLANK(Scores_and_Fixtures[[#This Row],[Home Score]])=FALSE,Scores_and_Fixtures[[#This Row],[Home Score]],_xlfn.BINOM.INV(10000,(VLOOKUP(L427,$CK$4:$CM$27,2,FALSE)*VLOOKUP(O427,$CK$4:$CM$27,3,FALSE)*($CM$2/2))/10000,RAND()))</f>
        <v>0</v>
      </c>
      <c r="N427">
        <f ca="1">IF(ISBLANK(Scores_and_Fixtures[[#This Row],[Away Score]])=FALSE,Scores_and_Fixtures[[#This Row],[Away Score]],_xlfn.BINOM.INV(10000,(VLOOKUP(O427,$CK$4:$CM$27,2,FALSE)*VLOOKUP(L427,$CK$4:$CM$27,3,FALSE)*($CM$2/2))/10000,RAND()))</f>
        <v>0</v>
      </c>
      <c r="O427" t="str">
        <f>Scores_and_Fixtures[[#This Row],[Away]]</f>
        <v>Millwall</v>
      </c>
      <c r="U427">
        <v>326</v>
      </c>
      <c r="V427">
        <v>20</v>
      </c>
      <c r="W427">
        <v>10</v>
      </c>
      <c r="X427">
        <v>12</v>
      </c>
      <c r="Y427">
        <v>14</v>
      </c>
      <c r="Z427">
        <v>15</v>
      </c>
      <c r="AA427">
        <v>19</v>
      </c>
      <c r="AB427">
        <v>8</v>
      </c>
      <c r="AC427">
        <v>2</v>
      </c>
      <c r="AD427">
        <v>3</v>
      </c>
      <c r="AE427">
        <v>1</v>
      </c>
      <c r="AF427">
        <v>6</v>
      </c>
      <c r="AG427">
        <v>22</v>
      </c>
      <c r="AH427">
        <v>13</v>
      </c>
      <c r="AI427">
        <v>17</v>
      </c>
      <c r="AJ427">
        <v>11</v>
      </c>
      <c r="AK427">
        <v>21</v>
      </c>
      <c r="AL427">
        <v>23</v>
      </c>
      <c r="AM427">
        <v>24</v>
      </c>
      <c r="AN427">
        <v>4</v>
      </c>
      <c r="AO427">
        <v>18</v>
      </c>
      <c r="AP427">
        <v>9</v>
      </c>
      <c r="AQ427">
        <v>16</v>
      </c>
      <c r="AR427">
        <v>5</v>
      </c>
      <c r="AS427">
        <v>7</v>
      </c>
    </row>
    <row r="428" spans="1:45" x14ac:dyDescent="0.25">
      <c r="A428">
        <v>36</v>
      </c>
      <c r="B428" t="s">
        <v>400</v>
      </c>
      <c r="E428" t="s">
        <v>399</v>
      </c>
      <c r="K428">
        <f>Scores_and_Fixtures[[#This Row],[Wk]]</f>
        <v>36</v>
      </c>
      <c r="L428" t="str">
        <f>Scores_and_Fixtures[[#This Row],[Home]]</f>
        <v>Watford</v>
      </c>
      <c r="M428">
        <f ca="1">IF(ISBLANK(Scores_and_Fixtures[[#This Row],[Home Score]])=FALSE,Scores_and_Fixtures[[#This Row],[Home Score]],_xlfn.BINOM.INV(10000,(VLOOKUP(L428,$CK$4:$CM$27,2,FALSE)*VLOOKUP(O428,$CK$4:$CM$27,3,FALSE)*($CM$2/2))/10000,RAND()))</f>
        <v>1</v>
      </c>
      <c r="N428">
        <f ca="1">IF(ISBLANK(Scores_and_Fixtures[[#This Row],[Away Score]])=FALSE,Scores_and_Fixtures[[#This Row],[Away Score]],_xlfn.BINOM.INV(10000,(VLOOKUP(O428,$CK$4:$CM$27,2,FALSE)*VLOOKUP(L428,$CK$4:$CM$27,3,FALSE)*($CM$2/2))/10000,RAND()))</f>
        <v>0</v>
      </c>
      <c r="O428" t="str">
        <f>Scores_and_Fixtures[[#This Row],[Away]]</f>
        <v>Swansea City</v>
      </c>
      <c r="U428">
        <v>327</v>
      </c>
      <c r="V428">
        <v>17</v>
      </c>
      <c r="W428">
        <v>11</v>
      </c>
      <c r="X428">
        <v>16</v>
      </c>
      <c r="Y428">
        <v>8</v>
      </c>
      <c r="Z428">
        <v>12</v>
      </c>
      <c r="AA428">
        <v>20</v>
      </c>
      <c r="AB428">
        <v>5</v>
      </c>
      <c r="AC428">
        <v>2</v>
      </c>
      <c r="AD428">
        <v>4</v>
      </c>
      <c r="AE428">
        <v>1</v>
      </c>
      <c r="AF428">
        <v>10</v>
      </c>
      <c r="AG428">
        <v>15</v>
      </c>
      <c r="AH428">
        <v>13</v>
      </c>
      <c r="AI428">
        <v>14</v>
      </c>
      <c r="AJ428">
        <v>18</v>
      </c>
      <c r="AK428">
        <v>22</v>
      </c>
      <c r="AL428">
        <v>24</v>
      </c>
      <c r="AM428">
        <v>23</v>
      </c>
      <c r="AN428">
        <v>3</v>
      </c>
      <c r="AO428">
        <v>21</v>
      </c>
      <c r="AP428">
        <v>9</v>
      </c>
      <c r="AQ428">
        <v>19</v>
      </c>
      <c r="AR428">
        <v>6</v>
      </c>
      <c r="AS428">
        <v>7</v>
      </c>
    </row>
    <row r="429" spans="1:45" x14ac:dyDescent="0.25">
      <c r="A429">
        <v>36</v>
      </c>
      <c r="B429" t="s">
        <v>393</v>
      </c>
      <c r="E429" t="s">
        <v>401</v>
      </c>
      <c r="K429">
        <f>Scores_and_Fixtures[[#This Row],[Wk]]</f>
        <v>36</v>
      </c>
      <c r="L429" t="str">
        <f>Scores_and_Fixtures[[#This Row],[Home]]</f>
        <v>QPR</v>
      </c>
      <c r="M429">
        <f ca="1">IF(ISBLANK(Scores_and_Fixtures[[#This Row],[Home Score]])=FALSE,Scores_and_Fixtures[[#This Row],[Home Score]],_xlfn.BINOM.INV(10000,(VLOOKUP(L429,$CK$4:$CM$27,2,FALSE)*VLOOKUP(O429,$CK$4:$CM$27,3,FALSE)*($CM$2/2))/10000,RAND()))</f>
        <v>0</v>
      </c>
      <c r="N429">
        <f ca="1">IF(ISBLANK(Scores_and_Fixtures[[#This Row],[Away Score]])=FALSE,Scores_and_Fixtures[[#This Row],[Away Score]],_xlfn.BINOM.INV(10000,(VLOOKUP(O429,$CK$4:$CM$27,2,FALSE)*VLOOKUP(L429,$CK$4:$CM$27,3,FALSE)*($CM$2/2))/10000,RAND()))</f>
        <v>3</v>
      </c>
      <c r="O429" t="str">
        <f>Scores_and_Fixtures[[#This Row],[Away]]</f>
        <v>West Brom</v>
      </c>
      <c r="U429">
        <v>328</v>
      </c>
      <c r="V429">
        <v>14</v>
      </c>
      <c r="W429">
        <v>8</v>
      </c>
      <c r="X429">
        <v>16</v>
      </c>
      <c r="Y429">
        <v>13</v>
      </c>
      <c r="Z429">
        <v>15</v>
      </c>
      <c r="AA429">
        <v>21</v>
      </c>
      <c r="AB429">
        <v>9</v>
      </c>
      <c r="AC429">
        <v>2</v>
      </c>
      <c r="AD429">
        <v>4</v>
      </c>
      <c r="AE429">
        <v>1</v>
      </c>
      <c r="AF429">
        <v>7</v>
      </c>
      <c r="AG429">
        <v>18</v>
      </c>
      <c r="AH429">
        <v>11</v>
      </c>
      <c r="AI429">
        <v>17</v>
      </c>
      <c r="AJ429">
        <v>12</v>
      </c>
      <c r="AK429">
        <v>20</v>
      </c>
      <c r="AL429">
        <v>24</v>
      </c>
      <c r="AM429">
        <v>23</v>
      </c>
      <c r="AN429">
        <v>3</v>
      </c>
      <c r="AO429">
        <v>22</v>
      </c>
      <c r="AP429">
        <v>6</v>
      </c>
      <c r="AQ429">
        <v>19</v>
      </c>
      <c r="AR429">
        <v>5</v>
      </c>
      <c r="AS429">
        <v>10</v>
      </c>
    </row>
    <row r="430" spans="1:45" x14ac:dyDescent="0.25">
      <c r="A430">
        <v>36</v>
      </c>
      <c r="B430" t="s">
        <v>381</v>
      </c>
      <c r="E430" t="s">
        <v>383</v>
      </c>
      <c r="K430">
        <f>Scores_and_Fixtures[[#This Row],[Wk]]</f>
        <v>36</v>
      </c>
      <c r="L430" t="str">
        <f>Scores_and_Fixtures[[#This Row],[Home]]</f>
        <v>Cardiff City</v>
      </c>
      <c r="M430">
        <f ca="1">IF(ISBLANK(Scores_and_Fixtures[[#This Row],[Home Score]])=FALSE,Scores_and_Fixtures[[#This Row],[Home Score]],_xlfn.BINOM.INV(10000,(VLOOKUP(L430,$CK$4:$CM$27,2,FALSE)*VLOOKUP(O430,$CK$4:$CM$27,3,FALSE)*($CM$2/2))/10000,RAND()))</f>
        <v>1</v>
      </c>
      <c r="N430">
        <f ca="1">IF(ISBLANK(Scores_and_Fixtures[[#This Row],[Away Score]])=FALSE,Scores_and_Fixtures[[#This Row],[Away Score]],_xlfn.BINOM.INV(10000,(VLOOKUP(O430,$CK$4:$CM$27,2,FALSE)*VLOOKUP(L430,$CK$4:$CM$27,3,FALSE)*($CM$2/2))/10000,RAND()))</f>
        <v>0</v>
      </c>
      <c r="O430" t="str">
        <f>Scores_and_Fixtures[[#This Row],[Away]]</f>
        <v>Huddersfield</v>
      </c>
      <c r="U430">
        <v>329</v>
      </c>
      <c r="V430">
        <v>14</v>
      </c>
      <c r="W430">
        <v>10</v>
      </c>
      <c r="X430">
        <v>9</v>
      </c>
      <c r="Y430">
        <v>13</v>
      </c>
      <c r="Z430">
        <v>12</v>
      </c>
      <c r="AA430">
        <v>19</v>
      </c>
      <c r="AB430">
        <v>4</v>
      </c>
      <c r="AC430">
        <v>1</v>
      </c>
      <c r="AD430">
        <v>5</v>
      </c>
      <c r="AE430">
        <v>2</v>
      </c>
      <c r="AF430">
        <v>8</v>
      </c>
      <c r="AG430">
        <v>20</v>
      </c>
      <c r="AH430">
        <v>15</v>
      </c>
      <c r="AI430">
        <v>17</v>
      </c>
      <c r="AJ430">
        <v>16</v>
      </c>
      <c r="AK430">
        <v>22</v>
      </c>
      <c r="AL430">
        <v>24</v>
      </c>
      <c r="AM430">
        <v>23</v>
      </c>
      <c r="AN430">
        <v>3</v>
      </c>
      <c r="AO430">
        <v>21</v>
      </c>
      <c r="AP430">
        <v>11</v>
      </c>
      <c r="AQ430">
        <v>18</v>
      </c>
      <c r="AR430">
        <v>7</v>
      </c>
      <c r="AS430">
        <v>6</v>
      </c>
    </row>
    <row r="431" spans="1:45" x14ac:dyDescent="0.25">
      <c r="A431">
        <v>36</v>
      </c>
      <c r="B431" t="s">
        <v>388</v>
      </c>
      <c r="E431" t="s">
        <v>390</v>
      </c>
      <c r="K431">
        <f>Scores_and_Fixtures[[#This Row],[Wk]]</f>
        <v>36</v>
      </c>
      <c r="L431" t="str">
        <f>Scores_and_Fixtures[[#This Row],[Home]]</f>
        <v>Middlesbrough</v>
      </c>
      <c r="M431">
        <f ca="1">IF(ISBLANK(Scores_and_Fixtures[[#This Row],[Home Score]])=FALSE,Scores_and_Fixtures[[#This Row],[Home Score]],_xlfn.BINOM.INV(10000,(VLOOKUP(L431,$CK$4:$CM$27,2,FALSE)*VLOOKUP(O431,$CK$4:$CM$27,3,FALSE)*($CM$2/2))/10000,RAND()))</f>
        <v>3</v>
      </c>
      <c r="N431">
        <f ca="1">IF(ISBLANK(Scores_and_Fixtures[[#This Row],[Away Score]])=FALSE,Scores_and_Fixtures[[#This Row],[Away Score]],_xlfn.BINOM.INV(10000,(VLOOKUP(O431,$CK$4:$CM$27,2,FALSE)*VLOOKUP(L431,$CK$4:$CM$27,3,FALSE)*($CM$2/2))/10000,RAND()))</f>
        <v>2</v>
      </c>
      <c r="O431" t="str">
        <f>Scores_and_Fixtures[[#This Row],[Away]]</f>
        <v>Norwich City</v>
      </c>
      <c r="U431">
        <v>330</v>
      </c>
      <c r="V431">
        <v>20</v>
      </c>
      <c r="W431">
        <v>11</v>
      </c>
      <c r="X431">
        <v>8</v>
      </c>
      <c r="Y431">
        <v>7</v>
      </c>
      <c r="Z431">
        <v>13</v>
      </c>
      <c r="AA431">
        <v>22</v>
      </c>
      <c r="AB431">
        <v>6</v>
      </c>
      <c r="AC431">
        <v>2</v>
      </c>
      <c r="AD431">
        <v>3</v>
      </c>
      <c r="AE431">
        <v>1</v>
      </c>
      <c r="AF431">
        <v>16</v>
      </c>
      <c r="AG431">
        <v>15</v>
      </c>
      <c r="AH431">
        <v>17</v>
      </c>
      <c r="AI431">
        <v>12</v>
      </c>
      <c r="AJ431">
        <v>14</v>
      </c>
      <c r="AK431">
        <v>19</v>
      </c>
      <c r="AL431">
        <v>23</v>
      </c>
      <c r="AM431">
        <v>24</v>
      </c>
      <c r="AN431">
        <v>5</v>
      </c>
      <c r="AO431">
        <v>21</v>
      </c>
      <c r="AP431">
        <v>9</v>
      </c>
      <c r="AQ431">
        <v>18</v>
      </c>
      <c r="AR431">
        <v>10</v>
      </c>
      <c r="AS431">
        <v>4</v>
      </c>
    </row>
    <row r="432" spans="1:45" x14ac:dyDescent="0.25">
      <c r="A432">
        <v>36</v>
      </c>
      <c r="B432" t="s">
        <v>396</v>
      </c>
      <c r="E432" t="s">
        <v>392</v>
      </c>
      <c r="K432">
        <f>Scores_and_Fixtures[[#This Row],[Wk]]</f>
        <v>36</v>
      </c>
      <c r="L432" t="str">
        <f>Scores_and_Fixtures[[#This Row],[Home]]</f>
        <v>Southampton</v>
      </c>
      <c r="M432">
        <f ca="1">IF(ISBLANK(Scores_and_Fixtures[[#This Row],[Home Score]])=FALSE,Scores_and_Fixtures[[#This Row],[Home Score]],_xlfn.BINOM.INV(10000,(VLOOKUP(L432,$CK$4:$CM$27,2,FALSE)*VLOOKUP(O432,$CK$4:$CM$27,3,FALSE)*($CM$2/2))/10000,RAND()))</f>
        <v>5</v>
      </c>
      <c r="N432">
        <f ca="1">IF(ISBLANK(Scores_and_Fixtures[[#This Row],[Away Score]])=FALSE,Scores_and_Fixtures[[#This Row],[Away Score]],_xlfn.BINOM.INV(10000,(VLOOKUP(O432,$CK$4:$CM$27,2,FALSE)*VLOOKUP(L432,$CK$4:$CM$27,3,FALSE)*($CM$2/2))/10000,RAND()))</f>
        <v>1</v>
      </c>
      <c r="O432" t="str">
        <f>Scores_and_Fixtures[[#This Row],[Away]]</f>
        <v>Preston</v>
      </c>
      <c r="U432">
        <v>331</v>
      </c>
      <c r="V432">
        <v>19</v>
      </c>
      <c r="W432">
        <v>14</v>
      </c>
      <c r="X432">
        <v>11</v>
      </c>
      <c r="Y432">
        <v>10</v>
      </c>
      <c r="Z432">
        <v>16</v>
      </c>
      <c r="AA432">
        <v>22</v>
      </c>
      <c r="AB432">
        <v>4</v>
      </c>
      <c r="AC432">
        <v>3</v>
      </c>
      <c r="AD432">
        <v>5</v>
      </c>
      <c r="AE432">
        <v>1</v>
      </c>
      <c r="AF432">
        <v>8</v>
      </c>
      <c r="AG432">
        <v>21</v>
      </c>
      <c r="AH432">
        <v>15</v>
      </c>
      <c r="AI432">
        <v>13</v>
      </c>
      <c r="AJ432">
        <v>12</v>
      </c>
      <c r="AK432">
        <v>20</v>
      </c>
      <c r="AL432">
        <v>24</v>
      </c>
      <c r="AM432">
        <v>23</v>
      </c>
      <c r="AN432">
        <v>2</v>
      </c>
      <c r="AO432">
        <v>17</v>
      </c>
      <c r="AP432">
        <v>9</v>
      </c>
      <c r="AQ432">
        <v>18</v>
      </c>
      <c r="AR432">
        <v>7</v>
      </c>
      <c r="AS432">
        <v>6</v>
      </c>
    </row>
    <row r="433" spans="1:45" x14ac:dyDescent="0.25">
      <c r="A433">
        <v>36</v>
      </c>
      <c r="B433" t="s">
        <v>395</v>
      </c>
      <c r="E433" t="s">
        <v>391</v>
      </c>
      <c r="K433">
        <f>Scores_and_Fixtures[[#This Row],[Wk]]</f>
        <v>36</v>
      </c>
      <c r="L433" t="str">
        <f>Scores_and_Fixtures[[#This Row],[Home]]</f>
        <v>Sheffield Weds</v>
      </c>
      <c r="M433">
        <f ca="1">IF(ISBLANK(Scores_and_Fixtures[[#This Row],[Home Score]])=FALSE,Scores_and_Fixtures[[#This Row],[Home Score]],_xlfn.BINOM.INV(10000,(VLOOKUP(L433,$CK$4:$CM$27,2,FALSE)*VLOOKUP(O433,$CK$4:$CM$27,3,FALSE)*($CM$2/2))/10000,RAND()))</f>
        <v>0</v>
      </c>
      <c r="N433">
        <f ca="1">IF(ISBLANK(Scores_and_Fixtures[[#This Row],[Away Score]])=FALSE,Scores_and_Fixtures[[#This Row],[Away Score]],_xlfn.BINOM.INV(10000,(VLOOKUP(O433,$CK$4:$CM$27,2,FALSE)*VLOOKUP(L433,$CK$4:$CM$27,3,FALSE)*($CM$2/2))/10000,RAND()))</f>
        <v>5</v>
      </c>
      <c r="O433" t="str">
        <f>Scores_and_Fixtures[[#This Row],[Away]]</f>
        <v>Plymouth Argyle</v>
      </c>
      <c r="U433">
        <v>332</v>
      </c>
      <c r="V433">
        <v>15</v>
      </c>
      <c r="W433">
        <v>17</v>
      </c>
      <c r="X433">
        <v>8</v>
      </c>
      <c r="Y433">
        <v>13</v>
      </c>
      <c r="Z433">
        <v>11</v>
      </c>
      <c r="AA433">
        <v>21</v>
      </c>
      <c r="AB433">
        <v>9</v>
      </c>
      <c r="AC433">
        <v>4</v>
      </c>
      <c r="AD433">
        <v>2</v>
      </c>
      <c r="AE433">
        <v>1</v>
      </c>
      <c r="AF433">
        <v>16</v>
      </c>
      <c r="AG433">
        <v>20</v>
      </c>
      <c r="AH433">
        <v>14</v>
      </c>
      <c r="AI433">
        <v>12</v>
      </c>
      <c r="AJ433">
        <v>10</v>
      </c>
      <c r="AK433">
        <v>22</v>
      </c>
      <c r="AL433">
        <v>24</v>
      </c>
      <c r="AM433">
        <v>23</v>
      </c>
      <c r="AN433">
        <v>3</v>
      </c>
      <c r="AO433">
        <v>19</v>
      </c>
      <c r="AP433">
        <v>5</v>
      </c>
      <c r="AQ433">
        <v>18</v>
      </c>
      <c r="AR433">
        <v>6</v>
      </c>
      <c r="AS433">
        <v>7</v>
      </c>
    </row>
    <row r="434" spans="1:45" x14ac:dyDescent="0.25">
      <c r="A434">
        <v>37</v>
      </c>
      <c r="B434" t="s">
        <v>380</v>
      </c>
      <c r="E434" t="s">
        <v>399</v>
      </c>
      <c r="K434">
        <f>Scores_and_Fixtures[[#This Row],[Wk]]</f>
        <v>37</v>
      </c>
      <c r="L434" t="str">
        <f>Scores_and_Fixtures[[#This Row],[Home]]</f>
        <v>Bristol City</v>
      </c>
      <c r="M434">
        <f ca="1">IF(ISBLANK(Scores_and_Fixtures[[#This Row],[Home Score]])=FALSE,Scores_and_Fixtures[[#This Row],[Home Score]],_xlfn.BINOM.INV(10000,(VLOOKUP(L434,$CK$4:$CM$27,2,FALSE)*VLOOKUP(O434,$CK$4:$CM$27,3,FALSE)*($CM$2/2))/10000,RAND()))</f>
        <v>1</v>
      </c>
      <c r="N434">
        <f ca="1">IF(ISBLANK(Scores_and_Fixtures[[#This Row],[Away Score]])=FALSE,Scores_and_Fixtures[[#This Row],[Away Score]],_xlfn.BINOM.INV(10000,(VLOOKUP(O434,$CK$4:$CM$27,2,FALSE)*VLOOKUP(L434,$CK$4:$CM$27,3,FALSE)*($CM$2/2))/10000,RAND()))</f>
        <v>0</v>
      </c>
      <c r="O434" t="str">
        <f>Scores_and_Fixtures[[#This Row],[Away]]</f>
        <v>Swansea City</v>
      </c>
      <c r="U434">
        <v>333</v>
      </c>
      <c r="V434">
        <v>16</v>
      </c>
      <c r="W434">
        <v>14</v>
      </c>
      <c r="X434">
        <v>13</v>
      </c>
      <c r="Y434">
        <v>10</v>
      </c>
      <c r="Z434">
        <v>17</v>
      </c>
      <c r="AA434">
        <v>18</v>
      </c>
      <c r="AB434">
        <v>5</v>
      </c>
      <c r="AC434">
        <v>2</v>
      </c>
      <c r="AD434">
        <v>3</v>
      </c>
      <c r="AE434">
        <v>1</v>
      </c>
      <c r="AF434">
        <v>12</v>
      </c>
      <c r="AG434">
        <v>20</v>
      </c>
      <c r="AH434">
        <v>11</v>
      </c>
      <c r="AI434">
        <v>15</v>
      </c>
      <c r="AJ434">
        <v>9</v>
      </c>
      <c r="AK434">
        <v>22</v>
      </c>
      <c r="AL434">
        <v>24</v>
      </c>
      <c r="AM434">
        <v>23</v>
      </c>
      <c r="AN434">
        <v>4</v>
      </c>
      <c r="AO434">
        <v>21</v>
      </c>
      <c r="AP434">
        <v>7</v>
      </c>
      <c r="AQ434">
        <v>19</v>
      </c>
      <c r="AR434">
        <v>8</v>
      </c>
      <c r="AS434">
        <v>6</v>
      </c>
    </row>
    <row r="435" spans="1:45" x14ac:dyDescent="0.25">
      <c r="A435">
        <v>37</v>
      </c>
      <c r="B435" t="s">
        <v>395</v>
      </c>
      <c r="E435" t="s">
        <v>386</v>
      </c>
      <c r="K435">
        <f>Scores_and_Fixtures[[#This Row],[Wk]]</f>
        <v>37</v>
      </c>
      <c r="L435" t="str">
        <f>Scores_and_Fixtures[[#This Row],[Home]]</f>
        <v>Sheffield Weds</v>
      </c>
      <c r="M435">
        <f ca="1">IF(ISBLANK(Scores_and_Fixtures[[#This Row],[Home Score]])=FALSE,Scores_and_Fixtures[[#This Row],[Home Score]],_xlfn.BINOM.INV(10000,(VLOOKUP(L435,$CK$4:$CM$27,2,FALSE)*VLOOKUP(O435,$CK$4:$CM$27,3,FALSE)*($CM$2/2))/10000,RAND()))</f>
        <v>1</v>
      </c>
      <c r="N435">
        <f ca="1">IF(ISBLANK(Scores_and_Fixtures[[#This Row],[Away Score]])=FALSE,Scores_and_Fixtures[[#This Row],[Away Score]],_xlfn.BINOM.INV(10000,(VLOOKUP(O435,$CK$4:$CM$27,2,FALSE)*VLOOKUP(L435,$CK$4:$CM$27,3,FALSE)*($CM$2/2))/10000,RAND()))</f>
        <v>1</v>
      </c>
      <c r="O435" t="str">
        <f>Scores_and_Fixtures[[#This Row],[Away]]</f>
        <v>Leeds United</v>
      </c>
      <c r="U435">
        <v>334</v>
      </c>
      <c r="V435">
        <v>13</v>
      </c>
      <c r="W435">
        <v>9</v>
      </c>
      <c r="X435">
        <v>19</v>
      </c>
      <c r="Y435">
        <v>16</v>
      </c>
      <c r="Z435">
        <v>15</v>
      </c>
      <c r="AA435">
        <v>20</v>
      </c>
      <c r="AB435">
        <v>10</v>
      </c>
      <c r="AC435">
        <v>2</v>
      </c>
      <c r="AD435">
        <v>3</v>
      </c>
      <c r="AE435">
        <v>1</v>
      </c>
      <c r="AF435">
        <v>8</v>
      </c>
      <c r="AG435">
        <v>18</v>
      </c>
      <c r="AH435">
        <v>6</v>
      </c>
      <c r="AI435">
        <v>14</v>
      </c>
      <c r="AJ435">
        <v>12</v>
      </c>
      <c r="AK435">
        <v>22</v>
      </c>
      <c r="AL435">
        <v>24</v>
      </c>
      <c r="AM435">
        <v>23</v>
      </c>
      <c r="AN435">
        <v>4</v>
      </c>
      <c r="AO435">
        <v>21</v>
      </c>
      <c r="AP435">
        <v>11</v>
      </c>
      <c r="AQ435">
        <v>17</v>
      </c>
      <c r="AR435">
        <v>7</v>
      </c>
      <c r="AS435">
        <v>5</v>
      </c>
    </row>
    <row r="436" spans="1:45" x14ac:dyDescent="0.25">
      <c r="A436">
        <v>37</v>
      </c>
      <c r="B436" t="s">
        <v>390</v>
      </c>
      <c r="E436" t="s">
        <v>394</v>
      </c>
      <c r="K436">
        <f>Scores_and_Fixtures[[#This Row],[Wk]]</f>
        <v>37</v>
      </c>
      <c r="L436" t="str">
        <f>Scores_and_Fixtures[[#This Row],[Home]]</f>
        <v>Norwich City</v>
      </c>
      <c r="M436">
        <f ca="1">IF(ISBLANK(Scores_and_Fixtures[[#This Row],[Home Score]])=FALSE,Scores_and_Fixtures[[#This Row],[Home Score]],_xlfn.BINOM.INV(10000,(VLOOKUP(L436,$CK$4:$CM$27,2,FALSE)*VLOOKUP(O436,$CK$4:$CM$27,3,FALSE)*($CM$2/2))/10000,RAND()))</f>
        <v>4</v>
      </c>
      <c r="N436">
        <f ca="1">IF(ISBLANK(Scores_and_Fixtures[[#This Row],[Away Score]])=FALSE,Scores_and_Fixtures[[#This Row],[Away Score]],_xlfn.BINOM.INV(10000,(VLOOKUP(O436,$CK$4:$CM$27,2,FALSE)*VLOOKUP(L436,$CK$4:$CM$27,3,FALSE)*($CM$2/2))/10000,RAND()))</f>
        <v>3</v>
      </c>
      <c r="O436" t="str">
        <f>Scores_and_Fixtures[[#This Row],[Away]]</f>
        <v>Rotherham Utd</v>
      </c>
      <c r="U436">
        <v>335</v>
      </c>
      <c r="V436">
        <v>12</v>
      </c>
      <c r="W436">
        <v>9</v>
      </c>
      <c r="X436">
        <v>17</v>
      </c>
      <c r="Y436">
        <v>10</v>
      </c>
      <c r="Z436">
        <v>13</v>
      </c>
      <c r="AA436">
        <v>22</v>
      </c>
      <c r="AB436">
        <v>5</v>
      </c>
      <c r="AC436">
        <v>2</v>
      </c>
      <c r="AD436">
        <v>3</v>
      </c>
      <c r="AE436">
        <v>1</v>
      </c>
      <c r="AF436">
        <v>15</v>
      </c>
      <c r="AG436">
        <v>20</v>
      </c>
      <c r="AH436">
        <v>11</v>
      </c>
      <c r="AI436">
        <v>14</v>
      </c>
      <c r="AJ436">
        <v>16</v>
      </c>
      <c r="AK436">
        <v>21</v>
      </c>
      <c r="AL436">
        <v>24</v>
      </c>
      <c r="AM436">
        <v>23</v>
      </c>
      <c r="AN436">
        <v>4</v>
      </c>
      <c r="AO436">
        <v>19</v>
      </c>
      <c r="AP436">
        <v>7</v>
      </c>
      <c r="AQ436">
        <v>18</v>
      </c>
      <c r="AR436">
        <v>6</v>
      </c>
      <c r="AS436">
        <v>8</v>
      </c>
    </row>
    <row r="437" spans="1:45" x14ac:dyDescent="0.25">
      <c r="A437">
        <v>37</v>
      </c>
      <c r="B437" t="s">
        <v>383</v>
      </c>
      <c r="E437" t="s">
        <v>401</v>
      </c>
      <c r="K437">
        <f>Scores_and_Fixtures[[#This Row],[Wk]]</f>
        <v>37</v>
      </c>
      <c r="L437" t="str">
        <f>Scores_and_Fixtures[[#This Row],[Home]]</f>
        <v>Huddersfield</v>
      </c>
      <c r="M437">
        <f ca="1">IF(ISBLANK(Scores_and_Fixtures[[#This Row],[Home Score]])=FALSE,Scores_and_Fixtures[[#This Row],[Home Score]],_xlfn.BINOM.INV(10000,(VLOOKUP(L437,$CK$4:$CM$27,2,FALSE)*VLOOKUP(O437,$CK$4:$CM$27,3,FALSE)*($CM$2/2))/10000,RAND()))</f>
        <v>3</v>
      </c>
      <c r="N437">
        <f ca="1">IF(ISBLANK(Scores_and_Fixtures[[#This Row],[Away Score]])=FALSE,Scores_and_Fixtures[[#This Row],[Away Score]],_xlfn.BINOM.INV(10000,(VLOOKUP(O437,$CK$4:$CM$27,2,FALSE)*VLOOKUP(L437,$CK$4:$CM$27,3,FALSE)*($CM$2/2))/10000,RAND()))</f>
        <v>0</v>
      </c>
      <c r="O437" t="str">
        <f>Scores_and_Fixtures[[#This Row],[Away]]</f>
        <v>West Brom</v>
      </c>
      <c r="U437">
        <v>336</v>
      </c>
      <c r="V437">
        <v>17</v>
      </c>
      <c r="W437">
        <v>10</v>
      </c>
      <c r="X437">
        <v>11</v>
      </c>
      <c r="Y437">
        <v>15</v>
      </c>
      <c r="Z437">
        <v>13</v>
      </c>
      <c r="AA437">
        <v>20</v>
      </c>
      <c r="AB437">
        <v>6</v>
      </c>
      <c r="AC437">
        <v>2</v>
      </c>
      <c r="AD437">
        <v>3</v>
      </c>
      <c r="AE437">
        <v>1</v>
      </c>
      <c r="AF437">
        <v>7</v>
      </c>
      <c r="AG437">
        <v>21</v>
      </c>
      <c r="AH437">
        <v>9</v>
      </c>
      <c r="AI437">
        <v>14</v>
      </c>
      <c r="AJ437">
        <v>12</v>
      </c>
      <c r="AK437">
        <v>23</v>
      </c>
      <c r="AL437">
        <v>24</v>
      </c>
      <c r="AM437">
        <v>22</v>
      </c>
      <c r="AN437">
        <v>4</v>
      </c>
      <c r="AO437">
        <v>18</v>
      </c>
      <c r="AP437">
        <v>16</v>
      </c>
      <c r="AQ437">
        <v>19</v>
      </c>
      <c r="AR437">
        <v>8</v>
      </c>
      <c r="AS437">
        <v>5</v>
      </c>
    </row>
    <row r="438" spans="1:45" x14ac:dyDescent="0.25">
      <c r="A438">
        <v>37</v>
      </c>
      <c r="B438" t="s">
        <v>392</v>
      </c>
      <c r="E438" t="s">
        <v>397</v>
      </c>
      <c r="K438">
        <f>Scores_and_Fixtures[[#This Row],[Wk]]</f>
        <v>37</v>
      </c>
      <c r="L438" t="str">
        <f>Scores_and_Fixtures[[#This Row],[Home]]</f>
        <v>Preston</v>
      </c>
      <c r="M438">
        <f ca="1">IF(ISBLANK(Scores_and_Fixtures[[#This Row],[Home Score]])=FALSE,Scores_and_Fixtures[[#This Row],[Home Score]],_xlfn.BINOM.INV(10000,(VLOOKUP(L438,$CK$4:$CM$27,2,FALSE)*VLOOKUP(O438,$CK$4:$CM$27,3,FALSE)*($CM$2/2))/10000,RAND()))</f>
        <v>0</v>
      </c>
      <c r="N438">
        <f ca="1">IF(ISBLANK(Scores_and_Fixtures[[#This Row],[Away Score]])=FALSE,Scores_and_Fixtures[[#This Row],[Away Score]],_xlfn.BINOM.INV(10000,(VLOOKUP(O438,$CK$4:$CM$27,2,FALSE)*VLOOKUP(L438,$CK$4:$CM$27,3,FALSE)*($CM$2/2))/10000,RAND()))</f>
        <v>0</v>
      </c>
      <c r="O438" t="str">
        <f>Scores_and_Fixtures[[#This Row],[Away]]</f>
        <v>Stoke City</v>
      </c>
      <c r="U438">
        <v>337</v>
      </c>
      <c r="V438">
        <v>18</v>
      </c>
      <c r="W438">
        <v>6</v>
      </c>
      <c r="X438">
        <v>9</v>
      </c>
      <c r="Y438">
        <v>14</v>
      </c>
      <c r="Z438">
        <v>16</v>
      </c>
      <c r="AA438">
        <v>22</v>
      </c>
      <c r="AB438">
        <v>7</v>
      </c>
      <c r="AC438">
        <v>2</v>
      </c>
      <c r="AD438">
        <v>4</v>
      </c>
      <c r="AE438">
        <v>1</v>
      </c>
      <c r="AF438">
        <v>11</v>
      </c>
      <c r="AG438">
        <v>17</v>
      </c>
      <c r="AH438">
        <v>12</v>
      </c>
      <c r="AI438">
        <v>13</v>
      </c>
      <c r="AJ438">
        <v>15</v>
      </c>
      <c r="AK438">
        <v>21</v>
      </c>
      <c r="AL438">
        <v>24</v>
      </c>
      <c r="AM438">
        <v>23</v>
      </c>
      <c r="AN438">
        <v>5</v>
      </c>
      <c r="AO438">
        <v>20</v>
      </c>
      <c r="AP438">
        <v>8</v>
      </c>
      <c r="AQ438">
        <v>19</v>
      </c>
      <c r="AR438">
        <v>10</v>
      </c>
      <c r="AS438">
        <v>3</v>
      </c>
    </row>
    <row r="439" spans="1:45" x14ac:dyDescent="0.25">
      <c r="A439">
        <v>37</v>
      </c>
      <c r="B439" t="s">
        <v>396</v>
      </c>
      <c r="E439" t="s">
        <v>398</v>
      </c>
      <c r="K439">
        <f>Scores_and_Fixtures[[#This Row],[Wk]]</f>
        <v>37</v>
      </c>
      <c r="L439" t="str">
        <f>Scores_and_Fixtures[[#This Row],[Home]]</f>
        <v>Southampton</v>
      </c>
      <c r="M439">
        <f ca="1">IF(ISBLANK(Scores_and_Fixtures[[#This Row],[Home Score]])=FALSE,Scores_and_Fixtures[[#This Row],[Home Score]],_xlfn.BINOM.INV(10000,(VLOOKUP(L439,$CK$4:$CM$27,2,FALSE)*VLOOKUP(O439,$CK$4:$CM$27,3,FALSE)*($CM$2/2))/10000,RAND()))</f>
        <v>1</v>
      </c>
      <c r="N439">
        <f ca="1">IF(ISBLANK(Scores_and_Fixtures[[#This Row],[Away Score]])=FALSE,Scores_and_Fixtures[[#This Row],[Away Score]],_xlfn.BINOM.INV(10000,(VLOOKUP(O439,$CK$4:$CM$27,2,FALSE)*VLOOKUP(L439,$CK$4:$CM$27,3,FALSE)*($CM$2/2))/10000,RAND()))</f>
        <v>4</v>
      </c>
      <c r="O439" t="str">
        <f>Scores_and_Fixtures[[#This Row],[Away]]</f>
        <v>Sunderland</v>
      </c>
      <c r="U439">
        <v>338</v>
      </c>
      <c r="V439">
        <v>12</v>
      </c>
      <c r="W439">
        <v>8</v>
      </c>
      <c r="X439">
        <v>17</v>
      </c>
      <c r="Y439">
        <v>11</v>
      </c>
      <c r="Z439">
        <v>13</v>
      </c>
      <c r="AA439">
        <v>22</v>
      </c>
      <c r="AB439">
        <v>7</v>
      </c>
      <c r="AC439">
        <v>2</v>
      </c>
      <c r="AD439">
        <v>3</v>
      </c>
      <c r="AE439">
        <v>1</v>
      </c>
      <c r="AF439">
        <v>10</v>
      </c>
      <c r="AG439">
        <v>15</v>
      </c>
      <c r="AH439">
        <v>18</v>
      </c>
      <c r="AI439">
        <v>16</v>
      </c>
      <c r="AJ439">
        <v>14</v>
      </c>
      <c r="AK439">
        <v>20</v>
      </c>
      <c r="AL439">
        <v>24</v>
      </c>
      <c r="AM439">
        <v>23</v>
      </c>
      <c r="AN439">
        <v>4</v>
      </c>
      <c r="AO439">
        <v>21</v>
      </c>
      <c r="AP439">
        <v>6</v>
      </c>
      <c r="AQ439">
        <v>19</v>
      </c>
      <c r="AR439">
        <v>5</v>
      </c>
      <c r="AS439">
        <v>9</v>
      </c>
    </row>
    <row r="440" spans="1:45" x14ac:dyDescent="0.25">
      <c r="A440">
        <v>37</v>
      </c>
      <c r="B440" t="s">
        <v>400</v>
      </c>
      <c r="E440" t="s">
        <v>382</v>
      </c>
      <c r="K440">
        <f>Scores_and_Fixtures[[#This Row],[Wk]]</f>
        <v>37</v>
      </c>
      <c r="L440" t="str">
        <f>Scores_and_Fixtures[[#This Row],[Home]]</f>
        <v>Watford</v>
      </c>
      <c r="M440">
        <f ca="1">IF(ISBLANK(Scores_and_Fixtures[[#This Row],[Home Score]])=FALSE,Scores_and_Fixtures[[#This Row],[Home Score]],_xlfn.BINOM.INV(10000,(VLOOKUP(L440,$CK$4:$CM$27,2,FALSE)*VLOOKUP(O440,$CK$4:$CM$27,3,FALSE)*($CM$2/2))/10000,RAND()))</f>
        <v>0</v>
      </c>
      <c r="N440">
        <f ca="1">IF(ISBLANK(Scores_and_Fixtures[[#This Row],[Away Score]])=FALSE,Scores_and_Fixtures[[#This Row],[Away Score]],_xlfn.BINOM.INV(10000,(VLOOKUP(O440,$CK$4:$CM$27,2,FALSE)*VLOOKUP(L440,$CK$4:$CM$27,3,FALSE)*($CM$2/2))/10000,RAND()))</f>
        <v>2</v>
      </c>
      <c r="O440" t="str">
        <f>Scores_and_Fixtures[[#This Row],[Away]]</f>
        <v>Coventry City</v>
      </c>
      <c r="U440">
        <v>339</v>
      </c>
      <c r="V440">
        <v>19</v>
      </c>
      <c r="W440">
        <v>13</v>
      </c>
      <c r="X440">
        <v>17</v>
      </c>
      <c r="Y440">
        <v>12</v>
      </c>
      <c r="Z440">
        <v>15</v>
      </c>
      <c r="AA440">
        <v>22</v>
      </c>
      <c r="AB440">
        <v>6</v>
      </c>
      <c r="AC440">
        <v>3</v>
      </c>
      <c r="AD440">
        <v>2</v>
      </c>
      <c r="AE440">
        <v>1</v>
      </c>
      <c r="AF440">
        <v>9</v>
      </c>
      <c r="AG440">
        <v>18</v>
      </c>
      <c r="AH440">
        <v>11</v>
      </c>
      <c r="AI440">
        <v>10</v>
      </c>
      <c r="AJ440">
        <v>14</v>
      </c>
      <c r="AK440">
        <v>21</v>
      </c>
      <c r="AL440">
        <v>24</v>
      </c>
      <c r="AM440">
        <v>23</v>
      </c>
      <c r="AN440">
        <v>4</v>
      </c>
      <c r="AO440">
        <v>20</v>
      </c>
      <c r="AP440">
        <v>8</v>
      </c>
      <c r="AQ440">
        <v>16</v>
      </c>
      <c r="AR440">
        <v>7</v>
      </c>
      <c r="AS440">
        <v>5</v>
      </c>
    </row>
    <row r="441" spans="1:45" x14ac:dyDescent="0.25">
      <c r="A441">
        <v>37</v>
      </c>
      <c r="B441" t="s">
        <v>381</v>
      </c>
      <c r="E441" t="s">
        <v>385</v>
      </c>
      <c r="K441">
        <f>Scores_and_Fixtures[[#This Row],[Wk]]</f>
        <v>37</v>
      </c>
      <c r="L441" t="str">
        <f>Scores_and_Fixtures[[#This Row],[Home]]</f>
        <v>Cardiff City</v>
      </c>
      <c r="M441">
        <f ca="1">IF(ISBLANK(Scores_and_Fixtures[[#This Row],[Home Score]])=FALSE,Scores_and_Fixtures[[#This Row],[Home Score]],_xlfn.BINOM.INV(10000,(VLOOKUP(L441,$CK$4:$CM$27,2,FALSE)*VLOOKUP(O441,$CK$4:$CM$27,3,FALSE)*($CM$2/2))/10000,RAND()))</f>
        <v>1</v>
      </c>
      <c r="N441">
        <f ca="1">IF(ISBLANK(Scores_and_Fixtures[[#This Row],[Away Score]])=FALSE,Scores_and_Fixtures[[#This Row],[Away Score]],_xlfn.BINOM.INV(10000,(VLOOKUP(O441,$CK$4:$CM$27,2,FALSE)*VLOOKUP(L441,$CK$4:$CM$27,3,FALSE)*($CM$2/2))/10000,RAND()))</f>
        <v>1</v>
      </c>
      <c r="O441" t="str">
        <f>Scores_and_Fixtures[[#This Row],[Away]]</f>
        <v>Ipswich Town</v>
      </c>
      <c r="U441">
        <v>340</v>
      </c>
      <c r="V441">
        <v>12</v>
      </c>
      <c r="W441">
        <v>13</v>
      </c>
      <c r="X441">
        <v>17</v>
      </c>
      <c r="Y441">
        <v>9</v>
      </c>
      <c r="Z441">
        <v>11</v>
      </c>
      <c r="AA441">
        <v>20</v>
      </c>
      <c r="AB441">
        <v>4</v>
      </c>
      <c r="AC441">
        <v>2</v>
      </c>
      <c r="AD441">
        <v>3</v>
      </c>
      <c r="AE441">
        <v>1</v>
      </c>
      <c r="AF441">
        <v>8</v>
      </c>
      <c r="AG441">
        <v>19</v>
      </c>
      <c r="AH441">
        <v>10</v>
      </c>
      <c r="AI441">
        <v>15</v>
      </c>
      <c r="AJ441">
        <v>16</v>
      </c>
      <c r="AK441">
        <v>22</v>
      </c>
      <c r="AL441">
        <v>24</v>
      </c>
      <c r="AM441">
        <v>23</v>
      </c>
      <c r="AN441">
        <v>5</v>
      </c>
      <c r="AO441">
        <v>21</v>
      </c>
      <c r="AP441">
        <v>14</v>
      </c>
      <c r="AQ441">
        <v>18</v>
      </c>
      <c r="AR441">
        <v>7</v>
      </c>
      <c r="AS441">
        <v>6</v>
      </c>
    </row>
    <row r="442" spans="1:45" x14ac:dyDescent="0.25">
      <c r="A442">
        <v>37</v>
      </c>
      <c r="B442" t="s">
        <v>393</v>
      </c>
      <c r="E442" t="s">
        <v>388</v>
      </c>
      <c r="K442">
        <f>Scores_and_Fixtures[[#This Row],[Wk]]</f>
        <v>37</v>
      </c>
      <c r="L442" t="str">
        <f>Scores_and_Fixtures[[#This Row],[Home]]</f>
        <v>QPR</v>
      </c>
      <c r="M442">
        <f ca="1">IF(ISBLANK(Scores_and_Fixtures[[#This Row],[Home Score]])=FALSE,Scores_and_Fixtures[[#This Row],[Home Score]],_xlfn.BINOM.INV(10000,(VLOOKUP(L442,$CK$4:$CM$27,2,FALSE)*VLOOKUP(O442,$CK$4:$CM$27,3,FALSE)*($CM$2/2))/10000,RAND()))</f>
        <v>3</v>
      </c>
      <c r="N442">
        <f ca="1">IF(ISBLANK(Scores_and_Fixtures[[#This Row],[Away Score]])=FALSE,Scores_and_Fixtures[[#This Row],[Away Score]],_xlfn.BINOM.INV(10000,(VLOOKUP(O442,$CK$4:$CM$27,2,FALSE)*VLOOKUP(L442,$CK$4:$CM$27,3,FALSE)*($CM$2/2))/10000,RAND()))</f>
        <v>2</v>
      </c>
      <c r="O442" t="str">
        <f>Scores_and_Fixtures[[#This Row],[Away]]</f>
        <v>Middlesbrough</v>
      </c>
      <c r="U442">
        <v>341</v>
      </c>
      <c r="V442">
        <v>15</v>
      </c>
      <c r="W442">
        <v>8</v>
      </c>
      <c r="X442">
        <v>13</v>
      </c>
      <c r="Y442">
        <v>6</v>
      </c>
      <c r="Z442">
        <v>16</v>
      </c>
      <c r="AA442">
        <v>22</v>
      </c>
      <c r="AB442">
        <v>4</v>
      </c>
      <c r="AC442">
        <v>2</v>
      </c>
      <c r="AD442">
        <v>3</v>
      </c>
      <c r="AE442">
        <v>1</v>
      </c>
      <c r="AF442">
        <v>11</v>
      </c>
      <c r="AG442">
        <v>18</v>
      </c>
      <c r="AH442">
        <v>12</v>
      </c>
      <c r="AI442">
        <v>20</v>
      </c>
      <c r="AJ442">
        <v>17</v>
      </c>
      <c r="AK442">
        <v>23</v>
      </c>
      <c r="AL442">
        <v>24</v>
      </c>
      <c r="AM442">
        <v>21</v>
      </c>
      <c r="AN442">
        <v>5</v>
      </c>
      <c r="AO442">
        <v>19</v>
      </c>
      <c r="AP442">
        <v>10</v>
      </c>
      <c r="AQ442">
        <v>14</v>
      </c>
      <c r="AR442">
        <v>9</v>
      </c>
      <c r="AS442">
        <v>7</v>
      </c>
    </row>
    <row r="443" spans="1:45" x14ac:dyDescent="0.25">
      <c r="A443">
        <v>37</v>
      </c>
      <c r="B443" t="s">
        <v>389</v>
      </c>
      <c r="E443" t="s">
        <v>378</v>
      </c>
      <c r="K443">
        <f>Scores_and_Fixtures[[#This Row],[Wk]]</f>
        <v>37</v>
      </c>
      <c r="L443" t="str">
        <f>Scores_and_Fixtures[[#This Row],[Home]]</f>
        <v>Millwall</v>
      </c>
      <c r="M443">
        <f ca="1">IF(ISBLANK(Scores_and_Fixtures[[#This Row],[Home Score]])=FALSE,Scores_and_Fixtures[[#This Row],[Home Score]],_xlfn.BINOM.INV(10000,(VLOOKUP(L443,$CK$4:$CM$27,2,FALSE)*VLOOKUP(O443,$CK$4:$CM$27,3,FALSE)*($CM$2/2))/10000,RAND()))</f>
        <v>2</v>
      </c>
      <c r="N443">
        <f ca="1">IF(ISBLANK(Scores_and_Fixtures[[#This Row],[Away Score]])=FALSE,Scores_and_Fixtures[[#This Row],[Away Score]],_xlfn.BINOM.INV(10000,(VLOOKUP(O443,$CK$4:$CM$27,2,FALSE)*VLOOKUP(L443,$CK$4:$CM$27,3,FALSE)*($CM$2/2))/10000,RAND()))</f>
        <v>1</v>
      </c>
      <c r="O443" t="str">
        <f>Scores_and_Fixtures[[#This Row],[Away]]</f>
        <v>Birmingham City</v>
      </c>
      <c r="U443">
        <v>342</v>
      </c>
      <c r="V443">
        <v>15</v>
      </c>
      <c r="W443">
        <v>9</v>
      </c>
      <c r="X443">
        <v>13</v>
      </c>
      <c r="Y443">
        <v>11</v>
      </c>
      <c r="Z443">
        <v>16</v>
      </c>
      <c r="AA443">
        <v>22</v>
      </c>
      <c r="AB443">
        <v>6</v>
      </c>
      <c r="AC443">
        <v>2</v>
      </c>
      <c r="AD443">
        <v>4</v>
      </c>
      <c r="AE443">
        <v>1</v>
      </c>
      <c r="AF443">
        <v>12</v>
      </c>
      <c r="AG443">
        <v>18</v>
      </c>
      <c r="AH443">
        <v>10</v>
      </c>
      <c r="AI443">
        <v>19</v>
      </c>
      <c r="AJ443">
        <v>14</v>
      </c>
      <c r="AK443">
        <v>21</v>
      </c>
      <c r="AL443">
        <v>24</v>
      </c>
      <c r="AM443">
        <v>23</v>
      </c>
      <c r="AN443">
        <v>3</v>
      </c>
      <c r="AO443">
        <v>20</v>
      </c>
      <c r="AP443">
        <v>7</v>
      </c>
      <c r="AQ443">
        <v>17</v>
      </c>
      <c r="AR443">
        <v>8</v>
      </c>
      <c r="AS443">
        <v>5</v>
      </c>
    </row>
    <row r="444" spans="1:45" x14ac:dyDescent="0.25">
      <c r="A444">
        <v>37</v>
      </c>
      <c r="B444" t="s">
        <v>384</v>
      </c>
      <c r="E444" t="s">
        <v>387</v>
      </c>
      <c r="K444">
        <f>Scores_and_Fixtures[[#This Row],[Wk]]</f>
        <v>37</v>
      </c>
      <c r="L444" t="str">
        <f>Scores_and_Fixtures[[#This Row],[Home]]</f>
        <v>Hull City</v>
      </c>
      <c r="M444">
        <f ca="1">IF(ISBLANK(Scores_and_Fixtures[[#This Row],[Home Score]])=FALSE,Scores_and_Fixtures[[#This Row],[Home Score]],_xlfn.BINOM.INV(10000,(VLOOKUP(L444,$CK$4:$CM$27,2,FALSE)*VLOOKUP(O444,$CK$4:$CM$27,3,FALSE)*($CM$2/2))/10000,RAND()))</f>
        <v>0</v>
      </c>
      <c r="N444">
        <f ca="1">IF(ISBLANK(Scores_and_Fixtures[[#This Row],[Away Score]])=FALSE,Scores_and_Fixtures[[#This Row],[Away Score]],_xlfn.BINOM.INV(10000,(VLOOKUP(O444,$CK$4:$CM$27,2,FALSE)*VLOOKUP(L444,$CK$4:$CM$27,3,FALSE)*($CM$2/2))/10000,RAND()))</f>
        <v>3</v>
      </c>
      <c r="O444" t="str">
        <f>Scores_and_Fixtures[[#This Row],[Away]]</f>
        <v>Leicester City</v>
      </c>
      <c r="U444">
        <v>343</v>
      </c>
      <c r="V444">
        <v>20</v>
      </c>
      <c r="W444">
        <v>8</v>
      </c>
      <c r="X444">
        <v>13</v>
      </c>
      <c r="Y444">
        <v>7</v>
      </c>
      <c r="Z444">
        <v>9</v>
      </c>
      <c r="AA444">
        <v>22</v>
      </c>
      <c r="AB444">
        <v>6</v>
      </c>
      <c r="AC444">
        <v>2</v>
      </c>
      <c r="AD444">
        <v>3</v>
      </c>
      <c r="AE444">
        <v>1</v>
      </c>
      <c r="AF444">
        <v>11</v>
      </c>
      <c r="AG444">
        <v>18</v>
      </c>
      <c r="AH444">
        <v>14</v>
      </c>
      <c r="AI444">
        <v>17</v>
      </c>
      <c r="AJ444">
        <v>16</v>
      </c>
      <c r="AK444">
        <v>21</v>
      </c>
      <c r="AL444">
        <v>24</v>
      </c>
      <c r="AM444">
        <v>23</v>
      </c>
      <c r="AN444">
        <v>5</v>
      </c>
      <c r="AO444">
        <v>19</v>
      </c>
      <c r="AP444">
        <v>12</v>
      </c>
      <c r="AQ444">
        <v>15</v>
      </c>
      <c r="AR444">
        <v>10</v>
      </c>
      <c r="AS444">
        <v>4</v>
      </c>
    </row>
    <row r="445" spans="1:45" x14ac:dyDescent="0.25">
      <c r="A445">
        <v>37</v>
      </c>
      <c r="B445" t="s">
        <v>379</v>
      </c>
      <c r="E445" t="s">
        <v>391</v>
      </c>
      <c r="K445">
        <f>Scores_and_Fixtures[[#This Row],[Wk]]</f>
        <v>37</v>
      </c>
      <c r="L445" t="str">
        <f>Scores_and_Fixtures[[#This Row],[Home]]</f>
        <v>Blackburn</v>
      </c>
      <c r="M445">
        <f ca="1">IF(ISBLANK(Scores_and_Fixtures[[#This Row],[Home Score]])=FALSE,Scores_and_Fixtures[[#This Row],[Home Score]],_xlfn.BINOM.INV(10000,(VLOOKUP(L445,$CK$4:$CM$27,2,FALSE)*VLOOKUP(O445,$CK$4:$CM$27,3,FALSE)*($CM$2/2))/10000,RAND()))</f>
        <v>2</v>
      </c>
      <c r="N445">
        <f ca="1">IF(ISBLANK(Scores_and_Fixtures[[#This Row],[Away Score]])=FALSE,Scores_and_Fixtures[[#This Row],[Away Score]],_xlfn.BINOM.INV(10000,(VLOOKUP(O445,$CK$4:$CM$27,2,FALSE)*VLOOKUP(L445,$CK$4:$CM$27,3,FALSE)*($CM$2/2))/10000,RAND()))</f>
        <v>2</v>
      </c>
      <c r="O445" t="str">
        <f>Scores_and_Fixtures[[#This Row],[Away]]</f>
        <v>Plymouth Argyle</v>
      </c>
      <c r="U445">
        <v>344</v>
      </c>
      <c r="V445">
        <v>16</v>
      </c>
      <c r="W445">
        <v>9</v>
      </c>
      <c r="X445">
        <v>13</v>
      </c>
      <c r="Y445">
        <v>11</v>
      </c>
      <c r="Z445">
        <v>17</v>
      </c>
      <c r="AA445">
        <v>22</v>
      </c>
      <c r="AB445">
        <v>7</v>
      </c>
      <c r="AC445">
        <v>2</v>
      </c>
      <c r="AD445">
        <v>3</v>
      </c>
      <c r="AE445">
        <v>1</v>
      </c>
      <c r="AF445">
        <v>8</v>
      </c>
      <c r="AG445">
        <v>19</v>
      </c>
      <c r="AH445">
        <v>12</v>
      </c>
      <c r="AI445">
        <v>18</v>
      </c>
      <c r="AJ445">
        <v>14</v>
      </c>
      <c r="AK445">
        <v>21</v>
      </c>
      <c r="AL445">
        <v>24</v>
      </c>
      <c r="AM445">
        <v>23</v>
      </c>
      <c r="AN445">
        <v>4</v>
      </c>
      <c r="AO445">
        <v>20</v>
      </c>
      <c r="AP445">
        <v>10</v>
      </c>
      <c r="AQ445">
        <v>15</v>
      </c>
      <c r="AR445">
        <v>6</v>
      </c>
      <c r="AS445">
        <v>5</v>
      </c>
    </row>
    <row r="446" spans="1:45" x14ac:dyDescent="0.25">
      <c r="A446">
        <v>38</v>
      </c>
      <c r="B446" t="s">
        <v>388</v>
      </c>
      <c r="E446" t="s">
        <v>379</v>
      </c>
      <c r="K446">
        <f>Scores_and_Fixtures[[#This Row],[Wk]]</f>
        <v>38</v>
      </c>
      <c r="L446" t="str">
        <f>Scores_and_Fixtures[[#This Row],[Home]]</f>
        <v>Middlesbrough</v>
      </c>
      <c r="M446">
        <f ca="1">IF(ISBLANK(Scores_and_Fixtures[[#This Row],[Home Score]])=FALSE,Scores_and_Fixtures[[#This Row],[Home Score]],_xlfn.BINOM.INV(10000,(VLOOKUP(L446,$CK$4:$CM$27,2,FALSE)*VLOOKUP(O446,$CK$4:$CM$27,3,FALSE)*($CM$2/2))/10000,RAND()))</f>
        <v>0</v>
      </c>
      <c r="N446">
        <f ca="1">IF(ISBLANK(Scores_and_Fixtures[[#This Row],[Away Score]])=FALSE,Scores_and_Fixtures[[#This Row],[Away Score]],_xlfn.BINOM.INV(10000,(VLOOKUP(O446,$CK$4:$CM$27,2,FALSE)*VLOOKUP(L446,$CK$4:$CM$27,3,FALSE)*($CM$2/2))/10000,RAND()))</f>
        <v>1</v>
      </c>
      <c r="O446" t="str">
        <f>Scores_and_Fixtures[[#This Row],[Away]]</f>
        <v>Blackburn</v>
      </c>
      <c r="U446">
        <v>345</v>
      </c>
      <c r="V446">
        <v>18</v>
      </c>
      <c r="W446">
        <v>6</v>
      </c>
      <c r="X446">
        <v>17</v>
      </c>
      <c r="Y446">
        <v>12</v>
      </c>
      <c r="Z446">
        <v>11</v>
      </c>
      <c r="AA446">
        <v>19</v>
      </c>
      <c r="AB446">
        <v>4</v>
      </c>
      <c r="AC446">
        <v>2</v>
      </c>
      <c r="AD446">
        <v>5</v>
      </c>
      <c r="AE446">
        <v>1</v>
      </c>
      <c r="AF446">
        <v>13</v>
      </c>
      <c r="AG446">
        <v>21</v>
      </c>
      <c r="AH446">
        <v>9</v>
      </c>
      <c r="AI446">
        <v>15</v>
      </c>
      <c r="AJ446">
        <v>8</v>
      </c>
      <c r="AK446">
        <v>22</v>
      </c>
      <c r="AL446">
        <v>24</v>
      </c>
      <c r="AM446">
        <v>23</v>
      </c>
      <c r="AN446">
        <v>3</v>
      </c>
      <c r="AO446">
        <v>20</v>
      </c>
      <c r="AP446">
        <v>10</v>
      </c>
      <c r="AQ446">
        <v>16</v>
      </c>
      <c r="AR446">
        <v>7</v>
      </c>
      <c r="AS446">
        <v>14</v>
      </c>
    </row>
    <row r="447" spans="1:45" x14ac:dyDescent="0.25">
      <c r="A447">
        <v>38</v>
      </c>
      <c r="B447" t="s">
        <v>394</v>
      </c>
      <c r="E447" t="s">
        <v>383</v>
      </c>
      <c r="K447">
        <f>Scores_and_Fixtures[[#This Row],[Wk]]</f>
        <v>38</v>
      </c>
      <c r="L447" t="str">
        <f>Scores_and_Fixtures[[#This Row],[Home]]</f>
        <v>Rotherham Utd</v>
      </c>
      <c r="M447">
        <f ca="1">IF(ISBLANK(Scores_and_Fixtures[[#This Row],[Home Score]])=FALSE,Scores_and_Fixtures[[#This Row],[Home Score]],_xlfn.BINOM.INV(10000,(VLOOKUP(L447,$CK$4:$CM$27,2,FALSE)*VLOOKUP(O447,$CK$4:$CM$27,3,FALSE)*($CM$2/2))/10000,RAND()))</f>
        <v>2</v>
      </c>
      <c r="N447">
        <f ca="1">IF(ISBLANK(Scores_and_Fixtures[[#This Row],[Away Score]])=FALSE,Scores_and_Fixtures[[#This Row],[Away Score]],_xlfn.BINOM.INV(10000,(VLOOKUP(O447,$CK$4:$CM$27,2,FALSE)*VLOOKUP(L447,$CK$4:$CM$27,3,FALSE)*($CM$2/2))/10000,RAND()))</f>
        <v>0</v>
      </c>
      <c r="O447" t="str">
        <f>Scores_and_Fixtures[[#This Row],[Away]]</f>
        <v>Huddersfield</v>
      </c>
      <c r="U447">
        <v>346</v>
      </c>
      <c r="V447">
        <v>9</v>
      </c>
      <c r="W447">
        <v>16</v>
      </c>
      <c r="X447">
        <v>12</v>
      </c>
      <c r="Y447">
        <v>10</v>
      </c>
      <c r="Z447">
        <v>18</v>
      </c>
      <c r="AA447">
        <v>22</v>
      </c>
      <c r="AB447">
        <v>7</v>
      </c>
      <c r="AC447">
        <v>2</v>
      </c>
      <c r="AD447">
        <v>3</v>
      </c>
      <c r="AE447">
        <v>1</v>
      </c>
      <c r="AF447">
        <v>11</v>
      </c>
      <c r="AG447">
        <v>19</v>
      </c>
      <c r="AH447">
        <v>15</v>
      </c>
      <c r="AI447">
        <v>14</v>
      </c>
      <c r="AJ447">
        <v>17</v>
      </c>
      <c r="AK447">
        <v>21</v>
      </c>
      <c r="AL447">
        <v>24</v>
      </c>
      <c r="AM447">
        <v>23</v>
      </c>
      <c r="AN447">
        <v>4</v>
      </c>
      <c r="AO447">
        <v>20</v>
      </c>
      <c r="AP447">
        <v>6</v>
      </c>
      <c r="AQ447">
        <v>13</v>
      </c>
      <c r="AR447">
        <v>5</v>
      </c>
      <c r="AS447">
        <v>8</v>
      </c>
    </row>
    <row r="448" spans="1:45" x14ac:dyDescent="0.25">
      <c r="A448">
        <v>38</v>
      </c>
      <c r="B448" t="s">
        <v>385</v>
      </c>
      <c r="E448" t="s">
        <v>395</v>
      </c>
      <c r="K448">
        <f>Scores_and_Fixtures[[#This Row],[Wk]]</f>
        <v>38</v>
      </c>
      <c r="L448" t="str">
        <f>Scores_and_Fixtures[[#This Row],[Home]]</f>
        <v>Ipswich Town</v>
      </c>
      <c r="M448">
        <f ca="1">IF(ISBLANK(Scores_and_Fixtures[[#This Row],[Home Score]])=FALSE,Scores_and_Fixtures[[#This Row],[Home Score]],_xlfn.BINOM.INV(10000,(VLOOKUP(L448,$CK$4:$CM$27,2,FALSE)*VLOOKUP(O448,$CK$4:$CM$27,3,FALSE)*($CM$2/2))/10000,RAND()))</f>
        <v>2</v>
      </c>
      <c r="N448">
        <f ca="1">IF(ISBLANK(Scores_and_Fixtures[[#This Row],[Away Score]])=FALSE,Scores_and_Fixtures[[#This Row],[Away Score]],_xlfn.BINOM.INV(10000,(VLOOKUP(O448,$CK$4:$CM$27,2,FALSE)*VLOOKUP(L448,$CK$4:$CM$27,3,FALSE)*($CM$2/2))/10000,RAND()))</f>
        <v>0</v>
      </c>
      <c r="O448" t="str">
        <f>Scores_and_Fixtures[[#This Row],[Away]]</f>
        <v>Sheffield Weds</v>
      </c>
      <c r="U448">
        <v>347</v>
      </c>
      <c r="V448">
        <v>16</v>
      </c>
      <c r="W448">
        <v>9</v>
      </c>
      <c r="X448">
        <v>12</v>
      </c>
      <c r="Y448">
        <v>15</v>
      </c>
      <c r="Z448">
        <v>13</v>
      </c>
      <c r="AA448">
        <v>21</v>
      </c>
      <c r="AB448">
        <v>5</v>
      </c>
      <c r="AC448">
        <v>2</v>
      </c>
      <c r="AD448">
        <v>3</v>
      </c>
      <c r="AE448">
        <v>1</v>
      </c>
      <c r="AF448">
        <v>14</v>
      </c>
      <c r="AG448">
        <v>20</v>
      </c>
      <c r="AH448">
        <v>10</v>
      </c>
      <c r="AI448">
        <v>17</v>
      </c>
      <c r="AJ448">
        <v>11</v>
      </c>
      <c r="AK448">
        <v>19</v>
      </c>
      <c r="AL448">
        <v>24</v>
      </c>
      <c r="AM448">
        <v>23</v>
      </c>
      <c r="AN448">
        <v>4</v>
      </c>
      <c r="AO448">
        <v>22</v>
      </c>
      <c r="AP448">
        <v>6</v>
      </c>
      <c r="AQ448">
        <v>18</v>
      </c>
      <c r="AR448">
        <v>7</v>
      </c>
      <c r="AS448">
        <v>8</v>
      </c>
    </row>
    <row r="449" spans="1:45" x14ac:dyDescent="0.25">
      <c r="A449">
        <v>38</v>
      </c>
      <c r="B449" t="s">
        <v>399</v>
      </c>
      <c r="E449" t="s">
        <v>381</v>
      </c>
      <c r="K449">
        <f>Scores_and_Fixtures[[#This Row],[Wk]]</f>
        <v>38</v>
      </c>
      <c r="L449" t="str">
        <f>Scores_and_Fixtures[[#This Row],[Home]]</f>
        <v>Swansea City</v>
      </c>
      <c r="M449">
        <f ca="1">IF(ISBLANK(Scores_and_Fixtures[[#This Row],[Home Score]])=FALSE,Scores_and_Fixtures[[#This Row],[Home Score]],_xlfn.BINOM.INV(10000,(VLOOKUP(L449,$CK$4:$CM$27,2,FALSE)*VLOOKUP(O449,$CK$4:$CM$27,3,FALSE)*($CM$2/2))/10000,RAND()))</f>
        <v>3</v>
      </c>
      <c r="N449">
        <f ca="1">IF(ISBLANK(Scores_and_Fixtures[[#This Row],[Away Score]])=FALSE,Scores_and_Fixtures[[#This Row],[Away Score]],_xlfn.BINOM.INV(10000,(VLOOKUP(O449,$CK$4:$CM$27,2,FALSE)*VLOOKUP(L449,$CK$4:$CM$27,3,FALSE)*($CM$2/2))/10000,RAND()))</f>
        <v>1</v>
      </c>
      <c r="O449" t="str">
        <f>Scores_and_Fixtures[[#This Row],[Away]]</f>
        <v>Cardiff City</v>
      </c>
      <c r="U449">
        <v>348</v>
      </c>
      <c r="V449">
        <v>11</v>
      </c>
      <c r="W449">
        <v>12</v>
      </c>
      <c r="X449">
        <v>14</v>
      </c>
      <c r="Y449">
        <v>17</v>
      </c>
      <c r="Z449">
        <v>16</v>
      </c>
      <c r="AA449">
        <v>22</v>
      </c>
      <c r="AB449">
        <v>6</v>
      </c>
      <c r="AC449">
        <v>2</v>
      </c>
      <c r="AD449">
        <v>4</v>
      </c>
      <c r="AE449">
        <v>1</v>
      </c>
      <c r="AF449">
        <v>13</v>
      </c>
      <c r="AG449">
        <v>21</v>
      </c>
      <c r="AH449">
        <v>10</v>
      </c>
      <c r="AI449">
        <v>15</v>
      </c>
      <c r="AJ449">
        <v>8</v>
      </c>
      <c r="AK449">
        <v>19</v>
      </c>
      <c r="AL449">
        <v>24</v>
      </c>
      <c r="AM449">
        <v>23</v>
      </c>
      <c r="AN449">
        <v>3</v>
      </c>
      <c r="AO449">
        <v>20</v>
      </c>
      <c r="AP449">
        <v>9</v>
      </c>
      <c r="AQ449">
        <v>18</v>
      </c>
      <c r="AR449">
        <v>7</v>
      </c>
      <c r="AS449">
        <v>5</v>
      </c>
    </row>
    <row r="450" spans="1:45" x14ac:dyDescent="0.25">
      <c r="A450">
        <v>38</v>
      </c>
      <c r="B450" t="s">
        <v>397</v>
      </c>
      <c r="E450" t="s">
        <v>390</v>
      </c>
      <c r="K450">
        <f>Scores_and_Fixtures[[#This Row],[Wk]]</f>
        <v>38</v>
      </c>
      <c r="L450" t="str">
        <f>Scores_and_Fixtures[[#This Row],[Home]]</f>
        <v>Stoke City</v>
      </c>
      <c r="M450">
        <f ca="1">IF(ISBLANK(Scores_and_Fixtures[[#This Row],[Home Score]])=FALSE,Scores_and_Fixtures[[#This Row],[Home Score]],_xlfn.BINOM.INV(10000,(VLOOKUP(L450,$CK$4:$CM$27,2,FALSE)*VLOOKUP(O450,$CK$4:$CM$27,3,FALSE)*($CM$2/2))/10000,RAND()))</f>
        <v>3</v>
      </c>
      <c r="N450">
        <f ca="1">IF(ISBLANK(Scores_and_Fixtures[[#This Row],[Away Score]])=FALSE,Scores_and_Fixtures[[#This Row],[Away Score]],_xlfn.BINOM.INV(10000,(VLOOKUP(O450,$CK$4:$CM$27,2,FALSE)*VLOOKUP(L450,$CK$4:$CM$27,3,FALSE)*($CM$2/2))/10000,RAND()))</f>
        <v>2</v>
      </c>
      <c r="O450" t="str">
        <f>Scores_and_Fixtures[[#This Row],[Away]]</f>
        <v>Norwich City</v>
      </c>
      <c r="U450">
        <v>349</v>
      </c>
      <c r="V450">
        <v>13</v>
      </c>
      <c r="W450">
        <v>11</v>
      </c>
      <c r="X450">
        <v>19</v>
      </c>
      <c r="Y450">
        <v>15</v>
      </c>
      <c r="Z450">
        <v>14</v>
      </c>
      <c r="AA450">
        <v>21</v>
      </c>
      <c r="AB450">
        <v>3</v>
      </c>
      <c r="AC450">
        <v>2</v>
      </c>
      <c r="AD450">
        <v>4</v>
      </c>
      <c r="AE450">
        <v>1</v>
      </c>
      <c r="AF450">
        <v>10</v>
      </c>
      <c r="AG450">
        <v>17</v>
      </c>
      <c r="AH450">
        <v>7</v>
      </c>
      <c r="AI450">
        <v>18</v>
      </c>
      <c r="AJ450">
        <v>12</v>
      </c>
      <c r="AK450">
        <v>22</v>
      </c>
      <c r="AL450">
        <v>24</v>
      </c>
      <c r="AM450">
        <v>23</v>
      </c>
      <c r="AN450">
        <v>5</v>
      </c>
      <c r="AO450">
        <v>20</v>
      </c>
      <c r="AP450">
        <v>9</v>
      </c>
      <c r="AQ450">
        <v>16</v>
      </c>
      <c r="AR450">
        <v>8</v>
      </c>
      <c r="AS450">
        <v>6</v>
      </c>
    </row>
    <row r="451" spans="1:45" x14ac:dyDescent="0.25">
      <c r="A451">
        <v>38</v>
      </c>
      <c r="B451" t="s">
        <v>391</v>
      </c>
      <c r="E451" t="s">
        <v>392</v>
      </c>
      <c r="K451">
        <f>Scores_and_Fixtures[[#This Row],[Wk]]</f>
        <v>38</v>
      </c>
      <c r="L451" t="str">
        <f>Scores_and_Fixtures[[#This Row],[Home]]</f>
        <v>Plymouth Argyle</v>
      </c>
      <c r="M451">
        <f ca="1">IF(ISBLANK(Scores_and_Fixtures[[#This Row],[Home Score]])=FALSE,Scores_and_Fixtures[[#This Row],[Home Score]],_xlfn.BINOM.INV(10000,(VLOOKUP(L451,$CK$4:$CM$27,2,FALSE)*VLOOKUP(O451,$CK$4:$CM$27,3,FALSE)*($CM$2/2))/10000,RAND()))</f>
        <v>4</v>
      </c>
      <c r="N451">
        <f ca="1">IF(ISBLANK(Scores_and_Fixtures[[#This Row],[Away Score]])=FALSE,Scores_and_Fixtures[[#This Row],[Away Score]],_xlfn.BINOM.INV(10000,(VLOOKUP(O451,$CK$4:$CM$27,2,FALSE)*VLOOKUP(L451,$CK$4:$CM$27,3,FALSE)*($CM$2/2))/10000,RAND()))</f>
        <v>0</v>
      </c>
      <c r="O451" t="str">
        <f>Scores_and_Fixtures[[#This Row],[Away]]</f>
        <v>Preston</v>
      </c>
      <c r="U451">
        <v>350</v>
      </c>
      <c r="V451">
        <v>12</v>
      </c>
      <c r="W451">
        <v>15</v>
      </c>
      <c r="X451">
        <v>13</v>
      </c>
      <c r="Y451">
        <v>6</v>
      </c>
      <c r="Z451">
        <v>16</v>
      </c>
      <c r="AA451">
        <v>20</v>
      </c>
      <c r="AB451">
        <v>5</v>
      </c>
      <c r="AC451">
        <v>2</v>
      </c>
      <c r="AD451">
        <v>4</v>
      </c>
      <c r="AE451">
        <v>1</v>
      </c>
      <c r="AF451">
        <v>9</v>
      </c>
      <c r="AG451">
        <v>22</v>
      </c>
      <c r="AH451">
        <v>14</v>
      </c>
      <c r="AI451">
        <v>19</v>
      </c>
      <c r="AJ451">
        <v>11</v>
      </c>
      <c r="AK451">
        <v>18</v>
      </c>
      <c r="AL451">
        <v>24</v>
      </c>
      <c r="AM451">
        <v>23</v>
      </c>
      <c r="AN451">
        <v>3</v>
      </c>
      <c r="AO451">
        <v>21</v>
      </c>
      <c r="AP451">
        <v>8</v>
      </c>
      <c r="AQ451">
        <v>17</v>
      </c>
      <c r="AR451">
        <v>7</v>
      </c>
      <c r="AS451">
        <v>10</v>
      </c>
    </row>
    <row r="452" spans="1:45" x14ac:dyDescent="0.25">
      <c r="A452">
        <v>38</v>
      </c>
      <c r="B452" t="s">
        <v>378</v>
      </c>
      <c r="E452" t="s">
        <v>400</v>
      </c>
      <c r="K452">
        <f>Scores_and_Fixtures[[#This Row],[Wk]]</f>
        <v>38</v>
      </c>
      <c r="L452" t="str">
        <f>Scores_and_Fixtures[[#This Row],[Home]]</f>
        <v>Birmingham City</v>
      </c>
      <c r="M452">
        <f ca="1">IF(ISBLANK(Scores_and_Fixtures[[#This Row],[Home Score]])=FALSE,Scores_and_Fixtures[[#This Row],[Home Score]],_xlfn.BINOM.INV(10000,(VLOOKUP(L452,$CK$4:$CM$27,2,FALSE)*VLOOKUP(O452,$CK$4:$CM$27,3,FALSE)*($CM$2/2))/10000,RAND()))</f>
        <v>1</v>
      </c>
      <c r="N452">
        <f ca="1">IF(ISBLANK(Scores_and_Fixtures[[#This Row],[Away Score]])=FALSE,Scores_and_Fixtures[[#This Row],[Away Score]],_xlfn.BINOM.INV(10000,(VLOOKUP(O452,$CK$4:$CM$27,2,FALSE)*VLOOKUP(L452,$CK$4:$CM$27,3,FALSE)*($CM$2/2))/10000,RAND()))</f>
        <v>1</v>
      </c>
      <c r="O452" t="str">
        <f>Scores_and_Fixtures[[#This Row],[Away]]</f>
        <v>Watford</v>
      </c>
      <c r="U452">
        <v>351</v>
      </c>
      <c r="V452">
        <v>13</v>
      </c>
      <c r="W452">
        <v>21</v>
      </c>
      <c r="X452">
        <v>14</v>
      </c>
      <c r="Y452">
        <v>8</v>
      </c>
      <c r="Z452">
        <v>7</v>
      </c>
      <c r="AA452">
        <v>19</v>
      </c>
      <c r="AB452">
        <v>6</v>
      </c>
      <c r="AC452">
        <v>1</v>
      </c>
      <c r="AD452">
        <v>4</v>
      </c>
      <c r="AE452">
        <v>2</v>
      </c>
      <c r="AF452">
        <v>12</v>
      </c>
      <c r="AG452">
        <v>18</v>
      </c>
      <c r="AH452">
        <v>15</v>
      </c>
      <c r="AI452">
        <v>16</v>
      </c>
      <c r="AJ452">
        <v>17</v>
      </c>
      <c r="AK452">
        <v>22</v>
      </c>
      <c r="AL452">
        <v>24</v>
      </c>
      <c r="AM452">
        <v>23</v>
      </c>
      <c r="AN452">
        <v>5</v>
      </c>
      <c r="AO452">
        <v>20</v>
      </c>
      <c r="AP452">
        <v>9</v>
      </c>
      <c r="AQ452">
        <v>11</v>
      </c>
      <c r="AR452">
        <v>10</v>
      </c>
      <c r="AS452">
        <v>3</v>
      </c>
    </row>
    <row r="453" spans="1:45" x14ac:dyDescent="0.25">
      <c r="A453">
        <v>38</v>
      </c>
      <c r="B453" t="s">
        <v>382</v>
      </c>
      <c r="E453" t="s">
        <v>384</v>
      </c>
      <c r="K453">
        <f>Scores_and_Fixtures[[#This Row],[Wk]]</f>
        <v>38</v>
      </c>
      <c r="L453" t="str">
        <f>Scores_and_Fixtures[[#This Row],[Home]]</f>
        <v>Coventry City</v>
      </c>
      <c r="M453">
        <f ca="1">IF(ISBLANK(Scores_and_Fixtures[[#This Row],[Home Score]])=FALSE,Scores_and_Fixtures[[#This Row],[Home Score]],_xlfn.BINOM.INV(10000,(VLOOKUP(L453,$CK$4:$CM$27,2,FALSE)*VLOOKUP(O453,$CK$4:$CM$27,3,FALSE)*($CM$2/2))/10000,RAND()))</f>
        <v>0</v>
      </c>
      <c r="N453">
        <f ca="1">IF(ISBLANK(Scores_and_Fixtures[[#This Row],[Away Score]])=FALSE,Scores_and_Fixtures[[#This Row],[Away Score]],_xlfn.BINOM.INV(10000,(VLOOKUP(O453,$CK$4:$CM$27,2,FALSE)*VLOOKUP(L453,$CK$4:$CM$27,3,FALSE)*($CM$2/2))/10000,RAND()))</f>
        <v>3</v>
      </c>
      <c r="O453" t="str">
        <f>Scores_and_Fixtures[[#This Row],[Away]]</f>
        <v>Hull City</v>
      </c>
      <c r="U453">
        <v>352</v>
      </c>
      <c r="V453">
        <v>11</v>
      </c>
      <c r="W453">
        <v>15</v>
      </c>
      <c r="X453">
        <v>18</v>
      </c>
      <c r="Y453">
        <v>9</v>
      </c>
      <c r="Z453">
        <v>13</v>
      </c>
      <c r="AA453">
        <v>21</v>
      </c>
      <c r="AB453">
        <v>6</v>
      </c>
      <c r="AC453">
        <v>3</v>
      </c>
      <c r="AD453">
        <v>2</v>
      </c>
      <c r="AE453">
        <v>1</v>
      </c>
      <c r="AF453">
        <v>10</v>
      </c>
      <c r="AG453">
        <v>16</v>
      </c>
      <c r="AH453">
        <v>14</v>
      </c>
      <c r="AI453">
        <v>19</v>
      </c>
      <c r="AJ453">
        <v>12</v>
      </c>
      <c r="AK453">
        <v>20</v>
      </c>
      <c r="AL453">
        <v>24</v>
      </c>
      <c r="AM453">
        <v>23</v>
      </c>
      <c r="AN453">
        <v>4</v>
      </c>
      <c r="AO453">
        <v>22</v>
      </c>
      <c r="AP453">
        <v>8</v>
      </c>
      <c r="AQ453">
        <v>17</v>
      </c>
      <c r="AR453">
        <v>7</v>
      </c>
      <c r="AS453">
        <v>5</v>
      </c>
    </row>
    <row r="454" spans="1:45" x14ac:dyDescent="0.25">
      <c r="A454">
        <v>38</v>
      </c>
      <c r="B454" t="s">
        <v>386</v>
      </c>
      <c r="E454" t="s">
        <v>389</v>
      </c>
      <c r="K454">
        <f>Scores_and_Fixtures[[#This Row],[Wk]]</f>
        <v>38</v>
      </c>
      <c r="L454" t="str">
        <f>Scores_and_Fixtures[[#This Row],[Home]]</f>
        <v>Leeds United</v>
      </c>
      <c r="M454">
        <f ca="1">IF(ISBLANK(Scores_and_Fixtures[[#This Row],[Home Score]])=FALSE,Scores_and_Fixtures[[#This Row],[Home Score]],_xlfn.BINOM.INV(10000,(VLOOKUP(L454,$CK$4:$CM$27,2,FALSE)*VLOOKUP(O454,$CK$4:$CM$27,3,FALSE)*($CM$2/2))/10000,RAND()))</f>
        <v>2</v>
      </c>
      <c r="N454">
        <f ca="1">IF(ISBLANK(Scores_and_Fixtures[[#This Row],[Away Score]])=FALSE,Scores_and_Fixtures[[#This Row],[Away Score]],_xlfn.BINOM.INV(10000,(VLOOKUP(O454,$CK$4:$CM$27,2,FALSE)*VLOOKUP(L454,$CK$4:$CM$27,3,FALSE)*($CM$2/2))/10000,RAND()))</f>
        <v>1</v>
      </c>
      <c r="O454" t="str">
        <f>Scores_and_Fixtures[[#This Row],[Away]]</f>
        <v>Millwall</v>
      </c>
      <c r="U454">
        <v>353</v>
      </c>
      <c r="V454">
        <v>18</v>
      </c>
      <c r="W454">
        <v>12</v>
      </c>
      <c r="X454">
        <v>17</v>
      </c>
      <c r="Y454">
        <v>9</v>
      </c>
      <c r="Z454">
        <v>14</v>
      </c>
      <c r="AA454">
        <v>20</v>
      </c>
      <c r="AB454">
        <v>5</v>
      </c>
      <c r="AC454">
        <v>2</v>
      </c>
      <c r="AD454">
        <v>3</v>
      </c>
      <c r="AE454">
        <v>1</v>
      </c>
      <c r="AF454">
        <v>10</v>
      </c>
      <c r="AG454">
        <v>21</v>
      </c>
      <c r="AH454">
        <v>8</v>
      </c>
      <c r="AI454">
        <v>16</v>
      </c>
      <c r="AJ454">
        <v>13</v>
      </c>
      <c r="AK454">
        <v>22</v>
      </c>
      <c r="AL454">
        <v>24</v>
      </c>
      <c r="AM454">
        <v>23</v>
      </c>
      <c r="AN454">
        <v>4</v>
      </c>
      <c r="AO454">
        <v>19</v>
      </c>
      <c r="AP454">
        <v>7</v>
      </c>
      <c r="AQ454">
        <v>15</v>
      </c>
      <c r="AR454">
        <v>6</v>
      </c>
      <c r="AS454">
        <v>11</v>
      </c>
    </row>
    <row r="455" spans="1:45" x14ac:dyDescent="0.25">
      <c r="A455">
        <v>38</v>
      </c>
      <c r="B455" t="s">
        <v>401</v>
      </c>
      <c r="E455" t="s">
        <v>380</v>
      </c>
      <c r="K455">
        <f>Scores_and_Fixtures[[#This Row],[Wk]]</f>
        <v>38</v>
      </c>
      <c r="L455" t="str">
        <f>Scores_and_Fixtures[[#This Row],[Home]]</f>
        <v>West Brom</v>
      </c>
      <c r="M455">
        <f ca="1">IF(ISBLANK(Scores_and_Fixtures[[#This Row],[Home Score]])=FALSE,Scores_and_Fixtures[[#This Row],[Home Score]],_xlfn.BINOM.INV(10000,(VLOOKUP(L455,$CK$4:$CM$27,2,FALSE)*VLOOKUP(O455,$CK$4:$CM$27,3,FALSE)*($CM$2/2))/10000,RAND()))</f>
        <v>0</v>
      </c>
      <c r="N455">
        <f ca="1">IF(ISBLANK(Scores_and_Fixtures[[#This Row],[Away Score]])=FALSE,Scores_and_Fixtures[[#This Row],[Away Score]],_xlfn.BINOM.INV(10000,(VLOOKUP(O455,$CK$4:$CM$27,2,FALSE)*VLOOKUP(L455,$CK$4:$CM$27,3,FALSE)*($CM$2/2))/10000,RAND()))</f>
        <v>2</v>
      </c>
      <c r="O455" t="str">
        <f>Scores_and_Fixtures[[#This Row],[Away]]</f>
        <v>Bristol City</v>
      </c>
      <c r="U455">
        <v>354</v>
      </c>
      <c r="V455">
        <v>13</v>
      </c>
      <c r="W455">
        <v>6</v>
      </c>
      <c r="X455">
        <v>14</v>
      </c>
      <c r="Y455">
        <v>11</v>
      </c>
      <c r="Z455">
        <v>16</v>
      </c>
      <c r="AA455">
        <v>21</v>
      </c>
      <c r="AB455">
        <v>8</v>
      </c>
      <c r="AC455">
        <v>2</v>
      </c>
      <c r="AD455">
        <v>5</v>
      </c>
      <c r="AE455">
        <v>1</v>
      </c>
      <c r="AF455">
        <v>10</v>
      </c>
      <c r="AG455">
        <v>19</v>
      </c>
      <c r="AH455">
        <v>18</v>
      </c>
      <c r="AI455">
        <v>17</v>
      </c>
      <c r="AJ455">
        <v>15</v>
      </c>
      <c r="AK455">
        <v>22</v>
      </c>
      <c r="AL455">
        <v>24</v>
      </c>
      <c r="AM455">
        <v>23</v>
      </c>
      <c r="AN455">
        <v>3</v>
      </c>
      <c r="AO455">
        <v>20</v>
      </c>
      <c r="AP455">
        <v>7</v>
      </c>
      <c r="AQ455">
        <v>12</v>
      </c>
      <c r="AR455">
        <v>9</v>
      </c>
      <c r="AS455">
        <v>4</v>
      </c>
    </row>
    <row r="456" spans="1:45" x14ac:dyDescent="0.25">
      <c r="A456">
        <v>38</v>
      </c>
      <c r="B456" t="s">
        <v>398</v>
      </c>
      <c r="E456" t="s">
        <v>393</v>
      </c>
      <c r="K456">
        <f>Scores_and_Fixtures[[#This Row],[Wk]]</f>
        <v>38</v>
      </c>
      <c r="L456" t="str">
        <f>Scores_and_Fixtures[[#This Row],[Home]]</f>
        <v>Sunderland</v>
      </c>
      <c r="M456">
        <f ca="1">IF(ISBLANK(Scores_and_Fixtures[[#This Row],[Home Score]])=FALSE,Scores_and_Fixtures[[#This Row],[Home Score]],_xlfn.BINOM.INV(10000,(VLOOKUP(L456,$CK$4:$CM$27,2,FALSE)*VLOOKUP(O456,$CK$4:$CM$27,3,FALSE)*($CM$2/2))/10000,RAND()))</f>
        <v>2</v>
      </c>
      <c r="N456">
        <f ca="1">IF(ISBLANK(Scores_and_Fixtures[[#This Row],[Away Score]])=FALSE,Scores_and_Fixtures[[#This Row],[Away Score]],_xlfn.BINOM.INV(10000,(VLOOKUP(O456,$CK$4:$CM$27,2,FALSE)*VLOOKUP(L456,$CK$4:$CM$27,3,FALSE)*($CM$2/2))/10000,RAND()))</f>
        <v>0</v>
      </c>
      <c r="O456" t="str">
        <f>Scores_and_Fixtures[[#This Row],[Away]]</f>
        <v>QPR</v>
      </c>
      <c r="U456">
        <v>355</v>
      </c>
      <c r="V456">
        <v>13</v>
      </c>
      <c r="W456">
        <v>7</v>
      </c>
      <c r="X456">
        <v>11</v>
      </c>
      <c r="Y456">
        <v>10</v>
      </c>
      <c r="Z456">
        <v>12</v>
      </c>
      <c r="AA456">
        <v>19</v>
      </c>
      <c r="AB456">
        <v>5</v>
      </c>
      <c r="AC456">
        <v>2</v>
      </c>
      <c r="AD456">
        <v>3</v>
      </c>
      <c r="AE456">
        <v>1</v>
      </c>
      <c r="AF456">
        <v>9</v>
      </c>
      <c r="AG456">
        <v>20</v>
      </c>
      <c r="AH456">
        <v>16</v>
      </c>
      <c r="AI456">
        <v>18</v>
      </c>
      <c r="AJ456">
        <v>15</v>
      </c>
      <c r="AK456">
        <v>22</v>
      </c>
      <c r="AL456">
        <v>24</v>
      </c>
      <c r="AM456">
        <v>23</v>
      </c>
      <c r="AN456">
        <v>4</v>
      </c>
      <c r="AO456">
        <v>17</v>
      </c>
      <c r="AP456">
        <v>14</v>
      </c>
      <c r="AQ456">
        <v>21</v>
      </c>
      <c r="AR456">
        <v>6</v>
      </c>
      <c r="AS456">
        <v>8</v>
      </c>
    </row>
    <row r="457" spans="1:45" x14ac:dyDescent="0.25">
      <c r="A457">
        <v>38</v>
      </c>
      <c r="B457" t="s">
        <v>387</v>
      </c>
      <c r="E457" t="s">
        <v>396</v>
      </c>
      <c r="K457">
        <f>Scores_and_Fixtures[[#This Row],[Wk]]</f>
        <v>38</v>
      </c>
      <c r="L457" t="str">
        <f>Scores_and_Fixtures[[#This Row],[Home]]</f>
        <v>Leicester City</v>
      </c>
      <c r="M457">
        <f ca="1">IF(ISBLANK(Scores_and_Fixtures[[#This Row],[Home Score]])=FALSE,Scores_and_Fixtures[[#This Row],[Home Score]],_xlfn.BINOM.INV(10000,(VLOOKUP(L457,$CK$4:$CM$27,2,FALSE)*VLOOKUP(O457,$CK$4:$CM$27,3,FALSE)*($CM$2/2))/10000,RAND()))</f>
        <v>1</v>
      </c>
      <c r="N457">
        <f ca="1">IF(ISBLANK(Scores_and_Fixtures[[#This Row],[Away Score]])=FALSE,Scores_and_Fixtures[[#This Row],[Away Score]],_xlfn.BINOM.INV(10000,(VLOOKUP(O457,$CK$4:$CM$27,2,FALSE)*VLOOKUP(L457,$CK$4:$CM$27,3,FALSE)*($CM$2/2))/10000,RAND()))</f>
        <v>2</v>
      </c>
      <c r="O457" t="str">
        <f>Scores_and_Fixtures[[#This Row],[Away]]</f>
        <v>Southampton</v>
      </c>
      <c r="U457">
        <v>356</v>
      </c>
      <c r="V457">
        <v>19</v>
      </c>
      <c r="W457">
        <v>6</v>
      </c>
      <c r="X457">
        <v>11</v>
      </c>
      <c r="Y457">
        <v>12</v>
      </c>
      <c r="Z457">
        <v>14</v>
      </c>
      <c r="AA457">
        <v>23</v>
      </c>
      <c r="AB457">
        <v>7</v>
      </c>
      <c r="AC457">
        <v>2</v>
      </c>
      <c r="AD457">
        <v>4</v>
      </c>
      <c r="AE457">
        <v>1</v>
      </c>
      <c r="AF457">
        <v>10</v>
      </c>
      <c r="AG457">
        <v>16</v>
      </c>
      <c r="AH457">
        <v>17</v>
      </c>
      <c r="AI457">
        <v>15</v>
      </c>
      <c r="AJ457">
        <v>13</v>
      </c>
      <c r="AK457">
        <v>18</v>
      </c>
      <c r="AL457">
        <v>24</v>
      </c>
      <c r="AM457">
        <v>21</v>
      </c>
      <c r="AN457">
        <v>5</v>
      </c>
      <c r="AO457">
        <v>20</v>
      </c>
      <c r="AP457">
        <v>9</v>
      </c>
      <c r="AQ457">
        <v>22</v>
      </c>
      <c r="AR457">
        <v>8</v>
      </c>
      <c r="AS457">
        <v>3</v>
      </c>
    </row>
    <row r="458" spans="1:45" x14ac:dyDescent="0.25">
      <c r="A458">
        <v>39</v>
      </c>
      <c r="B458" t="s">
        <v>380</v>
      </c>
      <c r="E458" t="s">
        <v>387</v>
      </c>
      <c r="K458">
        <f>Scores_and_Fixtures[[#This Row],[Wk]]</f>
        <v>39</v>
      </c>
      <c r="L458" t="str">
        <f>Scores_and_Fixtures[[#This Row],[Home]]</f>
        <v>Bristol City</v>
      </c>
      <c r="M458">
        <f ca="1">IF(ISBLANK(Scores_and_Fixtures[[#This Row],[Home Score]])=FALSE,Scores_and_Fixtures[[#This Row],[Home Score]],_xlfn.BINOM.INV(10000,(VLOOKUP(L458,$CK$4:$CM$27,2,FALSE)*VLOOKUP(O458,$CK$4:$CM$27,3,FALSE)*($CM$2/2))/10000,RAND()))</f>
        <v>0</v>
      </c>
      <c r="N458">
        <f ca="1">IF(ISBLANK(Scores_and_Fixtures[[#This Row],[Away Score]])=FALSE,Scores_and_Fixtures[[#This Row],[Away Score]],_xlfn.BINOM.INV(10000,(VLOOKUP(O458,$CK$4:$CM$27,2,FALSE)*VLOOKUP(L458,$CK$4:$CM$27,3,FALSE)*($CM$2/2))/10000,RAND()))</f>
        <v>1</v>
      </c>
      <c r="O458" t="str">
        <f>Scores_and_Fixtures[[#This Row],[Away]]</f>
        <v>Leicester City</v>
      </c>
      <c r="U458">
        <v>357</v>
      </c>
      <c r="V458">
        <v>16</v>
      </c>
      <c r="W458">
        <v>13</v>
      </c>
      <c r="X458">
        <v>7</v>
      </c>
      <c r="Y458">
        <v>10</v>
      </c>
      <c r="Z458">
        <v>12</v>
      </c>
      <c r="AA458">
        <v>22</v>
      </c>
      <c r="AB458">
        <v>5</v>
      </c>
      <c r="AC458">
        <v>2</v>
      </c>
      <c r="AD458">
        <v>3</v>
      </c>
      <c r="AE458">
        <v>1</v>
      </c>
      <c r="AF458">
        <v>15</v>
      </c>
      <c r="AG458">
        <v>21</v>
      </c>
      <c r="AH458">
        <v>11</v>
      </c>
      <c r="AI458">
        <v>17</v>
      </c>
      <c r="AJ458">
        <v>14</v>
      </c>
      <c r="AK458">
        <v>20</v>
      </c>
      <c r="AL458">
        <v>24</v>
      </c>
      <c r="AM458">
        <v>23</v>
      </c>
      <c r="AN458">
        <v>4</v>
      </c>
      <c r="AO458">
        <v>18</v>
      </c>
      <c r="AP458">
        <v>9</v>
      </c>
      <c r="AQ458">
        <v>19</v>
      </c>
      <c r="AR458">
        <v>6</v>
      </c>
      <c r="AS458">
        <v>8</v>
      </c>
    </row>
    <row r="459" spans="1:45" x14ac:dyDescent="0.25">
      <c r="A459">
        <v>39</v>
      </c>
      <c r="B459" t="s">
        <v>389</v>
      </c>
      <c r="E459" t="s">
        <v>401</v>
      </c>
      <c r="K459">
        <f>Scores_and_Fixtures[[#This Row],[Wk]]</f>
        <v>39</v>
      </c>
      <c r="L459" t="str">
        <f>Scores_and_Fixtures[[#This Row],[Home]]</f>
        <v>Millwall</v>
      </c>
      <c r="M459">
        <f ca="1">IF(ISBLANK(Scores_and_Fixtures[[#This Row],[Home Score]])=FALSE,Scores_and_Fixtures[[#This Row],[Home Score]],_xlfn.BINOM.INV(10000,(VLOOKUP(L459,$CK$4:$CM$27,2,FALSE)*VLOOKUP(O459,$CK$4:$CM$27,3,FALSE)*($CM$2/2))/10000,RAND()))</f>
        <v>1</v>
      </c>
      <c r="N459">
        <f ca="1">IF(ISBLANK(Scores_and_Fixtures[[#This Row],[Away Score]])=FALSE,Scores_and_Fixtures[[#This Row],[Away Score]],_xlfn.BINOM.INV(10000,(VLOOKUP(O459,$CK$4:$CM$27,2,FALSE)*VLOOKUP(L459,$CK$4:$CM$27,3,FALSE)*($CM$2/2))/10000,RAND()))</f>
        <v>1</v>
      </c>
      <c r="O459" t="str">
        <f>Scores_and_Fixtures[[#This Row],[Away]]</f>
        <v>West Brom</v>
      </c>
      <c r="U459">
        <v>358</v>
      </c>
      <c r="V459">
        <v>19</v>
      </c>
      <c r="W459">
        <v>12</v>
      </c>
      <c r="X459">
        <v>16</v>
      </c>
      <c r="Y459">
        <v>14</v>
      </c>
      <c r="Z459">
        <v>10</v>
      </c>
      <c r="AA459">
        <v>18</v>
      </c>
      <c r="AB459">
        <v>4</v>
      </c>
      <c r="AC459">
        <v>3</v>
      </c>
      <c r="AD459">
        <v>2</v>
      </c>
      <c r="AE459">
        <v>1</v>
      </c>
      <c r="AF459">
        <v>8</v>
      </c>
      <c r="AG459">
        <v>17</v>
      </c>
      <c r="AH459">
        <v>11</v>
      </c>
      <c r="AI459">
        <v>13</v>
      </c>
      <c r="AJ459">
        <v>20</v>
      </c>
      <c r="AK459">
        <v>21</v>
      </c>
      <c r="AL459">
        <v>23</v>
      </c>
      <c r="AM459">
        <v>24</v>
      </c>
      <c r="AN459">
        <v>5</v>
      </c>
      <c r="AO459">
        <v>22</v>
      </c>
      <c r="AP459">
        <v>6</v>
      </c>
      <c r="AQ459">
        <v>15</v>
      </c>
      <c r="AR459">
        <v>9</v>
      </c>
      <c r="AS459">
        <v>7</v>
      </c>
    </row>
    <row r="460" spans="1:45" x14ac:dyDescent="0.25">
      <c r="A460">
        <v>39</v>
      </c>
      <c r="B460" t="s">
        <v>396</v>
      </c>
      <c r="E460" t="s">
        <v>388</v>
      </c>
      <c r="K460">
        <f>Scores_and_Fixtures[[#This Row],[Wk]]</f>
        <v>39</v>
      </c>
      <c r="L460" t="str">
        <f>Scores_and_Fixtures[[#This Row],[Home]]</f>
        <v>Southampton</v>
      </c>
      <c r="M460">
        <f ca="1">IF(ISBLANK(Scores_and_Fixtures[[#This Row],[Home Score]])=FALSE,Scores_and_Fixtures[[#This Row],[Home Score]],_xlfn.BINOM.INV(10000,(VLOOKUP(L460,$CK$4:$CM$27,2,FALSE)*VLOOKUP(O460,$CK$4:$CM$27,3,FALSE)*($CM$2/2))/10000,RAND()))</f>
        <v>2</v>
      </c>
      <c r="N460">
        <f ca="1">IF(ISBLANK(Scores_and_Fixtures[[#This Row],[Away Score]])=FALSE,Scores_and_Fixtures[[#This Row],[Away Score]],_xlfn.BINOM.INV(10000,(VLOOKUP(O460,$CK$4:$CM$27,2,FALSE)*VLOOKUP(L460,$CK$4:$CM$27,3,FALSE)*($CM$2/2))/10000,RAND()))</f>
        <v>2</v>
      </c>
      <c r="O460" t="str">
        <f>Scores_and_Fixtures[[#This Row],[Away]]</f>
        <v>Middlesbrough</v>
      </c>
      <c r="U460">
        <v>359</v>
      </c>
      <c r="V460">
        <v>18</v>
      </c>
      <c r="W460">
        <v>14</v>
      </c>
      <c r="X460">
        <v>9</v>
      </c>
      <c r="Y460">
        <v>13</v>
      </c>
      <c r="Z460">
        <v>19</v>
      </c>
      <c r="AA460">
        <v>16</v>
      </c>
      <c r="AB460">
        <v>6</v>
      </c>
      <c r="AC460">
        <v>2</v>
      </c>
      <c r="AD460">
        <v>4</v>
      </c>
      <c r="AE460">
        <v>1</v>
      </c>
      <c r="AF460">
        <v>8</v>
      </c>
      <c r="AG460">
        <v>20</v>
      </c>
      <c r="AH460">
        <v>17</v>
      </c>
      <c r="AI460">
        <v>15</v>
      </c>
      <c r="AJ460">
        <v>11</v>
      </c>
      <c r="AK460">
        <v>23</v>
      </c>
      <c r="AL460">
        <v>24</v>
      </c>
      <c r="AM460">
        <v>22</v>
      </c>
      <c r="AN460">
        <v>3</v>
      </c>
      <c r="AO460">
        <v>21</v>
      </c>
      <c r="AP460">
        <v>10</v>
      </c>
      <c r="AQ460">
        <v>12</v>
      </c>
      <c r="AR460">
        <v>7</v>
      </c>
      <c r="AS460">
        <v>5</v>
      </c>
    </row>
    <row r="461" spans="1:45" x14ac:dyDescent="0.25">
      <c r="A461">
        <v>39</v>
      </c>
      <c r="B461" t="s">
        <v>384</v>
      </c>
      <c r="E461" t="s">
        <v>397</v>
      </c>
      <c r="K461">
        <f>Scores_and_Fixtures[[#This Row],[Wk]]</f>
        <v>39</v>
      </c>
      <c r="L461" t="str">
        <f>Scores_and_Fixtures[[#This Row],[Home]]</f>
        <v>Hull City</v>
      </c>
      <c r="M461">
        <f ca="1">IF(ISBLANK(Scores_and_Fixtures[[#This Row],[Home Score]])=FALSE,Scores_and_Fixtures[[#This Row],[Home Score]],_xlfn.BINOM.INV(10000,(VLOOKUP(L461,$CK$4:$CM$27,2,FALSE)*VLOOKUP(O461,$CK$4:$CM$27,3,FALSE)*($CM$2/2))/10000,RAND()))</f>
        <v>3</v>
      </c>
      <c r="N461">
        <f ca="1">IF(ISBLANK(Scores_and_Fixtures[[#This Row],[Away Score]])=FALSE,Scores_and_Fixtures[[#This Row],[Away Score]],_xlfn.BINOM.INV(10000,(VLOOKUP(O461,$CK$4:$CM$27,2,FALSE)*VLOOKUP(L461,$CK$4:$CM$27,3,FALSE)*($CM$2/2))/10000,RAND()))</f>
        <v>1</v>
      </c>
      <c r="O461" t="str">
        <f>Scores_and_Fixtures[[#This Row],[Away]]</f>
        <v>Stoke City</v>
      </c>
      <c r="U461">
        <v>360</v>
      </c>
      <c r="V461">
        <v>14</v>
      </c>
      <c r="W461">
        <v>7</v>
      </c>
      <c r="X461">
        <v>16</v>
      </c>
      <c r="Y461">
        <v>15</v>
      </c>
      <c r="Z461">
        <v>12</v>
      </c>
      <c r="AA461">
        <v>22</v>
      </c>
      <c r="AB461">
        <v>5</v>
      </c>
      <c r="AC461">
        <v>3</v>
      </c>
      <c r="AD461">
        <v>4</v>
      </c>
      <c r="AE461">
        <v>1</v>
      </c>
      <c r="AF461">
        <v>9</v>
      </c>
      <c r="AG461">
        <v>11</v>
      </c>
      <c r="AH461">
        <v>10</v>
      </c>
      <c r="AI461">
        <v>18</v>
      </c>
      <c r="AJ461">
        <v>17</v>
      </c>
      <c r="AK461">
        <v>23</v>
      </c>
      <c r="AL461">
        <v>24</v>
      </c>
      <c r="AM461">
        <v>21</v>
      </c>
      <c r="AN461">
        <v>2</v>
      </c>
      <c r="AO461">
        <v>19</v>
      </c>
      <c r="AP461">
        <v>8</v>
      </c>
      <c r="AQ461">
        <v>20</v>
      </c>
      <c r="AR461">
        <v>13</v>
      </c>
      <c r="AS461">
        <v>6</v>
      </c>
    </row>
    <row r="462" spans="1:45" x14ac:dyDescent="0.25">
      <c r="A462">
        <v>39</v>
      </c>
      <c r="B462" t="s">
        <v>395</v>
      </c>
      <c r="E462" t="s">
        <v>399</v>
      </c>
      <c r="K462">
        <f>Scores_and_Fixtures[[#This Row],[Wk]]</f>
        <v>39</v>
      </c>
      <c r="L462" t="str">
        <f>Scores_and_Fixtures[[#This Row],[Home]]</f>
        <v>Sheffield Weds</v>
      </c>
      <c r="M462">
        <f ca="1">IF(ISBLANK(Scores_and_Fixtures[[#This Row],[Home Score]])=FALSE,Scores_and_Fixtures[[#This Row],[Home Score]],_xlfn.BINOM.INV(10000,(VLOOKUP(L462,$CK$4:$CM$27,2,FALSE)*VLOOKUP(O462,$CK$4:$CM$27,3,FALSE)*($CM$2/2))/10000,RAND()))</f>
        <v>0</v>
      </c>
      <c r="N462">
        <f ca="1">IF(ISBLANK(Scores_and_Fixtures[[#This Row],[Away Score]])=FALSE,Scores_and_Fixtures[[#This Row],[Away Score]],_xlfn.BINOM.INV(10000,(VLOOKUP(O462,$CK$4:$CM$27,2,FALSE)*VLOOKUP(L462,$CK$4:$CM$27,3,FALSE)*($CM$2/2))/10000,RAND()))</f>
        <v>0</v>
      </c>
      <c r="O462" t="str">
        <f>Scores_and_Fixtures[[#This Row],[Away]]</f>
        <v>Swansea City</v>
      </c>
      <c r="U462">
        <v>361</v>
      </c>
      <c r="V462">
        <v>15</v>
      </c>
      <c r="W462">
        <v>6</v>
      </c>
      <c r="X462">
        <v>7</v>
      </c>
      <c r="Y462">
        <v>11</v>
      </c>
      <c r="Z462">
        <v>19</v>
      </c>
      <c r="AA462">
        <v>18</v>
      </c>
      <c r="AB462">
        <v>5</v>
      </c>
      <c r="AC462">
        <v>2</v>
      </c>
      <c r="AD462">
        <v>3</v>
      </c>
      <c r="AE462">
        <v>1</v>
      </c>
      <c r="AF462">
        <v>14</v>
      </c>
      <c r="AG462">
        <v>17</v>
      </c>
      <c r="AH462">
        <v>12</v>
      </c>
      <c r="AI462">
        <v>16</v>
      </c>
      <c r="AJ462">
        <v>13</v>
      </c>
      <c r="AK462">
        <v>22</v>
      </c>
      <c r="AL462">
        <v>24</v>
      </c>
      <c r="AM462">
        <v>23</v>
      </c>
      <c r="AN462">
        <v>4</v>
      </c>
      <c r="AO462">
        <v>21</v>
      </c>
      <c r="AP462">
        <v>9</v>
      </c>
      <c r="AQ462">
        <v>20</v>
      </c>
      <c r="AR462">
        <v>10</v>
      </c>
      <c r="AS462">
        <v>8</v>
      </c>
    </row>
    <row r="463" spans="1:45" x14ac:dyDescent="0.25">
      <c r="A463">
        <v>39</v>
      </c>
      <c r="B463" t="s">
        <v>393</v>
      </c>
      <c r="E463" t="s">
        <v>378</v>
      </c>
      <c r="K463">
        <f>Scores_and_Fixtures[[#This Row],[Wk]]</f>
        <v>39</v>
      </c>
      <c r="L463" t="str">
        <f>Scores_and_Fixtures[[#This Row],[Home]]</f>
        <v>QPR</v>
      </c>
      <c r="M463">
        <f ca="1">IF(ISBLANK(Scores_and_Fixtures[[#This Row],[Home Score]])=FALSE,Scores_and_Fixtures[[#This Row],[Home Score]],_xlfn.BINOM.INV(10000,(VLOOKUP(L463,$CK$4:$CM$27,2,FALSE)*VLOOKUP(O463,$CK$4:$CM$27,3,FALSE)*($CM$2/2))/10000,RAND()))</f>
        <v>0</v>
      </c>
      <c r="N463">
        <f ca="1">IF(ISBLANK(Scores_and_Fixtures[[#This Row],[Away Score]])=FALSE,Scores_and_Fixtures[[#This Row],[Away Score]],_xlfn.BINOM.INV(10000,(VLOOKUP(O463,$CK$4:$CM$27,2,FALSE)*VLOOKUP(L463,$CK$4:$CM$27,3,FALSE)*($CM$2/2))/10000,RAND()))</f>
        <v>1</v>
      </c>
      <c r="O463" t="str">
        <f>Scores_and_Fixtures[[#This Row],[Away]]</f>
        <v>Birmingham City</v>
      </c>
      <c r="U463">
        <v>362</v>
      </c>
      <c r="V463">
        <v>13</v>
      </c>
      <c r="W463">
        <v>8</v>
      </c>
      <c r="X463">
        <v>7</v>
      </c>
      <c r="Y463">
        <v>10</v>
      </c>
      <c r="Z463">
        <v>9</v>
      </c>
      <c r="AA463">
        <v>21</v>
      </c>
      <c r="AB463">
        <v>6</v>
      </c>
      <c r="AC463">
        <v>1</v>
      </c>
      <c r="AD463">
        <v>3</v>
      </c>
      <c r="AE463">
        <v>2</v>
      </c>
      <c r="AF463">
        <v>12</v>
      </c>
      <c r="AG463">
        <v>17</v>
      </c>
      <c r="AH463">
        <v>16</v>
      </c>
      <c r="AI463">
        <v>15</v>
      </c>
      <c r="AJ463">
        <v>18</v>
      </c>
      <c r="AK463">
        <v>22</v>
      </c>
      <c r="AL463">
        <v>24</v>
      </c>
      <c r="AM463">
        <v>23</v>
      </c>
      <c r="AN463">
        <v>4</v>
      </c>
      <c r="AO463">
        <v>19</v>
      </c>
      <c r="AP463">
        <v>11</v>
      </c>
      <c r="AQ463">
        <v>20</v>
      </c>
      <c r="AR463">
        <v>14</v>
      </c>
      <c r="AS463">
        <v>5</v>
      </c>
    </row>
    <row r="464" spans="1:45" x14ac:dyDescent="0.25">
      <c r="A464">
        <v>39</v>
      </c>
      <c r="B464" t="s">
        <v>381</v>
      </c>
      <c r="E464" t="s">
        <v>398</v>
      </c>
      <c r="K464">
        <f>Scores_and_Fixtures[[#This Row],[Wk]]</f>
        <v>39</v>
      </c>
      <c r="L464" t="str">
        <f>Scores_and_Fixtures[[#This Row],[Home]]</f>
        <v>Cardiff City</v>
      </c>
      <c r="M464">
        <f ca="1">IF(ISBLANK(Scores_and_Fixtures[[#This Row],[Home Score]])=FALSE,Scores_and_Fixtures[[#This Row],[Home Score]],_xlfn.BINOM.INV(10000,(VLOOKUP(L464,$CK$4:$CM$27,2,FALSE)*VLOOKUP(O464,$CK$4:$CM$27,3,FALSE)*($CM$2/2))/10000,RAND()))</f>
        <v>0</v>
      </c>
      <c r="N464">
        <f ca="1">IF(ISBLANK(Scores_and_Fixtures[[#This Row],[Away Score]])=FALSE,Scores_and_Fixtures[[#This Row],[Away Score]],_xlfn.BINOM.INV(10000,(VLOOKUP(O464,$CK$4:$CM$27,2,FALSE)*VLOOKUP(L464,$CK$4:$CM$27,3,FALSE)*($CM$2/2))/10000,RAND()))</f>
        <v>2</v>
      </c>
      <c r="O464" t="str">
        <f>Scores_and_Fixtures[[#This Row],[Away]]</f>
        <v>Sunderland</v>
      </c>
      <c r="U464">
        <v>363</v>
      </c>
      <c r="V464">
        <v>17</v>
      </c>
      <c r="W464">
        <v>9</v>
      </c>
      <c r="X464">
        <v>16</v>
      </c>
      <c r="Y464">
        <v>15</v>
      </c>
      <c r="Z464">
        <v>12</v>
      </c>
      <c r="AA464">
        <v>22</v>
      </c>
      <c r="AB464">
        <v>6</v>
      </c>
      <c r="AC464">
        <v>2</v>
      </c>
      <c r="AD464">
        <v>4</v>
      </c>
      <c r="AE464">
        <v>1</v>
      </c>
      <c r="AF464">
        <v>7</v>
      </c>
      <c r="AG464">
        <v>18</v>
      </c>
      <c r="AH464">
        <v>11</v>
      </c>
      <c r="AI464">
        <v>14</v>
      </c>
      <c r="AJ464">
        <v>13</v>
      </c>
      <c r="AK464">
        <v>21</v>
      </c>
      <c r="AL464">
        <v>23</v>
      </c>
      <c r="AM464">
        <v>24</v>
      </c>
      <c r="AN464">
        <v>3</v>
      </c>
      <c r="AO464">
        <v>20</v>
      </c>
      <c r="AP464">
        <v>10</v>
      </c>
      <c r="AQ464">
        <v>19</v>
      </c>
      <c r="AR464">
        <v>8</v>
      </c>
      <c r="AS464">
        <v>5</v>
      </c>
    </row>
    <row r="465" spans="1:45" x14ac:dyDescent="0.25">
      <c r="A465">
        <v>39</v>
      </c>
      <c r="B465" t="s">
        <v>383</v>
      </c>
      <c r="E465" t="s">
        <v>382</v>
      </c>
      <c r="K465">
        <f>Scores_and_Fixtures[[#This Row],[Wk]]</f>
        <v>39</v>
      </c>
      <c r="L465" t="str">
        <f>Scores_and_Fixtures[[#This Row],[Home]]</f>
        <v>Huddersfield</v>
      </c>
      <c r="M465">
        <f ca="1">IF(ISBLANK(Scores_and_Fixtures[[#This Row],[Home Score]])=FALSE,Scores_and_Fixtures[[#This Row],[Home Score]],_xlfn.BINOM.INV(10000,(VLOOKUP(L465,$CK$4:$CM$27,2,FALSE)*VLOOKUP(O465,$CK$4:$CM$27,3,FALSE)*($CM$2/2))/10000,RAND()))</f>
        <v>1</v>
      </c>
      <c r="N465">
        <f ca="1">IF(ISBLANK(Scores_and_Fixtures[[#This Row],[Away Score]])=FALSE,Scores_and_Fixtures[[#This Row],[Away Score]],_xlfn.BINOM.INV(10000,(VLOOKUP(O465,$CK$4:$CM$27,2,FALSE)*VLOOKUP(L465,$CK$4:$CM$27,3,FALSE)*($CM$2/2))/10000,RAND()))</f>
        <v>0</v>
      </c>
      <c r="O465" t="str">
        <f>Scores_and_Fixtures[[#This Row],[Away]]</f>
        <v>Coventry City</v>
      </c>
      <c r="U465">
        <v>364</v>
      </c>
      <c r="V465">
        <v>11</v>
      </c>
      <c r="W465">
        <v>7</v>
      </c>
      <c r="X465">
        <v>16</v>
      </c>
      <c r="Y465">
        <v>13</v>
      </c>
      <c r="Z465">
        <v>14</v>
      </c>
      <c r="AA465">
        <v>22</v>
      </c>
      <c r="AB465">
        <v>6</v>
      </c>
      <c r="AC465">
        <v>2</v>
      </c>
      <c r="AD465">
        <v>3</v>
      </c>
      <c r="AE465">
        <v>1</v>
      </c>
      <c r="AF465">
        <v>10</v>
      </c>
      <c r="AG465">
        <v>18</v>
      </c>
      <c r="AH465">
        <v>9</v>
      </c>
      <c r="AI465">
        <v>17</v>
      </c>
      <c r="AJ465">
        <v>20</v>
      </c>
      <c r="AK465">
        <v>21</v>
      </c>
      <c r="AL465">
        <v>24</v>
      </c>
      <c r="AM465">
        <v>23</v>
      </c>
      <c r="AN465">
        <v>5</v>
      </c>
      <c r="AO465">
        <v>19</v>
      </c>
      <c r="AP465">
        <v>12</v>
      </c>
      <c r="AQ465">
        <v>15</v>
      </c>
      <c r="AR465">
        <v>8</v>
      </c>
      <c r="AS465">
        <v>4</v>
      </c>
    </row>
    <row r="466" spans="1:45" x14ac:dyDescent="0.25">
      <c r="A466">
        <v>39</v>
      </c>
      <c r="B466" t="s">
        <v>390</v>
      </c>
      <c r="E466" t="s">
        <v>391</v>
      </c>
      <c r="K466">
        <f>Scores_and_Fixtures[[#This Row],[Wk]]</f>
        <v>39</v>
      </c>
      <c r="L466" t="str">
        <f>Scores_and_Fixtures[[#This Row],[Home]]</f>
        <v>Norwich City</v>
      </c>
      <c r="M466">
        <f ca="1">IF(ISBLANK(Scores_and_Fixtures[[#This Row],[Home Score]])=FALSE,Scores_and_Fixtures[[#This Row],[Home Score]],_xlfn.BINOM.INV(10000,(VLOOKUP(L466,$CK$4:$CM$27,2,FALSE)*VLOOKUP(O466,$CK$4:$CM$27,3,FALSE)*($CM$2/2))/10000,RAND()))</f>
        <v>1</v>
      </c>
      <c r="N466">
        <f ca="1">IF(ISBLANK(Scores_and_Fixtures[[#This Row],[Away Score]])=FALSE,Scores_and_Fixtures[[#This Row],[Away Score]],_xlfn.BINOM.INV(10000,(VLOOKUP(O466,$CK$4:$CM$27,2,FALSE)*VLOOKUP(L466,$CK$4:$CM$27,3,FALSE)*($CM$2/2))/10000,RAND()))</f>
        <v>3</v>
      </c>
      <c r="O466" t="str">
        <f>Scores_and_Fixtures[[#This Row],[Away]]</f>
        <v>Plymouth Argyle</v>
      </c>
      <c r="U466">
        <v>365</v>
      </c>
      <c r="V466">
        <v>11</v>
      </c>
      <c r="W466">
        <v>14</v>
      </c>
      <c r="X466">
        <v>17</v>
      </c>
      <c r="Y466">
        <v>9</v>
      </c>
      <c r="Z466">
        <v>10</v>
      </c>
      <c r="AA466">
        <v>21</v>
      </c>
      <c r="AB466">
        <v>7</v>
      </c>
      <c r="AC466">
        <v>2</v>
      </c>
      <c r="AD466">
        <v>3</v>
      </c>
      <c r="AE466">
        <v>1</v>
      </c>
      <c r="AF466">
        <v>12</v>
      </c>
      <c r="AG466">
        <v>18</v>
      </c>
      <c r="AH466">
        <v>15</v>
      </c>
      <c r="AI466">
        <v>13</v>
      </c>
      <c r="AJ466">
        <v>16</v>
      </c>
      <c r="AK466">
        <v>22</v>
      </c>
      <c r="AL466">
        <v>23</v>
      </c>
      <c r="AM466">
        <v>24</v>
      </c>
      <c r="AN466">
        <v>4</v>
      </c>
      <c r="AO466">
        <v>19</v>
      </c>
      <c r="AP466">
        <v>6</v>
      </c>
      <c r="AQ466">
        <v>20</v>
      </c>
      <c r="AR466">
        <v>8</v>
      </c>
      <c r="AS466">
        <v>5</v>
      </c>
    </row>
    <row r="467" spans="1:45" x14ac:dyDescent="0.25">
      <c r="A467">
        <v>39</v>
      </c>
      <c r="B467" t="s">
        <v>379</v>
      </c>
      <c r="E467" t="s">
        <v>385</v>
      </c>
      <c r="K467">
        <f>Scores_and_Fixtures[[#This Row],[Wk]]</f>
        <v>39</v>
      </c>
      <c r="L467" t="str">
        <f>Scores_and_Fixtures[[#This Row],[Home]]</f>
        <v>Blackburn</v>
      </c>
      <c r="M467">
        <f ca="1">IF(ISBLANK(Scores_and_Fixtures[[#This Row],[Home Score]])=FALSE,Scores_and_Fixtures[[#This Row],[Home Score]],_xlfn.BINOM.INV(10000,(VLOOKUP(L467,$CK$4:$CM$27,2,FALSE)*VLOOKUP(O467,$CK$4:$CM$27,3,FALSE)*($CM$2/2))/10000,RAND()))</f>
        <v>2</v>
      </c>
      <c r="N467">
        <f ca="1">IF(ISBLANK(Scores_and_Fixtures[[#This Row],[Away Score]])=FALSE,Scores_and_Fixtures[[#This Row],[Away Score]],_xlfn.BINOM.INV(10000,(VLOOKUP(O467,$CK$4:$CM$27,2,FALSE)*VLOOKUP(L467,$CK$4:$CM$27,3,FALSE)*($CM$2/2))/10000,RAND()))</f>
        <v>4</v>
      </c>
      <c r="O467" t="str">
        <f>Scores_and_Fixtures[[#This Row],[Away]]</f>
        <v>Ipswich Town</v>
      </c>
      <c r="U467">
        <v>366</v>
      </c>
      <c r="V467">
        <v>15</v>
      </c>
      <c r="W467">
        <v>17</v>
      </c>
      <c r="X467">
        <v>9</v>
      </c>
      <c r="Y467">
        <v>8</v>
      </c>
      <c r="Z467">
        <v>13</v>
      </c>
      <c r="AA467">
        <v>20</v>
      </c>
      <c r="AB467">
        <v>5</v>
      </c>
      <c r="AC467">
        <v>2</v>
      </c>
      <c r="AD467">
        <v>4</v>
      </c>
      <c r="AE467">
        <v>1</v>
      </c>
      <c r="AF467">
        <v>12</v>
      </c>
      <c r="AG467">
        <v>19</v>
      </c>
      <c r="AH467">
        <v>11</v>
      </c>
      <c r="AI467">
        <v>21</v>
      </c>
      <c r="AJ467">
        <v>14</v>
      </c>
      <c r="AK467">
        <v>22</v>
      </c>
      <c r="AL467">
        <v>24</v>
      </c>
      <c r="AM467">
        <v>23</v>
      </c>
      <c r="AN467">
        <v>3</v>
      </c>
      <c r="AO467">
        <v>18</v>
      </c>
      <c r="AP467">
        <v>10</v>
      </c>
      <c r="AQ467">
        <v>16</v>
      </c>
      <c r="AR467">
        <v>7</v>
      </c>
      <c r="AS467">
        <v>6</v>
      </c>
    </row>
    <row r="468" spans="1:45" x14ac:dyDescent="0.25">
      <c r="A468">
        <v>39</v>
      </c>
      <c r="B468" t="s">
        <v>400</v>
      </c>
      <c r="E468" t="s">
        <v>386</v>
      </c>
      <c r="K468">
        <f>Scores_and_Fixtures[[#This Row],[Wk]]</f>
        <v>39</v>
      </c>
      <c r="L468" t="str">
        <f>Scores_and_Fixtures[[#This Row],[Home]]</f>
        <v>Watford</v>
      </c>
      <c r="M468">
        <f ca="1">IF(ISBLANK(Scores_and_Fixtures[[#This Row],[Home Score]])=FALSE,Scores_and_Fixtures[[#This Row],[Home Score]],_xlfn.BINOM.INV(10000,(VLOOKUP(L468,$CK$4:$CM$27,2,FALSE)*VLOOKUP(O468,$CK$4:$CM$27,3,FALSE)*($CM$2/2))/10000,RAND()))</f>
        <v>1</v>
      </c>
      <c r="N468">
        <f ca="1">IF(ISBLANK(Scores_and_Fixtures[[#This Row],[Away Score]])=FALSE,Scores_and_Fixtures[[#This Row],[Away Score]],_xlfn.BINOM.INV(10000,(VLOOKUP(O468,$CK$4:$CM$27,2,FALSE)*VLOOKUP(L468,$CK$4:$CM$27,3,FALSE)*($CM$2/2))/10000,RAND()))</f>
        <v>1</v>
      </c>
      <c r="O468" t="str">
        <f>Scores_and_Fixtures[[#This Row],[Away]]</f>
        <v>Leeds United</v>
      </c>
      <c r="U468">
        <v>367</v>
      </c>
      <c r="V468">
        <v>17</v>
      </c>
      <c r="W468">
        <v>13</v>
      </c>
      <c r="X468">
        <v>12</v>
      </c>
      <c r="Y468">
        <v>10</v>
      </c>
      <c r="Z468">
        <v>15</v>
      </c>
      <c r="AA468">
        <v>22</v>
      </c>
      <c r="AB468">
        <v>6</v>
      </c>
      <c r="AC468">
        <v>2</v>
      </c>
      <c r="AD468">
        <v>4</v>
      </c>
      <c r="AE468">
        <v>1</v>
      </c>
      <c r="AF468">
        <v>9</v>
      </c>
      <c r="AG468">
        <v>21</v>
      </c>
      <c r="AH468">
        <v>7</v>
      </c>
      <c r="AI468">
        <v>16</v>
      </c>
      <c r="AJ468">
        <v>14</v>
      </c>
      <c r="AK468">
        <v>20</v>
      </c>
      <c r="AL468">
        <v>24</v>
      </c>
      <c r="AM468">
        <v>23</v>
      </c>
      <c r="AN468">
        <v>3</v>
      </c>
      <c r="AO468">
        <v>19</v>
      </c>
      <c r="AP468">
        <v>5</v>
      </c>
      <c r="AQ468">
        <v>18</v>
      </c>
      <c r="AR468">
        <v>11</v>
      </c>
      <c r="AS468">
        <v>8</v>
      </c>
    </row>
    <row r="469" spans="1:45" x14ac:dyDescent="0.25">
      <c r="A469">
        <v>39</v>
      </c>
      <c r="B469" t="s">
        <v>392</v>
      </c>
      <c r="E469" t="s">
        <v>394</v>
      </c>
      <c r="K469">
        <f>Scores_and_Fixtures[[#This Row],[Wk]]</f>
        <v>39</v>
      </c>
      <c r="L469" t="str">
        <f>Scores_and_Fixtures[[#This Row],[Home]]</f>
        <v>Preston</v>
      </c>
      <c r="M469">
        <f ca="1">IF(ISBLANK(Scores_and_Fixtures[[#This Row],[Home Score]])=FALSE,Scores_and_Fixtures[[#This Row],[Home Score]],_xlfn.BINOM.INV(10000,(VLOOKUP(L469,$CK$4:$CM$27,2,FALSE)*VLOOKUP(O469,$CK$4:$CM$27,3,FALSE)*($CM$2/2))/10000,RAND()))</f>
        <v>3</v>
      </c>
      <c r="N469">
        <f ca="1">IF(ISBLANK(Scores_and_Fixtures[[#This Row],[Away Score]])=FALSE,Scores_and_Fixtures[[#This Row],[Away Score]],_xlfn.BINOM.INV(10000,(VLOOKUP(O469,$CK$4:$CM$27,2,FALSE)*VLOOKUP(L469,$CK$4:$CM$27,3,FALSE)*($CM$2/2))/10000,RAND()))</f>
        <v>3</v>
      </c>
      <c r="O469" t="str">
        <f>Scores_and_Fixtures[[#This Row],[Away]]</f>
        <v>Rotherham Utd</v>
      </c>
      <c r="U469">
        <v>368</v>
      </c>
      <c r="V469">
        <v>17</v>
      </c>
      <c r="W469">
        <v>13</v>
      </c>
      <c r="X469">
        <v>12</v>
      </c>
      <c r="Y469">
        <v>10</v>
      </c>
      <c r="Z469">
        <v>14</v>
      </c>
      <c r="AA469">
        <v>19</v>
      </c>
      <c r="AB469">
        <v>5</v>
      </c>
      <c r="AC469">
        <v>2</v>
      </c>
      <c r="AD469">
        <v>7</v>
      </c>
      <c r="AE469">
        <v>1</v>
      </c>
      <c r="AF469">
        <v>18</v>
      </c>
      <c r="AG469">
        <v>15</v>
      </c>
      <c r="AH469">
        <v>8</v>
      </c>
      <c r="AI469">
        <v>11</v>
      </c>
      <c r="AJ469">
        <v>9</v>
      </c>
      <c r="AK469">
        <v>21</v>
      </c>
      <c r="AL469">
        <v>24</v>
      </c>
      <c r="AM469">
        <v>23</v>
      </c>
      <c r="AN469">
        <v>4</v>
      </c>
      <c r="AO469">
        <v>22</v>
      </c>
      <c r="AP469">
        <v>16</v>
      </c>
      <c r="AQ469">
        <v>20</v>
      </c>
      <c r="AR469">
        <v>6</v>
      </c>
      <c r="AS469">
        <v>3</v>
      </c>
    </row>
    <row r="470" spans="1:45" x14ac:dyDescent="0.25">
      <c r="A470">
        <v>40</v>
      </c>
      <c r="B470" t="s">
        <v>397</v>
      </c>
      <c r="E470" t="s">
        <v>383</v>
      </c>
      <c r="K470">
        <f>Scores_and_Fixtures[[#This Row],[Wk]]</f>
        <v>40</v>
      </c>
      <c r="L470" t="str">
        <f>Scores_and_Fixtures[[#This Row],[Home]]</f>
        <v>Stoke City</v>
      </c>
      <c r="M470">
        <f ca="1">IF(ISBLANK(Scores_and_Fixtures[[#This Row],[Home Score]])=FALSE,Scores_and_Fixtures[[#This Row],[Home Score]],_xlfn.BINOM.INV(10000,(VLOOKUP(L470,$CK$4:$CM$27,2,FALSE)*VLOOKUP(O470,$CK$4:$CM$27,3,FALSE)*($CM$2/2))/10000,RAND()))</f>
        <v>1</v>
      </c>
      <c r="N470">
        <f ca="1">IF(ISBLANK(Scores_and_Fixtures[[#This Row],[Away Score]])=FALSE,Scores_and_Fixtures[[#This Row],[Away Score]],_xlfn.BINOM.INV(10000,(VLOOKUP(O470,$CK$4:$CM$27,2,FALSE)*VLOOKUP(L470,$CK$4:$CM$27,3,FALSE)*($CM$2/2))/10000,RAND()))</f>
        <v>2</v>
      </c>
      <c r="O470" t="str">
        <f>Scores_and_Fixtures[[#This Row],[Away]]</f>
        <v>Huddersfield</v>
      </c>
      <c r="U470">
        <v>369</v>
      </c>
      <c r="V470">
        <v>17</v>
      </c>
      <c r="W470">
        <v>12</v>
      </c>
      <c r="X470">
        <v>13</v>
      </c>
      <c r="Y470">
        <v>9</v>
      </c>
      <c r="Z470">
        <v>16</v>
      </c>
      <c r="AA470">
        <v>19</v>
      </c>
      <c r="AB470">
        <v>4</v>
      </c>
      <c r="AC470">
        <v>2</v>
      </c>
      <c r="AD470">
        <v>3</v>
      </c>
      <c r="AE470">
        <v>1</v>
      </c>
      <c r="AF470">
        <v>10</v>
      </c>
      <c r="AG470">
        <v>20</v>
      </c>
      <c r="AH470">
        <v>11</v>
      </c>
      <c r="AI470">
        <v>14</v>
      </c>
      <c r="AJ470">
        <v>15</v>
      </c>
      <c r="AK470">
        <v>21</v>
      </c>
      <c r="AL470">
        <v>24</v>
      </c>
      <c r="AM470">
        <v>23</v>
      </c>
      <c r="AN470">
        <v>5</v>
      </c>
      <c r="AO470">
        <v>18</v>
      </c>
      <c r="AP470">
        <v>7</v>
      </c>
      <c r="AQ470">
        <v>22</v>
      </c>
      <c r="AR470">
        <v>8</v>
      </c>
      <c r="AS470">
        <v>6</v>
      </c>
    </row>
    <row r="471" spans="1:45" x14ac:dyDescent="0.25">
      <c r="A471">
        <v>40</v>
      </c>
      <c r="B471" t="s">
        <v>399</v>
      </c>
      <c r="E471" t="s">
        <v>393</v>
      </c>
      <c r="K471">
        <f>Scores_and_Fixtures[[#This Row],[Wk]]</f>
        <v>40</v>
      </c>
      <c r="L471" t="str">
        <f>Scores_and_Fixtures[[#This Row],[Home]]</f>
        <v>Swansea City</v>
      </c>
      <c r="M471">
        <f ca="1">IF(ISBLANK(Scores_and_Fixtures[[#This Row],[Home Score]])=FALSE,Scores_and_Fixtures[[#This Row],[Home Score]],_xlfn.BINOM.INV(10000,(VLOOKUP(L471,$CK$4:$CM$27,2,FALSE)*VLOOKUP(O471,$CK$4:$CM$27,3,FALSE)*($CM$2/2))/10000,RAND()))</f>
        <v>1</v>
      </c>
      <c r="N471">
        <f ca="1">IF(ISBLANK(Scores_and_Fixtures[[#This Row],[Away Score]])=FALSE,Scores_and_Fixtures[[#This Row],[Away Score]],_xlfn.BINOM.INV(10000,(VLOOKUP(O471,$CK$4:$CM$27,2,FALSE)*VLOOKUP(L471,$CK$4:$CM$27,3,FALSE)*($CM$2/2))/10000,RAND()))</f>
        <v>0</v>
      </c>
      <c r="O471" t="str">
        <f>Scores_and_Fixtures[[#This Row],[Away]]</f>
        <v>QPR</v>
      </c>
      <c r="U471">
        <v>370</v>
      </c>
      <c r="V471">
        <v>15</v>
      </c>
      <c r="W471">
        <v>10</v>
      </c>
      <c r="X471">
        <v>17</v>
      </c>
      <c r="Y471">
        <v>12</v>
      </c>
      <c r="Z471">
        <v>14</v>
      </c>
      <c r="AA471">
        <v>23</v>
      </c>
      <c r="AB471">
        <v>6</v>
      </c>
      <c r="AC471">
        <v>2</v>
      </c>
      <c r="AD471">
        <v>4</v>
      </c>
      <c r="AE471">
        <v>1</v>
      </c>
      <c r="AF471">
        <v>8</v>
      </c>
      <c r="AG471">
        <v>13</v>
      </c>
      <c r="AH471">
        <v>11</v>
      </c>
      <c r="AI471">
        <v>16</v>
      </c>
      <c r="AJ471">
        <v>20</v>
      </c>
      <c r="AK471">
        <v>21</v>
      </c>
      <c r="AL471">
        <v>24</v>
      </c>
      <c r="AM471">
        <v>22</v>
      </c>
      <c r="AN471">
        <v>3</v>
      </c>
      <c r="AO471">
        <v>19</v>
      </c>
      <c r="AP471">
        <v>7</v>
      </c>
      <c r="AQ471">
        <v>18</v>
      </c>
      <c r="AR471">
        <v>5</v>
      </c>
      <c r="AS471">
        <v>9</v>
      </c>
    </row>
    <row r="472" spans="1:45" x14ac:dyDescent="0.25">
      <c r="A472">
        <v>40</v>
      </c>
      <c r="B472" t="s">
        <v>391</v>
      </c>
      <c r="E472" t="s">
        <v>380</v>
      </c>
      <c r="K472">
        <f>Scores_and_Fixtures[[#This Row],[Wk]]</f>
        <v>40</v>
      </c>
      <c r="L472" t="str">
        <f>Scores_and_Fixtures[[#This Row],[Home]]</f>
        <v>Plymouth Argyle</v>
      </c>
      <c r="M472">
        <f ca="1">IF(ISBLANK(Scores_and_Fixtures[[#This Row],[Home Score]])=FALSE,Scores_and_Fixtures[[#This Row],[Home Score]],_xlfn.BINOM.INV(10000,(VLOOKUP(L472,$CK$4:$CM$27,2,FALSE)*VLOOKUP(O472,$CK$4:$CM$27,3,FALSE)*($CM$2/2))/10000,RAND()))</f>
        <v>2</v>
      </c>
      <c r="N472">
        <f ca="1">IF(ISBLANK(Scores_and_Fixtures[[#This Row],[Away Score]])=FALSE,Scores_and_Fixtures[[#This Row],[Away Score]],_xlfn.BINOM.INV(10000,(VLOOKUP(O472,$CK$4:$CM$27,2,FALSE)*VLOOKUP(L472,$CK$4:$CM$27,3,FALSE)*($CM$2/2))/10000,RAND()))</f>
        <v>1</v>
      </c>
      <c r="O472" t="str">
        <f>Scores_and_Fixtures[[#This Row],[Away]]</f>
        <v>Bristol City</v>
      </c>
      <c r="U472">
        <v>371</v>
      </c>
      <c r="V472">
        <v>19</v>
      </c>
      <c r="W472">
        <v>9</v>
      </c>
      <c r="X472">
        <v>15</v>
      </c>
      <c r="Y472">
        <v>12</v>
      </c>
      <c r="Z472">
        <v>14</v>
      </c>
      <c r="AA472">
        <v>20</v>
      </c>
      <c r="AB472">
        <v>5</v>
      </c>
      <c r="AC472">
        <v>2</v>
      </c>
      <c r="AD472">
        <v>4</v>
      </c>
      <c r="AE472">
        <v>1</v>
      </c>
      <c r="AF472">
        <v>7</v>
      </c>
      <c r="AG472">
        <v>21</v>
      </c>
      <c r="AH472">
        <v>11</v>
      </c>
      <c r="AI472">
        <v>18</v>
      </c>
      <c r="AJ472">
        <v>6</v>
      </c>
      <c r="AK472">
        <v>22</v>
      </c>
      <c r="AL472">
        <v>24</v>
      </c>
      <c r="AM472">
        <v>23</v>
      </c>
      <c r="AN472">
        <v>3</v>
      </c>
      <c r="AO472">
        <v>17</v>
      </c>
      <c r="AP472">
        <v>8</v>
      </c>
      <c r="AQ472">
        <v>13</v>
      </c>
      <c r="AR472">
        <v>16</v>
      </c>
      <c r="AS472">
        <v>10</v>
      </c>
    </row>
    <row r="473" spans="1:45" x14ac:dyDescent="0.25">
      <c r="A473">
        <v>40</v>
      </c>
      <c r="B473" t="s">
        <v>388</v>
      </c>
      <c r="E473" t="s">
        <v>395</v>
      </c>
      <c r="K473">
        <f>Scores_and_Fixtures[[#This Row],[Wk]]</f>
        <v>40</v>
      </c>
      <c r="L473" t="str">
        <f>Scores_and_Fixtures[[#This Row],[Home]]</f>
        <v>Middlesbrough</v>
      </c>
      <c r="M473">
        <f ca="1">IF(ISBLANK(Scores_and_Fixtures[[#This Row],[Home Score]])=FALSE,Scores_and_Fixtures[[#This Row],[Home Score]],_xlfn.BINOM.INV(10000,(VLOOKUP(L473,$CK$4:$CM$27,2,FALSE)*VLOOKUP(O473,$CK$4:$CM$27,3,FALSE)*($CM$2/2))/10000,RAND()))</f>
        <v>1</v>
      </c>
      <c r="N473">
        <f ca="1">IF(ISBLANK(Scores_and_Fixtures[[#This Row],[Away Score]])=FALSE,Scores_and_Fixtures[[#This Row],[Away Score]],_xlfn.BINOM.INV(10000,(VLOOKUP(O473,$CK$4:$CM$27,2,FALSE)*VLOOKUP(L473,$CK$4:$CM$27,3,FALSE)*($CM$2/2))/10000,RAND()))</f>
        <v>1</v>
      </c>
      <c r="O473" t="str">
        <f>Scores_and_Fixtures[[#This Row],[Away]]</f>
        <v>Sheffield Weds</v>
      </c>
      <c r="U473">
        <v>372</v>
      </c>
      <c r="V473">
        <v>17</v>
      </c>
      <c r="W473">
        <v>8</v>
      </c>
      <c r="X473">
        <v>10</v>
      </c>
      <c r="Y473">
        <v>15</v>
      </c>
      <c r="Z473">
        <v>14</v>
      </c>
      <c r="AA473">
        <v>20</v>
      </c>
      <c r="AB473">
        <v>5</v>
      </c>
      <c r="AC473">
        <v>2</v>
      </c>
      <c r="AD473">
        <v>3</v>
      </c>
      <c r="AE473">
        <v>1</v>
      </c>
      <c r="AF473">
        <v>11</v>
      </c>
      <c r="AG473">
        <v>19</v>
      </c>
      <c r="AH473">
        <v>12</v>
      </c>
      <c r="AI473">
        <v>18</v>
      </c>
      <c r="AJ473">
        <v>13</v>
      </c>
      <c r="AK473">
        <v>22</v>
      </c>
      <c r="AL473">
        <v>24</v>
      </c>
      <c r="AM473">
        <v>23</v>
      </c>
      <c r="AN473">
        <v>4</v>
      </c>
      <c r="AO473">
        <v>21</v>
      </c>
      <c r="AP473">
        <v>9</v>
      </c>
      <c r="AQ473">
        <v>16</v>
      </c>
      <c r="AR473">
        <v>7</v>
      </c>
      <c r="AS473">
        <v>6</v>
      </c>
    </row>
    <row r="474" spans="1:45" x14ac:dyDescent="0.25">
      <c r="A474">
        <v>40</v>
      </c>
      <c r="B474" t="s">
        <v>394</v>
      </c>
      <c r="E474" t="s">
        <v>389</v>
      </c>
      <c r="K474">
        <f>Scores_and_Fixtures[[#This Row],[Wk]]</f>
        <v>40</v>
      </c>
      <c r="L474" t="str">
        <f>Scores_and_Fixtures[[#This Row],[Home]]</f>
        <v>Rotherham Utd</v>
      </c>
      <c r="M474">
        <f ca="1">IF(ISBLANK(Scores_and_Fixtures[[#This Row],[Home Score]])=FALSE,Scores_and_Fixtures[[#This Row],[Home Score]],_xlfn.BINOM.INV(10000,(VLOOKUP(L474,$CK$4:$CM$27,2,FALSE)*VLOOKUP(O474,$CK$4:$CM$27,3,FALSE)*($CM$2/2))/10000,RAND()))</f>
        <v>2</v>
      </c>
      <c r="N474">
        <f ca="1">IF(ISBLANK(Scores_and_Fixtures[[#This Row],[Away Score]])=FALSE,Scores_and_Fixtures[[#This Row],[Away Score]],_xlfn.BINOM.INV(10000,(VLOOKUP(O474,$CK$4:$CM$27,2,FALSE)*VLOOKUP(L474,$CK$4:$CM$27,3,FALSE)*($CM$2/2))/10000,RAND()))</f>
        <v>2</v>
      </c>
      <c r="O474" t="str">
        <f>Scores_and_Fixtures[[#This Row],[Away]]</f>
        <v>Millwall</v>
      </c>
      <c r="U474">
        <v>373</v>
      </c>
      <c r="V474">
        <v>15</v>
      </c>
      <c r="W474">
        <v>8</v>
      </c>
      <c r="X474">
        <v>10</v>
      </c>
      <c r="Y474">
        <v>13</v>
      </c>
      <c r="Z474">
        <v>17</v>
      </c>
      <c r="AA474">
        <v>22</v>
      </c>
      <c r="AB474">
        <v>5</v>
      </c>
      <c r="AC474">
        <v>4</v>
      </c>
      <c r="AD474">
        <v>3</v>
      </c>
      <c r="AE474">
        <v>1</v>
      </c>
      <c r="AF474">
        <v>6</v>
      </c>
      <c r="AG474">
        <v>21</v>
      </c>
      <c r="AH474">
        <v>12</v>
      </c>
      <c r="AI474">
        <v>20</v>
      </c>
      <c r="AJ474">
        <v>16</v>
      </c>
      <c r="AK474">
        <v>18</v>
      </c>
      <c r="AL474">
        <v>24</v>
      </c>
      <c r="AM474">
        <v>23</v>
      </c>
      <c r="AN474">
        <v>2</v>
      </c>
      <c r="AO474">
        <v>19</v>
      </c>
      <c r="AP474">
        <v>9</v>
      </c>
      <c r="AQ474">
        <v>14</v>
      </c>
      <c r="AR474">
        <v>11</v>
      </c>
      <c r="AS474">
        <v>7</v>
      </c>
    </row>
    <row r="475" spans="1:45" x14ac:dyDescent="0.25">
      <c r="A475">
        <v>40</v>
      </c>
      <c r="B475" t="s">
        <v>385</v>
      </c>
      <c r="E475" t="s">
        <v>396</v>
      </c>
      <c r="K475">
        <f>Scores_and_Fixtures[[#This Row],[Wk]]</f>
        <v>40</v>
      </c>
      <c r="L475" t="str">
        <f>Scores_and_Fixtures[[#This Row],[Home]]</f>
        <v>Ipswich Town</v>
      </c>
      <c r="M475">
        <f ca="1">IF(ISBLANK(Scores_and_Fixtures[[#This Row],[Home Score]])=FALSE,Scores_and_Fixtures[[#This Row],[Home Score]],_xlfn.BINOM.INV(10000,(VLOOKUP(L475,$CK$4:$CM$27,2,FALSE)*VLOOKUP(O475,$CK$4:$CM$27,3,FALSE)*($CM$2/2))/10000,RAND()))</f>
        <v>0</v>
      </c>
      <c r="N475">
        <f ca="1">IF(ISBLANK(Scores_and_Fixtures[[#This Row],[Away Score]])=FALSE,Scores_and_Fixtures[[#This Row],[Away Score]],_xlfn.BINOM.INV(10000,(VLOOKUP(O475,$CK$4:$CM$27,2,FALSE)*VLOOKUP(L475,$CK$4:$CM$27,3,FALSE)*($CM$2/2))/10000,RAND()))</f>
        <v>2</v>
      </c>
      <c r="O475" t="str">
        <f>Scores_and_Fixtures[[#This Row],[Away]]</f>
        <v>Southampton</v>
      </c>
      <c r="U475">
        <v>374</v>
      </c>
      <c r="V475">
        <v>10</v>
      </c>
      <c r="W475">
        <v>13</v>
      </c>
      <c r="X475">
        <v>19</v>
      </c>
      <c r="Y475">
        <v>9</v>
      </c>
      <c r="Z475">
        <v>14</v>
      </c>
      <c r="AA475">
        <v>21</v>
      </c>
      <c r="AB475">
        <v>5</v>
      </c>
      <c r="AC475">
        <v>2</v>
      </c>
      <c r="AD475">
        <v>3</v>
      </c>
      <c r="AE475">
        <v>1</v>
      </c>
      <c r="AF475">
        <v>6</v>
      </c>
      <c r="AG475">
        <v>18</v>
      </c>
      <c r="AH475">
        <v>7</v>
      </c>
      <c r="AI475">
        <v>15</v>
      </c>
      <c r="AJ475">
        <v>17</v>
      </c>
      <c r="AK475">
        <v>22</v>
      </c>
      <c r="AL475">
        <v>24</v>
      </c>
      <c r="AM475">
        <v>23</v>
      </c>
      <c r="AN475">
        <v>4</v>
      </c>
      <c r="AO475">
        <v>20</v>
      </c>
      <c r="AP475">
        <v>12</v>
      </c>
      <c r="AQ475">
        <v>11</v>
      </c>
      <c r="AR475">
        <v>16</v>
      </c>
      <c r="AS475">
        <v>8</v>
      </c>
    </row>
    <row r="476" spans="1:45" x14ac:dyDescent="0.25">
      <c r="A476">
        <v>40</v>
      </c>
      <c r="B476" t="s">
        <v>398</v>
      </c>
      <c r="E476" t="s">
        <v>379</v>
      </c>
      <c r="K476">
        <f>Scores_and_Fixtures[[#This Row],[Wk]]</f>
        <v>40</v>
      </c>
      <c r="L476" t="str">
        <f>Scores_and_Fixtures[[#This Row],[Home]]</f>
        <v>Sunderland</v>
      </c>
      <c r="M476">
        <f ca="1">IF(ISBLANK(Scores_and_Fixtures[[#This Row],[Home Score]])=FALSE,Scores_and_Fixtures[[#This Row],[Home Score]],_xlfn.BINOM.INV(10000,(VLOOKUP(L476,$CK$4:$CM$27,2,FALSE)*VLOOKUP(O476,$CK$4:$CM$27,3,FALSE)*($CM$2/2))/10000,RAND()))</f>
        <v>1</v>
      </c>
      <c r="N476">
        <f ca="1">IF(ISBLANK(Scores_and_Fixtures[[#This Row],[Away Score]])=FALSE,Scores_and_Fixtures[[#This Row],[Away Score]],_xlfn.BINOM.INV(10000,(VLOOKUP(O476,$CK$4:$CM$27,2,FALSE)*VLOOKUP(L476,$CK$4:$CM$27,3,FALSE)*($CM$2/2))/10000,RAND()))</f>
        <v>1</v>
      </c>
      <c r="O476" t="str">
        <f>Scores_and_Fixtures[[#This Row],[Away]]</f>
        <v>Blackburn</v>
      </c>
      <c r="U476">
        <v>375</v>
      </c>
      <c r="V476">
        <v>13</v>
      </c>
      <c r="W476">
        <v>18</v>
      </c>
      <c r="X476">
        <v>15</v>
      </c>
      <c r="Y476">
        <v>12</v>
      </c>
      <c r="Z476">
        <v>16</v>
      </c>
      <c r="AA476">
        <v>22</v>
      </c>
      <c r="AB476">
        <v>5</v>
      </c>
      <c r="AC476">
        <v>2</v>
      </c>
      <c r="AD476">
        <v>4</v>
      </c>
      <c r="AE476">
        <v>1</v>
      </c>
      <c r="AF476">
        <v>6</v>
      </c>
      <c r="AG476">
        <v>21</v>
      </c>
      <c r="AH476">
        <v>11</v>
      </c>
      <c r="AI476">
        <v>10</v>
      </c>
      <c r="AJ476">
        <v>9</v>
      </c>
      <c r="AK476">
        <v>20</v>
      </c>
      <c r="AL476">
        <v>24</v>
      </c>
      <c r="AM476">
        <v>23</v>
      </c>
      <c r="AN476">
        <v>3</v>
      </c>
      <c r="AO476">
        <v>19</v>
      </c>
      <c r="AP476">
        <v>14</v>
      </c>
      <c r="AQ476">
        <v>17</v>
      </c>
      <c r="AR476">
        <v>7</v>
      </c>
      <c r="AS476">
        <v>8</v>
      </c>
    </row>
    <row r="477" spans="1:45" x14ac:dyDescent="0.25">
      <c r="A477">
        <v>40</v>
      </c>
      <c r="B477" t="s">
        <v>378</v>
      </c>
      <c r="E477" t="s">
        <v>392</v>
      </c>
      <c r="K477">
        <f>Scores_and_Fixtures[[#This Row],[Wk]]</f>
        <v>40</v>
      </c>
      <c r="L477" t="str">
        <f>Scores_and_Fixtures[[#This Row],[Home]]</f>
        <v>Birmingham City</v>
      </c>
      <c r="M477">
        <f ca="1">IF(ISBLANK(Scores_and_Fixtures[[#This Row],[Home Score]])=FALSE,Scores_and_Fixtures[[#This Row],[Home Score]],_xlfn.BINOM.INV(10000,(VLOOKUP(L477,$CK$4:$CM$27,2,FALSE)*VLOOKUP(O477,$CK$4:$CM$27,3,FALSE)*($CM$2/2))/10000,RAND()))</f>
        <v>0</v>
      </c>
      <c r="N477">
        <f ca="1">IF(ISBLANK(Scores_and_Fixtures[[#This Row],[Away Score]])=FALSE,Scores_and_Fixtures[[#This Row],[Away Score]],_xlfn.BINOM.INV(10000,(VLOOKUP(O477,$CK$4:$CM$27,2,FALSE)*VLOOKUP(L477,$CK$4:$CM$27,3,FALSE)*($CM$2/2))/10000,RAND()))</f>
        <v>0</v>
      </c>
      <c r="O477" t="str">
        <f>Scores_and_Fixtures[[#This Row],[Away]]</f>
        <v>Preston</v>
      </c>
      <c r="U477">
        <v>376</v>
      </c>
      <c r="V477">
        <v>18</v>
      </c>
      <c r="W477">
        <v>13</v>
      </c>
      <c r="X477">
        <v>17</v>
      </c>
      <c r="Y477">
        <v>7</v>
      </c>
      <c r="Z477">
        <v>14</v>
      </c>
      <c r="AA477">
        <v>19</v>
      </c>
      <c r="AB477">
        <v>5</v>
      </c>
      <c r="AC477">
        <v>2</v>
      </c>
      <c r="AD477">
        <v>3</v>
      </c>
      <c r="AE477">
        <v>1</v>
      </c>
      <c r="AF477">
        <v>11</v>
      </c>
      <c r="AG477">
        <v>21</v>
      </c>
      <c r="AH477">
        <v>15</v>
      </c>
      <c r="AI477">
        <v>12</v>
      </c>
      <c r="AJ477">
        <v>10</v>
      </c>
      <c r="AK477">
        <v>20</v>
      </c>
      <c r="AL477">
        <v>24</v>
      </c>
      <c r="AM477">
        <v>23</v>
      </c>
      <c r="AN477">
        <v>4</v>
      </c>
      <c r="AO477">
        <v>22</v>
      </c>
      <c r="AP477">
        <v>6</v>
      </c>
      <c r="AQ477">
        <v>16</v>
      </c>
      <c r="AR477">
        <v>9</v>
      </c>
      <c r="AS477">
        <v>8</v>
      </c>
    </row>
    <row r="478" spans="1:45" x14ac:dyDescent="0.25">
      <c r="A478">
        <v>40</v>
      </c>
      <c r="B478" t="s">
        <v>387</v>
      </c>
      <c r="E478" t="s">
        <v>390</v>
      </c>
      <c r="K478">
        <f>Scores_and_Fixtures[[#This Row],[Wk]]</f>
        <v>40</v>
      </c>
      <c r="L478" t="str">
        <f>Scores_and_Fixtures[[#This Row],[Home]]</f>
        <v>Leicester City</v>
      </c>
      <c r="M478">
        <f ca="1">IF(ISBLANK(Scores_and_Fixtures[[#This Row],[Home Score]])=FALSE,Scores_and_Fixtures[[#This Row],[Home Score]],_xlfn.BINOM.INV(10000,(VLOOKUP(L478,$CK$4:$CM$27,2,FALSE)*VLOOKUP(O478,$CK$4:$CM$27,3,FALSE)*($CM$2/2))/10000,RAND()))</f>
        <v>1</v>
      </c>
      <c r="N478">
        <f ca="1">IF(ISBLANK(Scores_and_Fixtures[[#This Row],[Away Score]])=FALSE,Scores_and_Fixtures[[#This Row],[Away Score]],_xlfn.BINOM.INV(10000,(VLOOKUP(O478,$CK$4:$CM$27,2,FALSE)*VLOOKUP(L478,$CK$4:$CM$27,3,FALSE)*($CM$2/2))/10000,RAND()))</f>
        <v>1</v>
      </c>
      <c r="O478" t="str">
        <f>Scores_and_Fixtures[[#This Row],[Away]]</f>
        <v>Norwich City</v>
      </c>
      <c r="U478">
        <v>377</v>
      </c>
      <c r="V478">
        <v>17</v>
      </c>
      <c r="W478">
        <v>5</v>
      </c>
      <c r="X478">
        <v>9</v>
      </c>
      <c r="Y478">
        <v>16</v>
      </c>
      <c r="Z478">
        <v>15</v>
      </c>
      <c r="AA478">
        <v>21</v>
      </c>
      <c r="AB478">
        <v>12</v>
      </c>
      <c r="AC478">
        <v>2</v>
      </c>
      <c r="AD478">
        <v>3</v>
      </c>
      <c r="AE478">
        <v>1</v>
      </c>
      <c r="AF478">
        <v>13</v>
      </c>
      <c r="AG478">
        <v>20</v>
      </c>
      <c r="AH478">
        <v>11</v>
      </c>
      <c r="AI478">
        <v>14</v>
      </c>
      <c r="AJ478">
        <v>18</v>
      </c>
      <c r="AK478">
        <v>19</v>
      </c>
      <c r="AL478">
        <v>24</v>
      </c>
      <c r="AM478">
        <v>23</v>
      </c>
      <c r="AN478">
        <v>4</v>
      </c>
      <c r="AO478">
        <v>22</v>
      </c>
      <c r="AP478">
        <v>8</v>
      </c>
      <c r="AQ478">
        <v>10</v>
      </c>
      <c r="AR478">
        <v>7</v>
      </c>
      <c r="AS478">
        <v>6</v>
      </c>
    </row>
    <row r="479" spans="1:45" x14ac:dyDescent="0.25">
      <c r="A479">
        <v>40</v>
      </c>
      <c r="B479" t="s">
        <v>401</v>
      </c>
      <c r="E479" t="s">
        <v>400</v>
      </c>
      <c r="K479">
        <f>Scores_and_Fixtures[[#This Row],[Wk]]</f>
        <v>40</v>
      </c>
      <c r="L479" t="str">
        <f>Scores_and_Fixtures[[#This Row],[Home]]</f>
        <v>West Brom</v>
      </c>
      <c r="M479">
        <f ca="1">IF(ISBLANK(Scores_and_Fixtures[[#This Row],[Home Score]])=FALSE,Scores_and_Fixtures[[#This Row],[Home Score]],_xlfn.BINOM.INV(10000,(VLOOKUP(L479,$CK$4:$CM$27,2,FALSE)*VLOOKUP(O479,$CK$4:$CM$27,3,FALSE)*($CM$2/2))/10000,RAND()))</f>
        <v>4</v>
      </c>
      <c r="N479">
        <f ca="1">IF(ISBLANK(Scores_and_Fixtures[[#This Row],[Away Score]])=FALSE,Scores_and_Fixtures[[#This Row],[Away Score]],_xlfn.BINOM.INV(10000,(VLOOKUP(O479,$CK$4:$CM$27,2,FALSE)*VLOOKUP(L479,$CK$4:$CM$27,3,FALSE)*($CM$2/2))/10000,RAND()))</f>
        <v>1</v>
      </c>
      <c r="O479" t="str">
        <f>Scores_and_Fixtures[[#This Row],[Away]]</f>
        <v>Watford</v>
      </c>
      <c r="U479">
        <v>378</v>
      </c>
      <c r="V479">
        <v>18</v>
      </c>
      <c r="W479">
        <v>9</v>
      </c>
      <c r="X479">
        <v>16</v>
      </c>
      <c r="Y479">
        <v>8</v>
      </c>
      <c r="Z479">
        <v>11</v>
      </c>
      <c r="AA479">
        <v>21</v>
      </c>
      <c r="AB479">
        <v>7</v>
      </c>
      <c r="AC479">
        <v>2</v>
      </c>
      <c r="AD479">
        <v>4</v>
      </c>
      <c r="AE479">
        <v>1</v>
      </c>
      <c r="AF479">
        <v>10</v>
      </c>
      <c r="AG479">
        <v>17</v>
      </c>
      <c r="AH479">
        <v>13</v>
      </c>
      <c r="AI479">
        <v>15</v>
      </c>
      <c r="AJ479">
        <v>14</v>
      </c>
      <c r="AK479">
        <v>22</v>
      </c>
      <c r="AL479">
        <v>24</v>
      </c>
      <c r="AM479">
        <v>23</v>
      </c>
      <c r="AN479">
        <v>3</v>
      </c>
      <c r="AO479">
        <v>19</v>
      </c>
      <c r="AP479">
        <v>5</v>
      </c>
      <c r="AQ479">
        <v>20</v>
      </c>
      <c r="AR479">
        <v>12</v>
      </c>
      <c r="AS479">
        <v>6</v>
      </c>
    </row>
    <row r="480" spans="1:45" x14ac:dyDescent="0.25">
      <c r="A480">
        <v>40</v>
      </c>
      <c r="B480" t="s">
        <v>382</v>
      </c>
      <c r="E480" t="s">
        <v>381</v>
      </c>
      <c r="K480">
        <f>Scores_and_Fixtures[[#This Row],[Wk]]</f>
        <v>40</v>
      </c>
      <c r="L480" t="str">
        <f>Scores_and_Fixtures[[#This Row],[Home]]</f>
        <v>Coventry City</v>
      </c>
      <c r="M480">
        <f ca="1">IF(ISBLANK(Scores_and_Fixtures[[#This Row],[Home Score]])=FALSE,Scores_and_Fixtures[[#This Row],[Home Score]],_xlfn.BINOM.INV(10000,(VLOOKUP(L480,$CK$4:$CM$27,2,FALSE)*VLOOKUP(O480,$CK$4:$CM$27,3,FALSE)*($CM$2/2))/10000,RAND()))</f>
        <v>4</v>
      </c>
      <c r="N480">
        <f ca="1">IF(ISBLANK(Scores_and_Fixtures[[#This Row],[Away Score]])=FALSE,Scores_and_Fixtures[[#This Row],[Away Score]],_xlfn.BINOM.INV(10000,(VLOOKUP(O480,$CK$4:$CM$27,2,FALSE)*VLOOKUP(L480,$CK$4:$CM$27,3,FALSE)*($CM$2/2))/10000,RAND()))</f>
        <v>0</v>
      </c>
      <c r="O480" t="str">
        <f>Scores_and_Fixtures[[#This Row],[Away]]</f>
        <v>Cardiff City</v>
      </c>
      <c r="U480">
        <v>379</v>
      </c>
      <c r="V480">
        <v>11</v>
      </c>
      <c r="W480">
        <v>13</v>
      </c>
      <c r="X480">
        <v>20</v>
      </c>
      <c r="Y480">
        <v>16</v>
      </c>
      <c r="Z480">
        <v>15</v>
      </c>
      <c r="AA480">
        <v>22</v>
      </c>
      <c r="AB480">
        <v>5</v>
      </c>
      <c r="AC480">
        <v>2</v>
      </c>
      <c r="AD480">
        <v>3</v>
      </c>
      <c r="AE480">
        <v>1</v>
      </c>
      <c r="AF480">
        <v>7</v>
      </c>
      <c r="AG480">
        <v>19</v>
      </c>
      <c r="AH480">
        <v>8</v>
      </c>
      <c r="AI480">
        <v>6</v>
      </c>
      <c r="AJ480">
        <v>14</v>
      </c>
      <c r="AK480">
        <v>21</v>
      </c>
      <c r="AL480">
        <v>24</v>
      </c>
      <c r="AM480">
        <v>23</v>
      </c>
      <c r="AN480">
        <v>4</v>
      </c>
      <c r="AO480">
        <v>17</v>
      </c>
      <c r="AP480">
        <v>12</v>
      </c>
      <c r="AQ480">
        <v>18</v>
      </c>
      <c r="AR480">
        <v>9</v>
      </c>
      <c r="AS480">
        <v>10</v>
      </c>
    </row>
    <row r="481" spans="1:45" x14ac:dyDescent="0.25">
      <c r="A481">
        <v>40</v>
      </c>
      <c r="B481" t="s">
        <v>386</v>
      </c>
      <c r="E481" t="s">
        <v>384</v>
      </c>
      <c r="K481">
        <f>Scores_and_Fixtures[[#This Row],[Wk]]</f>
        <v>40</v>
      </c>
      <c r="L481" t="str">
        <f>Scores_and_Fixtures[[#This Row],[Home]]</f>
        <v>Leeds United</v>
      </c>
      <c r="M481">
        <f ca="1">IF(ISBLANK(Scores_and_Fixtures[[#This Row],[Home Score]])=FALSE,Scores_and_Fixtures[[#This Row],[Home Score]],_xlfn.BINOM.INV(10000,(VLOOKUP(L481,$CK$4:$CM$27,2,FALSE)*VLOOKUP(O481,$CK$4:$CM$27,3,FALSE)*($CM$2/2))/10000,RAND()))</f>
        <v>2</v>
      </c>
      <c r="N481">
        <f ca="1">IF(ISBLANK(Scores_and_Fixtures[[#This Row],[Away Score]])=FALSE,Scores_and_Fixtures[[#This Row],[Away Score]],_xlfn.BINOM.INV(10000,(VLOOKUP(O481,$CK$4:$CM$27,2,FALSE)*VLOOKUP(L481,$CK$4:$CM$27,3,FALSE)*($CM$2/2))/10000,RAND()))</f>
        <v>1</v>
      </c>
      <c r="O481" t="str">
        <f>Scores_and_Fixtures[[#This Row],[Away]]</f>
        <v>Hull City</v>
      </c>
      <c r="U481">
        <v>380</v>
      </c>
      <c r="V481">
        <v>17</v>
      </c>
      <c r="W481">
        <v>14</v>
      </c>
      <c r="X481">
        <v>16</v>
      </c>
      <c r="Y481">
        <v>9</v>
      </c>
      <c r="Z481">
        <v>15</v>
      </c>
      <c r="AA481">
        <v>21</v>
      </c>
      <c r="AB481">
        <v>5</v>
      </c>
      <c r="AC481">
        <v>2</v>
      </c>
      <c r="AD481">
        <v>4</v>
      </c>
      <c r="AE481">
        <v>1</v>
      </c>
      <c r="AF481">
        <v>7</v>
      </c>
      <c r="AG481">
        <v>20</v>
      </c>
      <c r="AH481">
        <v>12</v>
      </c>
      <c r="AI481">
        <v>13</v>
      </c>
      <c r="AJ481">
        <v>10</v>
      </c>
      <c r="AK481">
        <v>22</v>
      </c>
      <c r="AL481">
        <v>24</v>
      </c>
      <c r="AM481">
        <v>23</v>
      </c>
      <c r="AN481">
        <v>3</v>
      </c>
      <c r="AO481">
        <v>19</v>
      </c>
      <c r="AP481">
        <v>6</v>
      </c>
      <c r="AQ481">
        <v>18</v>
      </c>
      <c r="AR481">
        <v>11</v>
      </c>
      <c r="AS481">
        <v>8</v>
      </c>
    </row>
    <row r="482" spans="1:45" x14ac:dyDescent="0.25">
      <c r="A482">
        <v>41</v>
      </c>
      <c r="B482" t="s">
        <v>382</v>
      </c>
      <c r="E482" t="s">
        <v>386</v>
      </c>
      <c r="K482">
        <f>Scores_and_Fixtures[[#This Row],[Wk]]</f>
        <v>41</v>
      </c>
      <c r="L482" t="str">
        <f>Scores_and_Fixtures[[#This Row],[Home]]</f>
        <v>Coventry City</v>
      </c>
      <c r="M482">
        <f ca="1">IF(ISBLANK(Scores_and_Fixtures[[#This Row],[Home Score]])=FALSE,Scores_and_Fixtures[[#This Row],[Home Score]],_xlfn.BINOM.INV(10000,(VLOOKUP(L482,$CK$4:$CM$27,2,FALSE)*VLOOKUP(O482,$CK$4:$CM$27,3,FALSE)*($CM$2/2))/10000,RAND()))</f>
        <v>2</v>
      </c>
      <c r="N482">
        <f ca="1">IF(ISBLANK(Scores_and_Fixtures[[#This Row],[Away Score]])=FALSE,Scores_and_Fixtures[[#This Row],[Away Score]],_xlfn.BINOM.INV(10000,(VLOOKUP(O482,$CK$4:$CM$27,2,FALSE)*VLOOKUP(L482,$CK$4:$CM$27,3,FALSE)*($CM$2/2))/10000,RAND()))</f>
        <v>2</v>
      </c>
      <c r="O482" t="str">
        <f>Scores_and_Fixtures[[#This Row],[Away]]</f>
        <v>Leeds United</v>
      </c>
      <c r="U482">
        <v>381</v>
      </c>
      <c r="V482">
        <v>14</v>
      </c>
      <c r="W482">
        <v>8</v>
      </c>
      <c r="X482">
        <v>17</v>
      </c>
      <c r="Y482">
        <v>11</v>
      </c>
      <c r="Z482">
        <v>18</v>
      </c>
      <c r="AA482">
        <v>21</v>
      </c>
      <c r="AB482">
        <v>7</v>
      </c>
      <c r="AC482">
        <v>2</v>
      </c>
      <c r="AD482">
        <v>4</v>
      </c>
      <c r="AE482">
        <v>1</v>
      </c>
      <c r="AF482">
        <v>6</v>
      </c>
      <c r="AG482">
        <v>19</v>
      </c>
      <c r="AH482">
        <v>12</v>
      </c>
      <c r="AI482">
        <v>16</v>
      </c>
      <c r="AJ482">
        <v>15</v>
      </c>
      <c r="AK482">
        <v>22</v>
      </c>
      <c r="AL482">
        <v>24</v>
      </c>
      <c r="AM482">
        <v>23</v>
      </c>
      <c r="AN482">
        <v>3</v>
      </c>
      <c r="AO482">
        <v>20</v>
      </c>
      <c r="AP482">
        <v>5</v>
      </c>
      <c r="AQ482">
        <v>13</v>
      </c>
      <c r="AR482">
        <v>10</v>
      </c>
      <c r="AS482">
        <v>9</v>
      </c>
    </row>
    <row r="483" spans="1:45" x14ac:dyDescent="0.25">
      <c r="A483">
        <v>41</v>
      </c>
      <c r="B483" t="s">
        <v>400</v>
      </c>
      <c r="E483" t="s">
        <v>392</v>
      </c>
      <c r="K483">
        <f>Scores_and_Fixtures[[#This Row],[Wk]]</f>
        <v>41</v>
      </c>
      <c r="L483" t="str">
        <f>Scores_and_Fixtures[[#This Row],[Home]]</f>
        <v>Watford</v>
      </c>
      <c r="M483">
        <f ca="1">IF(ISBLANK(Scores_and_Fixtures[[#This Row],[Home Score]])=FALSE,Scores_and_Fixtures[[#This Row],[Home Score]],_xlfn.BINOM.INV(10000,(VLOOKUP(L483,$CK$4:$CM$27,2,FALSE)*VLOOKUP(O483,$CK$4:$CM$27,3,FALSE)*($CM$2/2))/10000,RAND()))</f>
        <v>2</v>
      </c>
      <c r="N483">
        <f ca="1">IF(ISBLANK(Scores_and_Fixtures[[#This Row],[Away Score]])=FALSE,Scores_and_Fixtures[[#This Row],[Away Score]],_xlfn.BINOM.INV(10000,(VLOOKUP(O483,$CK$4:$CM$27,2,FALSE)*VLOOKUP(L483,$CK$4:$CM$27,3,FALSE)*($CM$2/2))/10000,RAND()))</f>
        <v>1</v>
      </c>
      <c r="O483" t="str">
        <f>Scores_and_Fixtures[[#This Row],[Away]]</f>
        <v>Preston</v>
      </c>
      <c r="U483">
        <v>382</v>
      </c>
      <c r="V483">
        <v>16</v>
      </c>
      <c r="W483">
        <v>11</v>
      </c>
      <c r="X483">
        <v>12</v>
      </c>
      <c r="Y483">
        <v>8</v>
      </c>
      <c r="Z483">
        <v>19</v>
      </c>
      <c r="AA483">
        <v>21</v>
      </c>
      <c r="AB483">
        <v>10</v>
      </c>
      <c r="AC483">
        <v>1</v>
      </c>
      <c r="AD483">
        <v>3</v>
      </c>
      <c r="AE483">
        <v>2</v>
      </c>
      <c r="AF483">
        <v>9</v>
      </c>
      <c r="AG483">
        <v>15</v>
      </c>
      <c r="AH483">
        <v>14</v>
      </c>
      <c r="AI483">
        <v>17</v>
      </c>
      <c r="AJ483">
        <v>18</v>
      </c>
      <c r="AK483">
        <v>23</v>
      </c>
      <c r="AL483">
        <v>24</v>
      </c>
      <c r="AM483">
        <v>22</v>
      </c>
      <c r="AN483">
        <v>4</v>
      </c>
      <c r="AO483">
        <v>20</v>
      </c>
      <c r="AP483">
        <v>6</v>
      </c>
      <c r="AQ483">
        <v>13</v>
      </c>
      <c r="AR483">
        <v>5</v>
      </c>
      <c r="AS483">
        <v>7</v>
      </c>
    </row>
    <row r="484" spans="1:45" x14ac:dyDescent="0.25">
      <c r="A484">
        <v>41</v>
      </c>
      <c r="B484" t="s">
        <v>383</v>
      </c>
      <c r="E484" t="s">
        <v>389</v>
      </c>
      <c r="K484">
        <f>Scores_and_Fixtures[[#This Row],[Wk]]</f>
        <v>41</v>
      </c>
      <c r="L484" t="str">
        <f>Scores_and_Fixtures[[#This Row],[Home]]</f>
        <v>Huddersfield</v>
      </c>
      <c r="M484">
        <f ca="1">IF(ISBLANK(Scores_and_Fixtures[[#This Row],[Home Score]])=FALSE,Scores_and_Fixtures[[#This Row],[Home Score]],_xlfn.BINOM.INV(10000,(VLOOKUP(L484,$CK$4:$CM$27,2,FALSE)*VLOOKUP(O484,$CK$4:$CM$27,3,FALSE)*($CM$2/2))/10000,RAND()))</f>
        <v>1</v>
      </c>
      <c r="N484">
        <f ca="1">IF(ISBLANK(Scores_and_Fixtures[[#This Row],[Away Score]])=FALSE,Scores_and_Fixtures[[#This Row],[Away Score]],_xlfn.BINOM.INV(10000,(VLOOKUP(O484,$CK$4:$CM$27,2,FALSE)*VLOOKUP(L484,$CK$4:$CM$27,3,FALSE)*($CM$2/2))/10000,RAND()))</f>
        <v>0</v>
      </c>
      <c r="O484" t="str">
        <f>Scores_and_Fixtures[[#This Row],[Away]]</f>
        <v>Millwall</v>
      </c>
      <c r="U484">
        <v>383</v>
      </c>
      <c r="V484">
        <v>13</v>
      </c>
      <c r="W484">
        <v>6</v>
      </c>
      <c r="X484">
        <v>11</v>
      </c>
      <c r="Y484">
        <v>9</v>
      </c>
      <c r="Z484">
        <v>19</v>
      </c>
      <c r="AA484">
        <v>22</v>
      </c>
      <c r="AB484">
        <v>5</v>
      </c>
      <c r="AC484">
        <v>2</v>
      </c>
      <c r="AD484">
        <v>4</v>
      </c>
      <c r="AE484">
        <v>1</v>
      </c>
      <c r="AF484">
        <v>10</v>
      </c>
      <c r="AG484">
        <v>17</v>
      </c>
      <c r="AH484">
        <v>14</v>
      </c>
      <c r="AI484">
        <v>18</v>
      </c>
      <c r="AJ484">
        <v>15</v>
      </c>
      <c r="AK484">
        <v>20</v>
      </c>
      <c r="AL484">
        <v>24</v>
      </c>
      <c r="AM484">
        <v>23</v>
      </c>
      <c r="AN484">
        <v>3</v>
      </c>
      <c r="AO484">
        <v>21</v>
      </c>
      <c r="AP484">
        <v>12</v>
      </c>
      <c r="AQ484">
        <v>16</v>
      </c>
      <c r="AR484">
        <v>7</v>
      </c>
      <c r="AS484">
        <v>8</v>
      </c>
    </row>
    <row r="485" spans="1:45" x14ac:dyDescent="0.25">
      <c r="A485">
        <v>41</v>
      </c>
      <c r="B485" t="s">
        <v>394</v>
      </c>
      <c r="E485" t="s">
        <v>391</v>
      </c>
      <c r="K485">
        <f>Scores_and_Fixtures[[#This Row],[Wk]]</f>
        <v>41</v>
      </c>
      <c r="L485" t="str">
        <f>Scores_and_Fixtures[[#This Row],[Home]]</f>
        <v>Rotherham Utd</v>
      </c>
      <c r="M485">
        <f ca="1">IF(ISBLANK(Scores_and_Fixtures[[#This Row],[Home Score]])=FALSE,Scores_and_Fixtures[[#This Row],[Home Score]],_xlfn.BINOM.INV(10000,(VLOOKUP(L485,$CK$4:$CM$27,2,FALSE)*VLOOKUP(O485,$CK$4:$CM$27,3,FALSE)*($CM$2/2))/10000,RAND()))</f>
        <v>0</v>
      </c>
      <c r="N485">
        <f ca="1">IF(ISBLANK(Scores_and_Fixtures[[#This Row],[Away Score]])=FALSE,Scores_and_Fixtures[[#This Row],[Away Score]],_xlfn.BINOM.INV(10000,(VLOOKUP(O485,$CK$4:$CM$27,2,FALSE)*VLOOKUP(L485,$CK$4:$CM$27,3,FALSE)*($CM$2/2))/10000,RAND()))</f>
        <v>3</v>
      </c>
      <c r="O485" t="str">
        <f>Scores_and_Fixtures[[#This Row],[Away]]</f>
        <v>Plymouth Argyle</v>
      </c>
      <c r="U485">
        <v>384</v>
      </c>
      <c r="V485">
        <v>19</v>
      </c>
      <c r="W485">
        <v>16</v>
      </c>
      <c r="X485">
        <v>10</v>
      </c>
      <c r="Y485">
        <v>14</v>
      </c>
      <c r="Z485">
        <v>12</v>
      </c>
      <c r="AA485">
        <v>22</v>
      </c>
      <c r="AB485">
        <v>6</v>
      </c>
      <c r="AC485">
        <v>2</v>
      </c>
      <c r="AD485">
        <v>3</v>
      </c>
      <c r="AE485">
        <v>1</v>
      </c>
      <c r="AF485">
        <v>8</v>
      </c>
      <c r="AG485">
        <v>18</v>
      </c>
      <c r="AH485">
        <v>11</v>
      </c>
      <c r="AI485">
        <v>13</v>
      </c>
      <c r="AJ485">
        <v>15</v>
      </c>
      <c r="AK485">
        <v>21</v>
      </c>
      <c r="AL485">
        <v>24</v>
      </c>
      <c r="AM485">
        <v>23</v>
      </c>
      <c r="AN485">
        <v>4</v>
      </c>
      <c r="AO485">
        <v>17</v>
      </c>
      <c r="AP485">
        <v>7</v>
      </c>
      <c r="AQ485">
        <v>20</v>
      </c>
      <c r="AR485">
        <v>9</v>
      </c>
      <c r="AS485">
        <v>5</v>
      </c>
    </row>
    <row r="486" spans="1:45" x14ac:dyDescent="0.25">
      <c r="A486">
        <v>41</v>
      </c>
      <c r="B486" t="s">
        <v>390</v>
      </c>
      <c r="E486" t="s">
        <v>385</v>
      </c>
      <c r="K486">
        <f>Scores_and_Fixtures[[#This Row],[Wk]]</f>
        <v>41</v>
      </c>
      <c r="L486" t="str">
        <f>Scores_and_Fixtures[[#This Row],[Home]]</f>
        <v>Norwich City</v>
      </c>
      <c r="M486">
        <f ca="1">IF(ISBLANK(Scores_and_Fixtures[[#This Row],[Home Score]])=FALSE,Scores_and_Fixtures[[#This Row],[Home Score]],_xlfn.BINOM.INV(10000,(VLOOKUP(L486,$CK$4:$CM$27,2,FALSE)*VLOOKUP(O486,$CK$4:$CM$27,3,FALSE)*($CM$2/2))/10000,RAND()))</f>
        <v>1</v>
      </c>
      <c r="N486">
        <f ca="1">IF(ISBLANK(Scores_and_Fixtures[[#This Row],[Away Score]])=FALSE,Scores_and_Fixtures[[#This Row],[Away Score]],_xlfn.BINOM.INV(10000,(VLOOKUP(O486,$CK$4:$CM$27,2,FALSE)*VLOOKUP(L486,$CK$4:$CM$27,3,FALSE)*($CM$2/2))/10000,RAND()))</f>
        <v>3</v>
      </c>
      <c r="O486" t="str">
        <f>Scores_and_Fixtures[[#This Row],[Away]]</f>
        <v>Ipswich Town</v>
      </c>
      <c r="U486">
        <v>385</v>
      </c>
      <c r="V486">
        <v>12</v>
      </c>
      <c r="W486">
        <v>9</v>
      </c>
      <c r="X486">
        <v>19</v>
      </c>
      <c r="Y486">
        <v>11</v>
      </c>
      <c r="Z486">
        <v>18</v>
      </c>
      <c r="AA486">
        <v>23</v>
      </c>
      <c r="AB486">
        <v>6</v>
      </c>
      <c r="AC486">
        <v>2</v>
      </c>
      <c r="AD486">
        <v>3</v>
      </c>
      <c r="AE486">
        <v>1</v>
      </c>
      <c r="AF486">
        <v>16</v>
      </c>
      <c r="AG486">
        <v>17</v>
      </c>
      <c r="AH486">
        <v>8</v>
      </c>
      <c r="AI486">
        <v>15</v>
      </c>
      <c r="AJ486">
        <v>13</v>
      </c>
      <c r="AK486">
        <v>22</v>
      </c>
      <c r="AL486">
        <v>24</v>
      </c>
      <c r="AM486">
        <v>21</v>
      </c>
      <c r="AN486">
        <v>4</v>
      </c>
      <c r="AO486">
        <v>20</v>
      </c>
      <c r="AP486">
        <v>7</v>
      </c>
      <c r="AQ486">
        <v>14</v>
      </c>
      <c r="AR486">
        <v>5</v>
      </c>
      <c r="AS486">
        <v>10</v>
      </c>
    </row>
    <row r="487" spans="1:45" x14ac:dyDescent="0.25">
      <c r="A487">
        <v>41</v>
      </c>
      <c r="B487" t="s">
        <v>398</v>
      </c>
      <c r="E487" t="s">
        <v>380</v>
      </c>
      <c r="K487">
        <f>Scores_and_Fixtures[[#This Row],[Wk]]</f>
        <v>41</v>
      </c>
      <c r="L487" t="str">
        <f>Scores_and_Fixtures[[#This Row],[Home]]</f>
        <v>Sunderland</v>
      </c>
      <c r="M487">
        <f ca="1">IF(ISBLANK(Scores_and_Fixtures[[#This Row],[Home Score]])=FALSE,Scores_and_Fixtures[[#This Row],[Home Score]],_xlfn.BINOM.INV(10000,(VLOOKUP(L487,$CK$4:$CM$27,2,FALSE)*VLOOKUP(O487,$CK$4:$CM$27,3,FALSE)*($CM$2/2))/10000,RAND()))</f>
        <v>1</v>
      </c>
      <c r="N487">
        <f ca="1">IF(ISBLANK(Scores_and_Fixtures[[#This Row],[Away Score]])=FALSE,Scores_and_Fixtures[[#This Row],[Away Score]],_xlfn.BINOM.INV(10000,(VLOOKUP(O487,$CK$4:$CM$27,2,FALSE)*VLOOKUP(L487,$CK$4:$CM$27,3,FALSE)*($CM$2/2))/10000,RAND()))</f>
        <v>1</v>
      </c>
      <c r="O487" t="str">
        <f>Scores_and_Fixtures[[#This Row],[Away]]</f>
        <v>Bristol City</v>
      </c>
      <c r="U487">
        <v>386</v>
      </c>
      <c r="V487">
        <v>12</v>
      </c>
      <c r="W487">
        <v>11</v>
      </c>
      <c r="X487">
        <v>16</v>
      </c>
      <c r="Y487">
        <v>15</v>
      </c>
      <c r="Z487">
        <v>9</v>
      </c>
      <c r="AA487">
        <v>18</v>
      </c>
      <c r="AB487">
        <v>4</v>
      </c>
      <c r="AC487">
        <v>2</v>
      </c>
      <c r="AD487">
        <v>3</v>
      </c>
      <c r="AE487">
        <v>1</v>
      </c>
      <c r="AF487">
        <v>14</v>
      </c>
      <c r="AG487">
        <v>21</v>
      </c>
      <c r="AH487">
        <v>17</v>
      </c>
      <c r="AI487">
        <v>10</v>
      </c>
      <c r="AJ487">
        <v>13</v>
      </c>
      <c r="AK487">
        <v>20</v>
      </c>
      <c r="AL487">
        <v>24</v>
      </c>
      <c r="AM487">
        <v>23</v>
      </c>
      <c r="AN487">
        <v>5</v>
      </c>
      <c r="AO487">
        <v>22</v>
      </c>
      <c r="AP487">
        <v>6</v>
      </c>
      <c r="AQ487">
        <v>19</v>
      </c>
      <c r="AR487">
        <v>7</v>
      </c>
      <c r="AS487">
        <v>8</v>
      </c>
    </row>
    <row r="488" spans="1:45" x14ac:dyDescent="0.25">
      <c r="A488">
        <v>41</v>
      </c>
      <c r="B488" t="s">
        <v>388</v>
      </c>
      <c r="E488" t="s">
        <v>399</v>
      </c>
      <c r="K488">
        <f>Scores_and_Fixtures[[#This Row],[Wk]]</f>
        <v>41</v>
      </c>
      <c r="L488" t="str">
        <f>Scores_and_Fixtures[[#This Row],[Home]]</f>
        <v>Middlesbrough</v>
      </c>
      <c r="M488">
        <f ca="1">IF(ISBLANK(Scores_and_Fixtures[[#This Row],[Home Score]])=FALSE,Scores_and_Fixtures[[#This Row],[Home Score]],_xlfn.BINOM.INV(10000,(VLOOKUP(L488,$CK$4:$CM$27,2,FALSE)*VLOOKUP(O488,$CK$4:$CM$27,3,FALSE)*($CM$2/2))/10000,RAND()))</f>
        <v>2</v>
      </c>
      <c r="N488">
        <f ca="1">IF(ISBLANK(Scores_and_Fixtures[[#This Row],[Away Score]])=FALSE,Scores_and_Fixtures[[#This Row],[Away Score]],_xlfn.BINOM.INV(10000,(VLOOKUP(O488,$CK$4:$CM$27,2,FALSE)*VLOOKUP(L488,$CK$4:$CM$27,3,FALSE)*($CM$2/2))/10000,RAND()))</f>
        <v>1</v>
      </c>
      <c r="O488" t="str">
        <f>Scores_and_Fixtures[[#This Row],[Away]]</f>
        <v>Swansea City</v>
      </c>
      <c r="U488">
        <v>387</v>
      </c>
      <c r="V488">
        <v>9</v>
      </c>
      <c r="W488">
        <v>14</v>
      </c>
      <c r="X488">
        <v>15</v>
      </c>
      <c r="Y488">
        <v>19</v>
      </c>
      <c r="Z488">
        <v>8</v>
      </c>
      <c r="AA488">
        <v>20</v>
      </c>
      <c r="AB488">
        <v>5</v>
      </c>
      <c r="AC488">
        <v>2</v>
      </c>
      <c r="AD488">
        <v>3</v>
      </c>
      <c r="AE488">
        <v>1</v>
      </c>
      <c r="AF488">
        <v>12</v>
      </c>
      <c r="AG488">
        <v>17</v>
      </c>
      <c r="AH488">
        <v>16</v>
      </c>
      <c r="AI488">
        <v>13</v>
      </c>
      <c r="AJ488">
        <v>10</v>
      </c>
      <c r="AK488">
        <v>22</v>
      </c>
      <c r="AL488">
        <v>24</v>
      </c>
      <c r="AM488">
        <v>23</v>
      </c>
      <c r="AN488">
        <v>4</v>
      </c>
      <c r="AO488">
        <v>21</v>
      </c>
      <c r="AP488">
        <v>6</v>
      </c>
      <c r="AQ488">
        <v>18</v>
      </c>
      <c r="AR488">
        <v>11</v>
      </c>
      <c r="AS488">
        <v>7</v>
      </c>
    </row>
    <row r="489" spans="1:45" x14ac:dyDescent="0.25">
      <c r="A489">
        <v>41</v>
      </c>
      <c r="B489" t="s">
        <v>397</v>
      </c>
      <c r="E489" t="s">
        <v>401</v>
      </c>
      <c r="K489">
        <f>Scores_and_Fixtures[[#This Row],[Wk]]</f>
        <v>41</v>
      </c>
      <c r="L489" t="str">
        <f>Scores_and_Fixtures[[#This Row],[Home]]</f>
        <v>Stoke City</v>
      </c>
      <c r="M489">
        <f ca="1">IF(ISBLANK(Scores_and_Fixtures[[#This Row],[Home Score]])=FALSE,Scores_and_Fixtures[[#This Row],[Home Score]],_xlfn.BINOM.INV(10000,(VLOOKUP(L489,$CK$4:$CM$27,2,FALSE)*VLOOKUP(O489,$CK$4:$CM$27,3,FALSE)*($CM$2/2))/10000,RAND()))</f>
        <v>1</v>
      </c>
      <c r="N489">
        <f ca="1">IF(ISBLANK(Scores_and_Fixtures[[#This Row],[Away Score]])=FALSE,Scores_and_Fixtures[[#This Row],[Away Score]],_xlfn.BINOM.INV(10000,(VLOOKUP(O489,$CK$4:$CM$27,2,FALSE)*VLOOKUP(L489,$CK$4:$CM$27,3,FALSE)*($CM$2/2))/10000,RAND()))</f>
        <v>0</v>
      </c>
      <c r="O489" t="str">
        <f>Scores_and_Fixtures[[#This Row],[Away]]</f>
        <v>West Brom</v>
      </c>
      <c r="U489">
        <v>388</v>
      </c>
      <c r="V489">
        <v>17</v>
      </c>
      <c r="W489">
        <v>12</v>
      </c>
      <c r="X489">
        <v>10</v>
      </c>
      <c r="Y489">
        <v>9</v>
      </c>
      <c r="Z489">
        <v>15</v>
      </c>
      <c r="AA489">
        <v>21</v>
      </c>
      <c r="AB489">
        <v>6</v>
      </c>
      <c r="AC489">
        <v>2</v>
      </c>
      <c r="AD489">
        <v>4</v>
      </c>
      <c r="AE489">
        <v>1</v>
      </c>
      <c r="AF489">
        <v>8</v>
      </c>
      <c r="AG489">
        <v>19</v>
      </c>
      <c r="AH489">
        <v>11</v>
      </c>
      <c r="AI489">
        <v>16</v>
      </c>
      <c r="AJ489">
        <v>14</v>
      </c>
      <c r="AK489">
        <v>20</v>
      </c>
      <c r="AL489">
        <v>24</v>
      </c>
      <c r="AM489">
        <v>23</v>
      </c>
      <c r="AN489">
        <v>3</v>
      </c>
      <c r="AO489">
        <v>22</v>
      </c>
      <c r="AP489">
        <v>5</v>
      </c>
      <c r="AQ489">
        <v>18</v>
      </c>
      <c r="AR489">
        <v>7</v>
      </c>
      <c r="AS489">
        <v>13</v>
      </c>
    </row>
    <row r="490" spans="1:45" x14ac:dyDescent="0.25">
      <c r="A490">
        <v>41</v>
      </c>
      <c r="B490" t="s">
        <v>393</v>
      </c>
      <c r="E490" t="s">
        <v>395</v>
      </c>
      <c r="K490">
        <f>Scores_and_Fixtures[[#This Row],[Wk]]</f>
        <v>41</v>
      </c>
      <c r="L490" t="str">
        <f>Scores_and_Fixtures[[#This Row],[Home]]</f>
        <v>QPR</v>
      </c>
      <c r="M490">
        <f ca="1">IF(ISBLANK(Scores_and_Fixtures[[#This Row],[Home Score]])=FALSE,Scores_and_Fixtures[[#This Row],[Home Score]],_xlfn.BINOM.INV(10000,(VLOOKUP(L490,$CK$4:$CM$27,2,FALSE)*VLOOKUP(O490,$CK$4:$CM$27,3,FALSE)*($CM$2/2))/10000,RAND()))</f>
        <v>1</v>
      </c>
      <c r="N490">
        <f ca="1">IF(ISBLANK(Scores_and_Fixtures[[#This Row],[Away Score]])=FALSE,Scores_and_Fixtures[[#This Row],[Away Score]],_xlfn.BINOM.INV(10000,(VLOOKUP(O490,$CK$4:$CM$27,2,FALSE)*VLOOKUP(L490,$CK$4:$CM$27,3,FALSE)*($CM$2/2))/10000,RAND()))</f>
        <v>0</v>
      </c>
      <c r="O490" t="str">
        <f>Scores_and_Fixtures[[#This Row],[Away]]</f>
        <v>Sheffield Weds</v>
      </c>
      <c r="U490">
        <v>389</v>
      </c>
      <c r="V490">
        <v>17</v>
      </c>
      <c r="W490">
        <v>15</v>
      </c>
      <c r="X490">
        <v>14</v>
      </c>
      <c r="Y490">
        <v>8</v>
      </c>
      <c r="Z490">
        <v>13</v>
      </c>
      <c r="AA490">
        <v>20</v>
      </c>
      <c r="AB490">
        <v>7</v>
      </c>
      <c r="AC490">
        <v>2</v>
      </c>
      <c r="AD490">
        <v>4</v>
      </c>
      <c r="AE490">
        <v>1</v>
      </c>
      <c r="AF490">
        <v>10</v>
      </c>
      <c r="AG490">
        <v>16</v>
      </c>
      <c r="AH490">
        <v>11</v>
      </c>
      <c r="AI490">
        <v>19</v>
      </c>
      <c r="AJ490">
        <v>12</v>
      </c>
      <c r="AK490">
        <v>22</v>
      </c>
      <c r="AL490">
        <v>24</v>
      </c>
      <c r="AM490">
        <v>23</v>
      </c>
      <c r="AN490">
        <v>3</v>
      </c>
      <c r="AO490">
        <v>21</v>
      </c>
      <c r="AP490">
        <v>5</v>
      </c>
      <c r="AQ490">
        <v>18</v>
      </c>
      <c r="AR490">
        <v>9</v>
      </c>
      <c r="AS490">
        <v>6</v>
      </c>
    </row>
    <row r="491" spans="1:45" x14ac:dyDescent="0.25">
      <c r="A491">
        <v>41</v>
      </c>
      <c r="B491" t="s">
        <v>381</v>
      </c>
      <c r="E491" t="s">
        <v>384</v>
      </c>
      <c r="K491">
        <f>Scores_and_Fixtures[[#This Row],[Wk]]</f>
        <v>41</v>
      </c>
      <c r="L491" t="str">
        <f>Scores_and_Fixtures[[#This Row],[Home]]</f>
        <v>Cardiff City</v>
      </c>
      <c r="M491">
        <f ca="1">IF(ISBLANK(Scores_and_Fixtures[[#This Row],[Home Score]])=FALSE,Scores_and_Fixtures[[#This Row],[Home Score]],_xlfn.BINOM.INV(10000,(VLOOKUP(L491,$CK$4:$CM$27,2,FALSE)*VLOOKUP(O491,$CK$4:$CM$27,3,FALSE)*($CM$2/2))/10000,RAND()))</f>
        <v>1</v>
      </c>
      <c r="N491">
        <f ca="1">IF(ISBLANK(Scores_and_Fixtures[[#This Row],[Away Score]])=FALSE,Scores_and_Fixtures[[#This Row],[Away Score]],_xlfn.BINOM.INV(10000,(VLOOKUP(O491,$CK$4:$CM$27,2,FALSE)*VLOOKUP(L491,$CK$4:$CM$27,3,FALSE)*($CM$2/2))/10000,RAND()))</f>
        <v>4</v>
      </c>
      <c r="O491" t="str">
        <f>Scores_and_Fixtures[[#This Row],[Away]]</f>
        <v>Hull City</v>
      </c>
      <c r="U491">
        <v>390</v>
      </c>
      <c r="V491">
        <v>12</v>
      </c>
      <c r="W491">
        <v>17</v>
      </c>
      <c r="X491">
        <v>16</v>
      </c>
      <c r="Y491">
        <v>14</v>
      </c>
      <c r="Z491">
        <v>11</v>
      </c>
      <c r="AA491">
        <v>21</v>
      </c>
      <c r="AB491">
        <v>6</v>
      </c>
      <c r="AC491">
        <v>3</v>
      </c>
      <c r="AD491">
        <v>2</v>
      </c>
      <c r="AE491">
        <v>1</v>
      </c>
      <c r="AF491">
        <v>9</v>
      </c>
      <c r="AG491">
        <v>15</v>
      </c>
      <c r="AH491">
        <v>10</v>
      </c>
      <c r="AI491">
        <v>13</v>
      </c>
      <c r="AJ491">
        <v>18</v>
      </c>
      <c r="AK491">
        <v>22</v>
      </c>
      <c r="AL491">
        <v>24</v>
      </c>
      <c r="AM491">
        <v>23</v>
      </c>
      <c r="AN491">
        <v>4</v>
      </c>
      <c r="AO491">
        <v>20</v>
      </c>
      <c r="AP491">
        <v>7</v>
      </c>
      <c r="AQ491">
        <v>19</v>
      </c>
      <c r="AR491">
        <v>8</v>
      </c>
      <c r="AS491">
        <v>5</v>
      </c>
    </row>
    <row r="492" spans="1:45" x14ac:dyDescent="0.25">
      <c r="A492">
        <v>41</v>
      </c>
      <c r="B492" t="s">
        <v>379</v>
      </c>
      <c r="E492" t="s">
        <v>396</v>
      </c>
      <c r="K492">
        <f>Scores_and_Fixtures[[#This Row],[Wk]]</f>
        <v>41</v>
      </c>
      <c r="L492" t="str">
        <f>Scores_and_Fixtures[[#This Row],[Home]]</f>
        <v>Blackburn</v>
      </c>
      <c r="M492">
        <f ca="1">IF(ISBLANK(Scores_and_Fixtures[[#This Row],[Home Score]])=FALSE,Scores_and_Fixtures[[#This Row],[Home Score]],_xlfn.BINOM.INV(10000,(VLOOKUP(L492,$CK$4:$CM$27,2,FALSE)*VLOOKUP(O492,$CK$4:$CM$27,3,FALSE)*($CM$2/2))/10000,RAND()))</f>
        <v>0</v>
      </c>
      <c r="N492">
        <f ca="1">IF(ISBLANK(Scores_and_Fixtures[[#This Row],[Away Score]])=FALSE,Scores_and_Fixtures[[#This Row],[Away Score]],_xlfn.BINOM.INV(10000,(VLOOKUP(O492,$CK$4:$CM$27,2,FALSE)*VLOOKUP(L492,$CK$4:$CM$27,3,FALSE)*($CM$2/2))/10000,RAND()))</f>
        <v>4</v>
      </c>
      <c r="O492" t="str">
        <f>Scores_and_Fixtures[[#This Row],[Away]]</f>
        <v>Southampton</v>
      </c>
      <c r="U492">
        <v>391</v>
      </c>
      <c r="V492">
        <v>20</v>
      </c>
      <c r="W492">
        <v>13</v>
      </c>
      <c r="X492">
        <v>19</v>
      </c>
      <c r="Y492">
        <v>8</v>
      </c>
      <c r="Z492">
        <v>11</v>
      </c>
      <c r="AA492">
        <v>16</v>
      </c>
      <c r="AB492">
        <v>6</v>
      </c>
      <c r="AC492">
        <v>2</v>
      </c>
      <c r="AD492">
        <v>4</v>
      </c>
      <c r="AE492">
        <v>1</v>
      </c>
      <c r="AF492">
        <v>14</v>
      </c>
      <c r="AG492">
        <v>15</v>
      </c>
      <c r="AH492">
        <v>10</v>
      </c>
      <c r="AI492">
        <v>18</v>
      </c>
      <c r="AJ492">
        <v>17</v>
      </c>
      <c r="AK492">
        <v>22</v>
      </c>
      <c r="AL492">
        <v>24</v>
      </c>
      <c r="AM492">
        <v>23</v>
      </c>
      <c r="AN492">
        <v>3</v>
      </c>
      <c r="AO492">
        <v>21</v>
      </c>
      <c r="AP492">
        <v>9</v>
      </c>
      <c r="AQ492">
        <v>12</v>
      </c>
      <c r="AR492">
        <v>7</v>
      </c>
      <c r="AS492">
        <v>5</v>
      </c>
    </row>
    <row r="493" spans="1:45" x14ac:dyDescent="0.25">
      <c r="A493">
        <v>41</v>
      </c>
      <c r="B493" t="s">
        <v>387</v>
      </c>
      <c r="E493" t="s">
        <v>378</v>
      </c>
      <c r="K493">
        <f>Scores_and_Fixtures[[#This Row],[Wk]]</f>
        <v>41</v>
      </c>
      <c r="L493" t="str">
        <f>Scores_and_Fixtures[[#This Row],[Home]]</f>
        <v>Leicester City</v>
      </c>
      <c r="M493">
        <f ca="1">IF(ISBLANK(Scores_and_Fixtures[[#This Row],[Home Score]])=FALSE,Scores_and_Fixtures[[#This Row],[Home Score]],_xlfn.BINOM.INV(10000,(VLOOKUP(L493,$CK$4:$CM$27,2,FALSE)*VLOOKUP(O493,$CK$4:$CM$27,3,FALSE)*($CM$2/2))/10000,RAND()))</f>
        <v>6</v>
      </c>
      <c r="N493">
        <f ca="1">IF(ISBLANK(Scores_and_Fixtures[[#This Row],[Away Score]])=FALSE,Scores_and_Fixtures[[#This Row],[Away Score]],_xlfn.BINOM.INV(10000,(VLOOKUP(O493,$CK$4:$CM$27,2,FALSE)*VLOOKUP(L493,$CK$4:$CM$27,3,FALSE)*($CM$2/2))/10000,RAND()))</f>
        <v>1</v>
      </c>
      <c r="O493" t="str">
        <f>Scores_and_Fixtures[[#This Row],[Away]]</f>
        <v>Birmingham City</v>
      </c>
      <c r="U493">
        <v>392</v>
      </c>
      <c r="V493">
        <v>16</v>
      </c>
      <c r="W493">
        <v>12</v>
      </c>
      <c r="X493">
        <v>17</v>
      </c>
      <c r="Y493">
        <v>14</v>
      </c>
      <c r="Z493">
        <v>10</v>
      </c>
      <c r="AA493">
        <v>22</v>
      </c>
      <c r="AB493">
        <v>5</v>
      </c>
      <c r="AC493">
        <v>2</v>
      </c>
      <c r="AD493">
        <v>4</v>
      </c>
      <c r="AE493">
        <v>1</v>
      </c>
      <c r="AF493">
        <v>7</v>
      </c>
      <c r="AG493">
        <v>20</v>
      </c>
      <c r="AH493">
        <v>13</v>
      </c>
      <c r="AI493">
        <v>15</v>
      </c>
      <c r="AJ493">
        <v>8</v>
      </c>
      <c r="AK493">
        <v>21</v>
      </c>
      <c r="AL493">
        <v>23</v>
      </c>
      <c r="AM493">
        <v>24</v>
      </c>
      <c r="AN493">
        <v>3</v>
      </c>
      <c r="AO493">
        <v>19</v>
      </c>
      <c r="AP493">
        <v>9</v>
      </c>
      <c r="AQ493">
        <v>18</v>
      </c>
      <c r="AR493">
        <v>11</v>
      </c>
      <c r="AS493">
        <v>6</v>
      </c>
    </row>
    <row r="494" spans="1:45" x14ac:dyDescent="0.25">
      <c r="A494">
        <v>42</v>
      </c>
      <c r="B494" t="s">
        <v>395</v>
      </c>
      <c r="E494" t="s">
        <v>390</v>
      </c>
      <c r="K494">
        <f>Scores_and_Fixtures[[#This Row],[Wk]]</f>
        <v>42</v>
      </c>
      <c r="L494" t="str">
        <f>Scores_and_Fixtures[[#This Row],[Home]]</f>
        <v>Sheffield Weds</v>
      </c>
      <c r="M494">
        <f ca="1">IF(ISBLANK(Scores_and_Fixtures[[#This Row],[Home Score]])=FALSE,Scores_and_Fixtures[[#This Row],[Home Score]],_xlfn.BINOM.INV(10000,(VLOOKUP(L494,$CK$4:$CM$27,2,FALSE)*VLOOKUP(O494,$CK$4:$CM$27,3,FALSE)*($CM$2/2))/10000,RAND()))</f>
        <v>1</v>
      </c>
      <c r="N494">
        <f ca="1">IF(ISBLANK(Scores_and_Fixtures[[#This Row],[Away Score]])=FALSE,Scores_and_Fixtures[[#This Row],[Away Score]],_xlfn.BINOM.INV(10000,(VLOOKUP(O494,$CK$4:$CM$27,2,FALSE)*VLOOKUP(L494,$CK$4:$CM$27,3,FALSE)*($CM$2/2))/10000,RAND()))</f>
        <v>4</v>
      </c>
      <c r="O494" t="str">
        <f>Scores_and_Fixtures[[#This Row],[Away]]</f>
        <v>Norwich City</v>
      </c>
      <c r="U494">
        <v>393</v>
      </c>
      <c r="V494">
        <v>13</v>
      </c>
      <c r="W494">
        <v>10</v>
      </c>
      <c r="X494">
        <v>11</v>
      </c>
      <c r="Y494">
        <v>9</v>
      </c>
      <c r="Z494">
        <v>17</v>
      </c>
      <c r="AA494">
        <v>22</v>
      </c>
      <c r="AB494">
        <v>5</v>
      </c>
      <c r="AC494">
        <v>2</v>
      </c>
      <c r="AD494">
        <v>3</v>
      </c>
      <c r="AE494">
        <v>1</v>
      </c>
      <c r="AF494">
        <v>7</v>
      </c>
      <c r="AG494">
        <v>18</v>
      </c>
      <c r="AH494">
        <v>8</v>
      </c>
      <c r="AI494">
        <v>16</v>
      </c>
      <c r="AJ494">
        <v>15</v>
      </c>
      <c r="AK494">
        <v>20</v>
      </c>
      <c r="AL494">
        <v>24</v>
      </c>
      <c r="AM494">
        <v>23</v>
      </c>
      <c r="AN494">
        <v>6</v>
      </c>
      <c r="AO494">
        <v>21</v>
      </c>
      <c r="AP494">
        <v>12</v>
      </c>
      <c r="AQ494">
        <v>19</v>
      </c>
      <c r="AR494">
        <v>14</v>
      </c>
      <c r="AS494">
        <v>4</v>
      </c>
    </row>
    <row r="495" spans="1:45" x14ac:dyDescent="0.25">
      <c r="A495">
        <v>42</v>
      </c>
      <c r="B495" t="s">
        <v>392</v>
      </c>
      <c r="E495" t="s">
        <v>383</v>
      </c>
      <c r="K495">
        <f>Scores_and_Fixtures[[#This Row],[Wk]]</f>
        <v>42</v>
      </c>
      <c r="L495" t="str">
        <f>Scores_and_Fixtures[[#This Row],[Home]]</f>
        <v>Preston</v>
      </c>
      <c r="M495">
        <f ca="1">IF(ISBLANK(Scores_and_Fixtures[[#This Row],[Home Score]])=FALSE,Scores_and_Fixtures[[#This Row],[Home Score]],_xlfn.BINOM.INV(10000,(VLOOKUP(L495,$CK$4:$CM$27,2,FALSE)*VLOOKUP(O495,$CK$4:$CM$27,3,FALSE)*($CM$2/2))/10000,RAND()))</f>
        <v>0</v>
      </c>
      <c r="N495">
        <f ca="1">IF(ISBLANK(Scores_and_Fixtures[[#This Row],[Away Score]])=FALSE,Scores_and_Fixtures[[#This Row],[Away Score]],_xlfn.BINOM.INV(10000,(VLOOKUP(O495,$CK$4:$CM$27,2,FALSE)*VLOOKUP(L495,$CK$4:$CM$27,3,FALSE)*($CM$2/2))/10000,RAND()))</f>
        <v>4</v>
      </c>
      <c r="O495" t="str">
        <f>Scores_and_Fixtures[[#This Row],[Away]]</f>
        <v>Huddersfield</v>
      </c>
      <c r="U495">
        <v>394</v>
      </c>
      <c r="V495">
        <v>15</v>
      </c>
      <c r="W495">
        <v>7</v>
      </c>
      <c r="X495">
        <v>8</v>
      </c>
      <c r="Y495">
        <v>11</v>
      </c>
      <c r="Z495">
        <v>14</v>
      </c>
      <c r="AA495">
        <v>19</v>
      </c>
      <c r="AB495">
        <v>5</v>
      </c>
      <c r="AC495">
        <v>2</v>
      </c>
      <c r="AD495">
        <v>4</v>
      </c>
      <c r="AE495">
        <v>1</v>
      </c>
      <c r="AF495">
        <v>13</v>
      </c>
      <c r="AG495">
        <v>18</v>
      </c>
      <c r="AH495">
        <v>9</v>
      </c>
      <c r="AI495">
        <v>17</v>
      </c>
      <c r="AJ495">
        <v>16</v>
      </c>
      <c r="AK495">
        <v>22</v>
      </c>
      <c r="AL495">
        <v>24</v>
      </c>
      <c r="AM495">
        <v>23</v>
      </c>
      <c r="AN495">
        <v>3</v>
      </c>
      <c r="AO495">
        <v>21</v>
      </c>
      <c r="AP495">
        <v>12</v>
      </c>
      <c r="AQ495">
        <v>20</v>
      </c>
      <c r="AR495">
        <v>10</v>
      </c>
      <c r="AS495">
        <v>6</v>
      </c>
    </row>
    <row r="496" spans="1:45" x14ac:dyDescent="0.25">
      <c r="A496">
        <v>42</v>
      </c>
      <c r="B496" t="s">
        <v>396</v>
      </c>
      <c r="E496" t="s">
        <v>382</v>
      </c>
      <c r="K496">
        <f>Scores_and_Fixtures[[#This Row],[Wk]]</f>
        <v>42</v>
      </c>
      <c r="L496" t="str">
        <f>Scores_and_Fixtures[[#This Row],[Home]]</f>
        <v>Southampton</v>
      </c>
      <c r="M496">
        <f ca="1">IF(ISBLANK(Scores_and_Fixtures[[#This Row],[Home Score]])=FALSE,Scores_and_Fixtures[[#This Row],[Home Score]],_xlfn.BINOM.INV(10000,(VLOOKUP(L496,$CK$4:$CM$27,2,FALSE)*VLOOKUP(O496,$CK$4:$CM$27,3,FALSE)*($CM$2/2))/10000,RAND()))</f>
        <v>3</v>
      </c>
      <c r="N496">
        <f ca="1">IF(ISBLANK(Scores_and_Fixtures[[#This Row],[Away Score]])=FALSE,Scores_and_Fixtures[[#This Row],[Away Score]],_xlfn.BINOM.INV(10000,(VLOOKUP(O496,$CK$4:$CM$27,2,FALSE)*VLOOKUP(L496,$CK$4:$CM$27,3,FALSE)*($CM$2/2))/10000,RAND()))</f>
        <v>0</v>
      </c>
      <c r="O496" t="str">
        <f>Scores_and_Fixtures[[#This Row],[Away]]</f>
        <v>Coventry City</v>
      </c>
      <c r="U496">
        <v>395</v>
      </c>
      <c r="V496">
        <v>9</v>
      </c>
      <c r="W496">
        <v>10</v>
      </c>
      <c r="X496">
        <v>15</v>
      </c>
      <c r="Y496">
        <v>8</v>
      </c>
      <c r="Z496">
        <v>14</v>
      </c>
      <c r="AA496">
        <v>22</v>
      </c>
      <c r="AB496">
        <v>3</v>
      </c>
      <c r="AC496">
        <v>2</v>
      </c>
      <c r="AD496">
        <v>4</v>
      </c>
      <c r="AE496">
        <v>1</v>
      </c>
      <c r="AF496">
        <v>7</v>
      </c>
      <c r="AG496">
        <v>19</v>
      </c>
      <c r="AH496">
        <v>16</v>
      </c>
      <c r="AI496">
        <v>13</v>
      </c>
      <c r="AJ496">
        <v>17</v>
      </c>
      <c r="AK496">
        <v>21</v>
      </c>
      <c r="AL496">
        <v>24</v>
      </c>
      <c r="AM496">
        <v>23</v>
      </c>
      <c r="AN496">
        <v>6</v>
      </c>
      <c r="AO496">
        <v>20</v>
      </c>
      <c r="AP496">
        <v>11</v>
      </c>
      <c r="AQ496">
        <v>18</v>
      </c>
      <c r="AR496">
        <v>12</v>
      </c>
      <c r="AS496">
        <v>5</v>
      </c>
    </row>
    <row r="497" spans="1:45" x14ac:dyDescent="0.25">
      <c r="A497">
        <v>42</v>
      </c>
      <c r="B497" t="s">
        <v>389</v>
      </c>
      <c r="E497" t="s">
        <v>387</v>
      </c>
      <c r="K497">
        <f>Scores_and_Fixtures[[#This Row],[Wk]]</f>
        <v>42</v>
      </c>
      <c r="L497" t="str">
        <f>Scores_and_Fixtures[[#This Row],[Home]]</f>
        <v>Millwall</v>
      </c>
      <c r="M497">
        <f ca="1">IF(ISBLANK(Scores_and_Fixtures[[#This Row],[Home Score]])=FALSE,Scores_and_Fixtures[[#This Row],[Home Score]],_xlfn.BINOM.INV(10000,(VLOOKUP(L497,$CK$4:$CM$27,2,FALSE)*VLOOKUP(O497,$CK$4:$CM$27,3,FALSE)*($CM$2/2))/10000,RAND()))</f>
        <v>1</v>
      </c>
      <c r="N497">
        <f ca="1">IF(ISBLANK(Scores_and_Fixtures[[#This Row],[Away Score]])=FALSE,Scores_and_Fixtures[[#This Row],[Away Score]],_xlfn.BINOM.INV(10000,(VLOOKUP(O497,$CK$4:$CM$27,2,FALSE)*VLOOKUP(L497,$CK$4:$CM$27,3,FALSE)*($CM$2/2))/10000,RAND()))</f>
        <v>1</v>
      </c>
      <c r="O497" t="str">
        <f>Scores_and_Fixtures[[#This Row],[Away]]</f>
        <v>Leicester City</v>
      </c>
      <c r="U497">
        <v>396</v>
      </c>
      <c r="V497">
        <v>18</v>
      </c>
      <c r="W497">
        <v>14</v>
      </c>
      <c r="X497">
        <v>11</v>
      </c>
      <c r="Y497">
        <v>9</v>
      </c>
      <c r="Z497">
        <v>16</v>
      </c>
      <c r="AA497">
        <v>22</v>
      </c>
      <c r="AB497">
        <v>5</v>
      </c>
      <c r="AC497">
        <v>2</v>
      </c>
      <c r="AD497">
        <v>3</v>
      </c>
      <c r="AE497">
        <v>1</v>
      </c>
      <c r="AF497">
        <v>8</v>
      </c>
      <c r="AG497">
        <v>17</v>
      </c>
      <c r="AH497">
        <v>10</v>
      </c>
      <c r="AI497">
        <v>15</v>
      </c>
      <c r="AJ497">
        <v>12</v>
      </c>
      <c r="AK497">
        <v>21</v>
      </c>
      <c r="AL497">
        <v>24</v>
      </c>
      <c r="AM497">
        <v>23</v>
      </c>
      <c r="AN497">
        <v>4</v>
      </c>
      <c r="AO497">
        <v>20</v>
      </c>
      <c r="AP497">
        <v>7</v>
      </c>
      <c r="AQ497">
        <v>19</v>
      </c>
      <c r="AR497">
        <v>13</v>
      </c>
      <c r="AS497">
        <v>6</v>
      </c>
    </row>
    <row r="498" spans="1:45" x14ac:dyDescent="0.25">
      <c r="A498">
        <v>42</v>
      </c>
      <c r="B498" t="s">
        <v>386</v>
      </c>
      <c r="E498" t="s">
        <v>398</v>
      </c>
      <c r="K498">
        <f>Scores_and_Fixtures[[#This Row],[Wk]]</f>
        <v>42</v>
      </c>
      <c r="L498" t="str">
        <f>Scores_and_Fixtures[[#This Row],[Home]]</f>
        <v>Leeds United</v>
      </c>
      <c r="M498">
        <f ca="1">IF(ISBLANK(Scores_and_Fixtures[[#This Row],[Home Score]])=FALSE,Scores_and_Fixtures[[#This Row],[Home Score]],_xlfn.BINOM.INV(10000,(VLOOKUP(L498,$CK$4:$CM$27,2,FALSE)*VLOOKUP(O498,$CK$4:$CM$27,3,FALSE)*($CM$2/2))/10000,RAND()))</f>
        <v>1</v>
      </c>
      <c r="N498">
        <f ca="1">IF(ISBLANK(Scores_and_Fixtures[[#This Row],[Away Score]])=FALSE,Scores_and_Fixtures[[#This Row],[Away Score]],_xlfn.BINOM.INV(10000,(VLOOKUP(O498,$CK$4:$CM$27,2,FALSE)*VLOOKUP(L498,$CK$4:$CM$27,3,FALSE)*($CM$2/2))/10000,RAND()))</f>
        <v>0</v>
      </c>
      <c r="O498" t="str">
        <f>Scores_and_Fixtures[[#This Row],[Away]]</f>
        <v>Sunderland</v>
      </c>
      <c r="U498">
        <v>397</v>
      </c>
      <c r="V498">
        <v>20</v>
      </c>
      <c r="W498">
        <v>17</v>
      </c>
      <c r="X498">
        <v>16</v>
      </c>
      <c r="Y498">
        <v>11</v>
      </c>
      <c r="Z498">
        <v>15</v>
      </c>
      <c r="AA498">
        <v>21</v>
      </c>
      <c r="AB498">
        <v>6</v>
      </c>
      <c r="AC498">
        <v>1</v>
      </c>
      <c r="AD498">
        <v>4</v>
      </c>
      <c r="AE498">
        <v>2</v>
      </c>
      <c r="AF498">
        <v>8</v>
      </c>
      <c r="AG498">
        <v>18</v>
      </c>
      <c r="AH498">
        <v>7</v>
      </c>
      <c r="AI498">
        <v>19</v>
      </c>
      <c r="AJ498">
        <v>14</v>
      </c>
      <c r="AK498">
        <v>22</v>
      </c>
      <c r="AL498">
        <v>23</v>
      </c>
      <c r="AM498">
        <v>24</v>
      </c>
      <c r="AN498">
        <v>3</v>
      </c>
      <c r="AO498">
        <v>13</v>
      </c>
      <c r="AP498">
        <v>10</v>
      </c>
      <c r="AQ498">
        <v>12</v>
      </c>
      <c r="AR498">
        <v>5</v>
      </c>
      <c r="AS498">
        <v>9</v>
      </c>
    </row>
    <row r="499" spans="1:45" x14ac:dyDescent="0.25">
      <c r="A499">
        <v>42</v>
      </c>
      <c r="B499" t="s">
        <v>391</v>
      </c>
      <c r="E499" t="s">
        <v>393</v>
      </c>
      <c r="K499">
        <f>Scores_and_Fixtures[[#This Row],[Wk]]</f>
        <v>42</v>
      </c>
      <c r="L499" t="str">
        <f>Scores_and_Fixtures[[#This Row],[Home]]</f>
        <v>Plymouth Argyle</v>
      </c>
      <c r="M499">
        <f ca="1">IF(ISBLANK(Scores_and_Fixtures[[#This Row],[Home Score]])=FALSE,Scores_and_Fixtures[[#This Row],[Home Score]],_xlfn.BINOM.INV(10000,(VLOOKUP(L499,$CK$4:$CM$27,2,FALSE)*VLOOKUP(O499,$CK$4:$CM$27,3,FALSE)*($CM$2/2))/10000,RAND()))</f>
        <v>2</v>
      </c>
      <c r="N499">
        <f ca="1">IF(ISBLANK(Scores_and_Fixtures[[#This Row],[Away Score]])=FALSE,Scores_and_Fixtures[[#This Row],[Away Score]],_xlfn.BINOM.INV(10000,(VLOOKUP(O499,$CK$4:$CM$27,2,FALSE)*VLOOKUP(L499,$CK$4:$CM$27,3,FALSE)*($CM$2/2))/10000,RAND()))</f>
        <v>0</v>
      </c>
      <c r="O499" t="str">
        <f>Scores_and_Fixtures[[#This Row],[Away]]</f>
        <v>QPR</v>
      </c>
      <c r="U499">
        <v>398</v>
      </c>
      <c r="V499">
        <v>17</v>
      </c>
      <c r="W499">
        <v>10</v>
      </c>
      <c r="X499">
        <v>15</v>
      </c>
      <c r="Y499">
        <v>12</v>
      </c>
      <c r="Z499">
        <v>14</v>
      </c>
      <c r="AA499">
        <v>20</v>
      </c>
      <c r="AB499">
        <v>8</v>
      </c>
      <c r="AC499">
        <v>2</v>
      </c>
      <c r="AD499">
        <v>3</v>
      </c>
      <c r="AE499">
        <v>1</v>
      </c>
      <c r="AF499">
        <v>5</v>
      </c>
      <c r="AG499">
        <v>19</v>
      </c>
      <c r="AH499">
        <v>9</v>
      </c>
      <c r="AI499">
        <v>18</v>
      </c>
      <c r="AJ499">
        <v>13</v>
      </c>
      <c r="AK499">
        <v>22</v>
      </c>
      <c r="AL499">
        <v>24</v>
      </c>
      <c r="AM499">
        <v>23</v>
      </c>
      <c r="AN499">
        <v>4</v>
      </c>
      <c r="AO499">
        <v>21</v>
      </c>
      <c r="AP499">
        <v>6</v>
      </c>
      <c r="AQ499">
        <v>16</v>
      </c>
      <c r="AR499">
        <v>11</v>
      </c>
      <c r="AS499">
        <v>7</v>
      </c>
    </row>
    <row r="500" spans="1:45" x14ac:dyDescent="0.25">
      <c r="A500">
        <v>42</v>
      </c>
      <c r="B500" t="s">
        <v>384</v>
      </c>
      <c r="E500" t="s">
        <v>388</v>
      </c>
      <c r="K500">
        <f>Scores_and_Fixtures[[#This Row],[Wk]]</f>
        <v>42</v>
      </c>
      <c r="L500" t="str">
        <f>Scores_and_Fixtures[[#This Row],[Home]]</f>
        <v>Hull City</v>
      </c>
      <c r="M500">
        <f ca="1">IF(ISBLANK(Scores_and_Fixtures[[#This Row],[Home Score]])=FALSE,Scores_and_Fixtures[[#This Row],[Home Score]],_xlfn.BINOM.INV(10000,(VLOOKUP(L500,$CK$4:$CM$27,2,FALSE)*VLOOKUP(O500,$CK$4:$CM$27,3,FALSE)*($CM$2/2))/10000,RAND()))</f>
        <v>4</v>
      </c>
      <c r="N500">
        <f ca="1">IF(ISBLANK(Scores_and_Fixtures[[#This Row],[Away Score]])=FALSE,Scores_and_Fixtures[[#This Row],[Away Score]],_xlfn.BINOM.INV(10000,(VLOOKUP(O500,$CK$4:$CM$27,2,FALSE)*VLOOKUP(L500,$CK$4:$CM$27,3,FALSE)*($CM$2/2))/10000,RAND()))</f>
        <v>3</v>
      </c>
      <c r="O500" t="str">
        <f>Scores_and_Fixtures[[#This Row],[Away]]</f>
        <v>Middlesbrough</v>
      </c>
      <c r="U500">
        <v>399</v>
      </c>
      <c r="V500">
        <v>16</v>
      </c>
      <c r="W500">
        <v>9</v>
      </c>
      <c r="X500">
        <v>12</v>
      </c>
      <c r="Y500">
        <v>6</v>
      </c>
      <c r="Z500">
        <v>17</v>
      </c>
      <c r="AA500">
        <v>21</v>
      </c>
      <c r="AB500">
        <v>7</v>
      </c>
      <c r="AC500">
        <v>2</v>
      </c>
      <c r="AD500">
        <v>3</v>
      </c>
      <c r="AE500">
        <v>1</v>
      </c>
      <c r="AF500">
        <v>11</v>
      </c>
      <c r="AG500">
        <v>20</v>
      </c>
      <c r="AH500">
        <v>5</v>
      </c>
      <c r="AI500">
        <v>14</v>
      </c>
      <c r="AJ500">
        <v>13</v>
      </c>
      <c r="AK500">
        <v>22</v>
      </c>
      <c r="AL500">
        <v>23</v>
      </c>
      <c r="AM500">
        <v>24</v>
      </c>
      <c r="AN500">
        <v>4</v>
      </c>
      <c r="AO500">
        <v>19</v>
      </c>
      <c r="AP500">
        <v>8</v>
      </c>
      <c r="AQ500">
        <v>18</v>
      </c>
      <c r="AR500">
        <v>15</v>
      </c>
      <c r="AS500">
        <v>10</v>
      </c>
    </row>
    <row r="501" spans="1:45" x14ac:dyDescent="0.25">
      <c r="A501">
        <v>42</v>
      </c>
      <c r="B501" t="s">
        <v>385</v>
      </c>
      <c r="E501" t="s">
        <v>400</v>
      </c>
      <c r="K501">
        <f>Scores_and_Fixtures[[#This Row],[Wk]]</f>
        <v>42</v>
      </c>
      <c r="L501" t="str">
        <f>Scores_and_Fixtures[[#This Row],[Home]]</f>
        <v>Ipswich Town</v>
      </c>
      <c r="M501">
        <f ca="1">IF(ISBLANK(Scores_and_Fixtures[[#This Row],[Home Score]])=FALSE,Scores_and_Fixtures[[#This Row],[Home Score]],_xlfn.BINOM.INV(10000,(VLOOKUP(L501,$CK$4:$CM$27,2,FALSE)*VLOOKUP(O501,$CK$4:$CM$27,3,FALSE)*($CM$2/2))/10000,RAND()))</f>
        <v>4</v>
      </c>
      <c r="N501">
        <f ca="1">IF(ISBLANK(Scores_and_Fixtures[[#This Row],[Away Score]])=FALSE,Scores_and_Fixtures[[#This Row],[Away Score]],_xlfn.BINOM.INV(10000,(VLOOKUP(O501,$CK$4:$CM$27,2,FALSE)*VLOOKUP(L501,$CK$4:$CM$27,3,FALSE)*($CM$2/2))/10000,RAND()))</f>
        <v>1</v>
      </c>
      <c r="O501" t="str">
        <f>Scores_and_Fixtures[[#This Row],[Away]]</f>
        <v>Watford</v>
      </c>
      <c r="U501">
        <v>400</v>
      </c>
      <c r="V501">
        <v>15</v>
      </c>
      <c r="W501">
        <v>8</v>
      </c>
      <c r="X501">
        <v>10</v>
      </c>
      <c r="Y501">
        <v>9</v>
      </c>
      <c r="Z501">
        <v>17</v>
      </c>
      <c r="AA501">
        <v>19</v>
      </c>
      <c r="AB501">
        <v>5</v>
      </c>
      <c r="AC501">
        <v>2</v>
      </c>
      <c r="AD501">
        <v>3</v>
      </c>
      <c r="AE501">
        <v>1</v>
      </c>
      <c r="AF501">
        <v>12</v>
      </c>
      <c r="AG501">
        <v>18</v>
      </c>
      <c r="AH501">
        <v>6</v>
      </c>
      <c r="AI501">
        <v>16</v>
      </c>
      <c r="AJ501">
        <v>14</v>
      </c>
      <c r="AK501">
        <v>21</v>
      </c>
      <c r="AL501">
        <v>24</v>
      </c>
      <c r="AM501">
        <v>23</v>
      </c>
      <c r="AN501">
        <v>4</v>
      </c>
      <c r="AO501">
        <v>22</v>
      </c>
      <c r="AP501">
        <v>13</v>
      </c>
      <c r="AQ501">
        <v>20</v>
      </c>
      <c r="AR501">
        <v>11</v>
      </c>
      <c r="AS501">
        <v>7</v>
      </c>
    </row>
    <row r="502" spans="1:45" x14ac:dyDescent="0.25">
      <c r="A502">
        <v>42</v>
      </c>
      <c r="B502" t="s">
        <v>378</v>
      </c>
      <c r="E502" t="s">
        <v>381</v>
      </c>
      <c r="K502">
        <f>Scores_and_Fixtures[[#This Row],[Wk]]</f>
        <v>42</v>
      </c>
      <c r="L502" t="str">
        <f>Scores_and_Fixtures[[#This Row],[Home]]</f>
        <v>Birmingham City</v>
      </c>
      <c r="M502">
        <f ca="1">IF(ISBLANK(Scores_and_Fixtures[[#This Row],[Home Score]])=FALSE,Scores_and_Fixtures[[#This Row],[Home Score]],_xlfn.BINOM.INV(10000,(VLOOKUP(L502,$CK$4:$CM$27,2,FALSE)*VLOOKUP(O502,$CK$4:$CM$27,3,FALSE)*($CM$2/2))/10000,RAND()))</f>
        <v>4</v>
      </c>
      <c r="N502">
        <f ca="1">IF(ISBLANK(Scores_and_Fixtures[[#This Row],[Away Score]])=FALSE,Scores_and_Fixtures[[#This Row],[Away Score]],_xlfn.BINOM.INV(10000,(VLOOKUP(O502,$CK$4:$CM$27,2,FALSE)*VLOOKUP(L502,$CK$4:$CM$27,3,FALSE)*($CM$2/2))/10000,RAND()))</f>
        <v>4</v>
      </c>
      <c r="O502" t="str">
        <f>Scores_and_Fixtures[[#This Row],[Away]]</f>
        <v>Cardiff City</v>
      </c>
      <c r="U502">
        <v>401</v>
      </c>
      <c r="V502">
        <v>12</v>
      </c>
      <c r="W502">
        <v>13</v>
      </c>
      <c r="X502">
        <v>16</v>
      </c>
      <c r="Y502">
        <v>14</v>
      </c>
      <c r="Z502">
        <v>17</v>
      </c>
      <c r="AA502">
        <v>19</v>
      </c>
      <c r="AB502">
        <v>4</v>
      </c>
      <c r="AC502">
        <v>2</v>
      </c>
      <c r="AD502">
        <v>6</v>
      </c>
      <c r="AE502">
        <v>1</v>
      </c>
      <c r="AF502">
        <v>15</v>
      </c>
      <c r="AG502">
        <v>20</v>
      </c>
      <c r="AH502">
        <v>9</v>
      </c>
      <c r="AI502">
        <v>8</v>
      </c>
      <c r="AJ502">
        <v>10</v>
      </c>
      <c r="AK502">
        <v>22</v>
      </c>
      <c r="AL502">
        <v>23</v>
      </c>
      <c r="AM502">
        <v>24</v>
      </c>
      <c r="AN502">
        <v>3</v>
      </c>
      <c r="AO502">
        <v>21</v>
      </c>
      <c r="AP502">
        <v>11</v>
      </c>
      <c r="AQ502">
        <v>18</v>
      </c>
      <c r="AR502">
        <v>7</v>
      </c>
      <c r="AS502">
        <v>5</v>
      </c>
    </row>
    <row r="503" spans="1:45" x14ac:dyDescent="0.25">
      <c r="A503">
        <v>42</v>
      </c>
      <c r="B503" t="s">
        <v>399</v>
      </c>
      <c r="E503" t="s">
        <v>397</v>
      </c>
      <c r="K503">
        <f>Scores_and_Fixtures[[#This Row],[Wk]]</f>
        <v>42</v>
      </c>
      <c r="L503" t="str">
        <f>Scores_and_Fixtures[[#This Row],[Home]]</f>
        <v>Swansea City</v>
      </c>
      <c r="M503">
        <f ca="1">IF(ISBLANK(Scores_and_Fixtures[[#This Row],[Home Score]])=FALSE,Scores_and_Fixtures[[#This Row],[Home Score]],_xlfn.BINOM.INV(10000,(VLOOKUP(L503,$CK$4:$CM$27,2,FALSE)*VLOOKUP(O503,$CK$4:$CM$27,3,FALSE)*($CM$2/2))/10000,RAND()))</f>
        <v>1</v>
      </c>
      <c r="N503">
        <f ca="1">IF(ISBLANK(Scores_and_Fixtures[[#This Row],[Away Score]])=FALSE,Scores_and_Fixtures[[#This Row],[Away Score]],_xlfn.BINOM.INV(10000,(VLOOKUP(O503,$CK$4:$CM$27,2,FALSE)*VLOOKUP(L503,$CK$4:$CM$27,3,FALSE)*($CM$2/2))/10000,RAND()))</f>
        <v>1</v>
      </c>
      <c r="O503" t="str">
        <f>Scores_and_Fixtures[[#This Row],[Away]]</f>
        <v>Stoke City</v>
      </c>
      <c r="U503">
        <v>402</v>
      </c>
      <c r="V503">
        <v>13</v>
      </c>
      <c r="W503">
        <v>10</v>
      </c>
      <c r="X503">
        <v>11</v>
      </c>
      <c r="Y503">
        <v>15</v>
      </c>
      <c r="Z503">
        <v>8</v>
      </c>
      <c r="AA503">
        <v>20</v>
      </c>
      <c r="AB503">
        <v>5</v>
      </c>
      <c r="AC503">
        <v>2</v>
      </c>
      <c r="AD503">
        <v>3</v>
      </c>
      <c r="AE503">
        <v>1</v>
      </c>
      <c r="AF503">
        <v>7</v>
      </c>
      <c r="AG503">
        <v>18</v>
      </c>
      <c r="AH503">
        <v>12</v>
      </c>
      <c r="AI503">
        <v>16</v>
      </c>
      <c r="AJ503">
        <v>17</v>
      </c>
      <c r="AK503">
        <v>22</v>
      </c>
      <c r="AL503">
        <v>24</v>
      </c>
      <c r="AM503">
        <v>23</v>
      </c>
      <c r="AN503">
        <v>4</v>
      </c>
      <c r="AO503">
        <v>19</v>
      </c>
      <c r="AP503">
        <v>9</v>
      </c>
      <c r="AQ503">
        <v>21</v>
      </c>
      <c r="AR503">
        <v>14</v>
      </c>
      <c r="AS503">
        <v>6</v>
      </c>
    </row>
    <row r="504" spans="1:45" x14ac:dyDescent="0.25">
      <c r="A504">
        <v>42</v>
      </c>
      <c r="B504" t="s">
        <v>380</v>
      </c>
      <c r="E504" t="s">
        <v>379</v>
      </c>
      <c r="K504">
        <f>Scores_and_Fixtures[[#This Row],[Wk]]</f>
        <v>42</v>
      </c>
      <c r="L504" t="str">
        <f>Scores_and_Fixtures[[#This Row],[Home]]</f>
        <v>Bristol City</v>
      </c>
      <c r="M504">
        <f ca="1">IF(ISBLANK(Scores_and_Fixtures[[#This Row],[Home Score]])=FALSE,Scores_and_Fixtures[[#This Row],[Home Score]],_xlfn.BINOM.INV(10000,(VLOOKUP(L504,$CK$4:$CM$27,2,FALSE)*VLOOKUP(O504,$CK$4:$CM$27,3,FALSE)*($CM$2/2))/10000,RAND()))</f>
        <v>1</v>
      </c>
      <c r="N504">
        <f ca="1">IF(ISBLANK(Scores_and_Fixtures[[#This Row],[Away Score]])=FALSE,Scores_and_Fixtures[[#This Row],[Away Score]],_xlfn.BINOM.INV(10000,(VLOOKUP(O504,$CK$4:$CM$27,2,FALSE)*VLOOKUP(L504,$CK$4:$CM$27,3,FALSE)*($CM$2/2))/10000,RAND()))</f>
        <v>0</v>
      </c>
      <c r="O504" t="str">
        <f>Scores_and_Fixtures[[#This Row],[Away]]</f>
        <v>Blackburn</v>
      </c>
      <c r="U504">
        <v>403</v>
      </c>
      <c r="V504">
        <v>17</v>
      </c>
      <c r="W504">
        <v>11</v>
      </c>
      <c r="X504">
        <v>18</v>
      </c>
      <c r="Y504">
        <v>13</v>
      </c>
      <c r="Z504">
        <v>15</v>
      </c>
      <c r="AA504">
        <v>21</v>
      </c>
      <c r="AB504">
        <v>6</v>
      </c>
      <c r="AC504">
        <v>2</v>
      </c>
      <c r="AD504">
        <v>3</v>
      </c>
      <c r="AE504">
        <v>1</v>
      </c>
      <c r="AF504">
        <v>8</v>
      </c>
      <c r="AG504">
        <v>22</v>
      </c>
      <c r="AH504">
        <v>9</v>
      </c>
      <c r="AI504">
        <v>16</v>
      </c>
      <c r="AJ504">
        <v>10</v>
      </c>
      <c r="AK504">
        <v>19</v>
      </c>
      <c r="AL504">
        <v>24</v>
      </c>
      <c r="AM504">
        <v>23</v>
      </c>
      <c r="AN504">
        <v>4</v>
      </c>
      <c r="AO504">
        <v>20</v>
      </c>
      <c r="AP504">
        <v>12</v>
      </c>
      <c r="AQ504">
        <v>14</v>
      </c>
      <c r="AR504">
        <v>7</v>
      </c>
      <c r="AS504">
        <v>5</v>
      </c>
    </row>
    <row r="505" spans="1:45" x14ac:dyDescent="0.25">
      <c r="A505">
        <v>42</v>
      </c>
      <c r="B505" t="s">
        <v>401</v>
      </c>
      <c r="E505" t="s">
        <v>394</v>
      </c>
      <c r="K505">
        <f>Scores_and_Fixtures[[#This Row],[Wk]]</f>
        <v>42</v>
      </c>
      <c r="L505" t="str">
        <f>Scores_and_Fixtures[[#This Row],[Home]]</f>
        <v>West Brom</v>
      </c>
      <c r="M505">
        <f ca="1">IF(ISBLANK(Scores_and_Fixtures[[#This Row],[Home Score]])=FALSE,Scores_and_Fixtures[[#This Row],[Home Score]],_xlfn.BINOM.INV(10000,(VLOOKUP(L505,$CK$4:$CM$27,2,FALSE)*VLOOKUP(O505,$CK$4:$CM$27,3,FALSE)*($CM$2/2))/10000,RAND()))</f>
        <v>7</v>
      </c>
      <c r="N505">
        <f ca="1">IF(ISBLANK(Scores_and_Fixtures[[#This Row],[Away Score]])=FALSE,Scores_and_Fixtures[[#This Row],[Away Score]],_xlfn.BINOM.INV(10000,(VLOOKUP(O505,$CK$4:$CM$27,2,FALSE)*VLOOKUP(L505,$CK$4:$CM$27,3,FALSE)*($CM$2/2))/10000,RAND()))</f>
        <v>3</v>
      </c>
      <c r="O505" t="str">
        <f>Scores_and_Fixtures[[#This Row],[Away]]</f>
        <v>Rotherham Utd</v>
      </c>
      <c r="U505">
        <v>404</v>
      </c>
      <c r="V505">
        <v>19</v>
      </c>
      <c r="W505">
        <v>7</v>
      </c>
      <c r="X505">
        <v>16</v>
      </c>
      <c r="Y505">
        <v>10</v>
      </c>
      <c r="Z505">
        <v>18</v>
      </c>
      <c r="AA505">
        <v>21</v>
      </c>
      <c r="AB505">
        <v>8</v>
      </c>
      <c r="AC505">
        <v>2</v>
      </c>
      <c r="AD505">
        <v>4</v>
      </c>
      <c r="AE505">
        <v>1</v>
      </c>
      <c r="AF505">
        <v>12</v>
      </c>
      <c r="AG505">
        <v>14</v>
      </c>
      <c r="AH505">
        <v>11</v>
      </c>
      <c r="AI505">
        <v>13</v>
      </c>
      <c r="AJ505">
        <v>15</v>
      </c>
      <c r="AK505">
        <v>22</v>
      </c>
      <c r="AL505">
        <v>24</v>
      </c>
      <c r="AM505">
        <v>23</v>
      </c>
      <c r="AN505">
        <v>3</v>
      </c>
      <c r="AO505">
        <v>20</v>
      </c>
      <c r="AP505">
        <v>5</v>
      </c>
      <c r="AQ505">
        <v>17</v>
      </c>
      <c r="AR505">
        <v>9</v>
      </c>
      <c r="AS505">
        <v>6</v>
      </c>
    </row>
    <row r="506" spans="1:45" x14ac:dyDescent="0.25">
      <c r="A506">
        <v>43</v>
      </c>
      <c r="B506" t="s">
        <v>399</v>
      </c>
      <c r="E506" t="s">
        <v>394</v>
      </c>
      <c r="K506">
        <f>Scores_and_Fixtures[[#This Row],[Wk]]</f>
        <v>43</v>
      </c>
      <c r="L506" t="str">
        <f>Scores_and_Fixtures[[#This Row],[Home]]</f>
        <v>Swansea City</v>
      </c>
      <c r="M506">
        <f ca="1">IF(ISBLANK(Scores_and_Fixtures[[#This Row],[Home Score]])=FALSE,Scores_and_Fixtures[[#This Row],[Home Score]],_xlfn.BINOM.INV(10000,(VLOOKUP(L506,$CK$4:$CM$27,2,FALSE)*VLOOKUP(O506,$CK$4:$CM$27,3,FALSE)*($CM$2/2))/10000,RAND()))</f>
        <v>1</v>
      </c>
      <c r="N506">
        <f ca="1">IF(ISBLANK(Scores_and_Fixtures[[#This Row],[Away Score]])=FALSE,Scores_and_Fixtures[[#This Row],[Away Score]],_xlfn.BINOM.INV(10000,(VLOOKUP(O506,$CK$4:$CM$27,2,FALSE)*VLOOKUP(L506,$CK$4:$CM$27,3,FALSE)*($CM$2/2))/10000,RAND()))</f>
        <v>2</v>
      </c>
      <c r="O506" t="str">
        <f>Scores_and_Fixtures[[#This Row],[Away]]</f>
        <v>Rotherham Utd</v>
      </c>
      <c r="U506">
        <v>405</v>
      </c>
      <c r="V506">
        <v>8</v>
      </c>
      <c r="W506">
        <v>18</v>
      </c>
      <c r="X506">
        <v>13</v>
      </c>
      <c r="Y506">
        <v>11</v>
      </c>
      <c r="Z506">
        <v>12</v>
      </c>
      <c r="AA506">
        <v>20</v>
      </c>
      <c r="AB506">
        <v>7</v>
      </c>
      <c r="AC506">
        <v>2</v>
      </c>
      <c r="AD506">
        <v>4</v>
      </c>
      <c r="AE506">
        <v>1</v>
      </c>
      <c r="AF506">
        <v>16</v>
      </c>
      <c r="AG506">
        <v>21</v>
      </c>
      <c r="AH506">
        <v>17</v>
      </c>
      <c r="AI506">
        <v>10</v>
      </c>
      <c r="AJ506">
        <v>9</v>
      </c>
      <c r="AK506">
        <v>19</v>
      </c>
      <c r="AL506">
        <v>23</v>
      </c>
      <c r="AM506">
        <v>24</v>
      </c>
      <c r="AN506">
        <v>3</v>
      </c>
      <c r="AO506">
        <v>22</v>
      </c>
      <c r="AP506">
        <v>5</v>
      </c>
      <c r="AQ506">
        <v>15</v>
      </c>
      <c r="AR506">
        <v>14</v>
      </c>
      <c r="AS506">
        <v>6</v>
      </c>
    </row>
    <row r="507" spans="1:45" x14ac:dyDescent="0.25">
      <c r="A507">
        <v>43</v>
      </c>
      <c r="B507" t="s">
        <v>401</v>
      </c>
      <c r="E507" t="s">
        <v>398</v>
      </c>
      <c r="K507">
        <f>Scores_and_Fixtures[[#This Row],[Wk]]</f>
        <v>43</v>
      </c>
      <c r="L507" t="str">
        <f>Scores_and_Fixtures[[#This Row],[Home]]</f>
        <v>West Brom</v>
      </c>
      <c r="M507">
        <f ca="1">IF(ISBLANK(Scores_and_Fixtures[[#This Row],[Home Score]])=FALSE,Scores_and_Fixtures[[#This Row],[Home Score]],_xlfn.BINOM.INV(10000,(VLOOKUP(L507,$CK$4:$CM$27,2,FALSE)*VLOOKUP(O507,$CK$4:$CM$27,3,FALSE)*($CM$2/2))/10000,RAND()))</f>
        <v>4</v>
      </c>
      <c r="N507">
        <f ca="1">IF(ISBLANK(Scores_and_Fixtures[[#This Row],[Away Score]])=FALSE,Scores_and_Fixtures[[#This Row],[Away Score]],_xlfn.BINOM.INV(10000,(VLOOKUP(O507,$CK$4:$CM$27,2,FALSE)*VLOOKUP(L507,$CK$4:$CM$27,3,FALSE)*($CM$2/2))/10000,RAND()))</f>
        <v>2</v>
      </c>
      <c r="O507" t="str">
        <f>Scores_and_Fixtures[[#This Row],[Away]]</f>
        <v>Sunderland</v>
      </c>
      <c r="U507">
        <v>406</v>
      </c>
      <c r="V507">
        <v>19</v>
      </c>
      <c r="W507">
        <v>11</v>
      </c>
      <c r="X507">
        <v>10</v>
      </c>
      <c r="Y507">
        <v>8</v>
      </c>
      <c r="Z507">
        <v>13</v>
      </c>
      <c r="AA507">
        <v>22</v>
      </c>
      <c r="AB507">
        <v>6</v>
      </c>
      <c r="AC507">
        <v>2</v>
      </c>
      <c r="AD507">
        <v>5</v>
      </c>
      <c r="AE507">
        <v>1</v>
      </c>
      <c r="AF507">
        <v>18</v>
      </c>
      <c r="AG507">
        <v>14</v>
      </c>
      <c r="AH507">
        <v>9</v>
      </c>
      <c r="AI507">
        <v>17</v>
      </c>
      <c r="AJ507">
        <v>16</v>
      </c>
      <c r="AK507">
        <v>21</v>
      </c>
      <c r="AL507">
        <v>24</v>
      </c>
      <c r="AM507">
        <v>23</v>
      </c>
      <c r="AN507">
        <v>3</v>
      </c>
      <c r="AO507">
        <v>20</v>
      </c>
      <c r="AP507">
        <v>7</v>
      </c>
      <c r="AQ507">
        <v>15</v>
      </c>
      <c r="AR507">
        <v>12</v>
      </c>
      <c r="AS507">
        <v>4</v>
      </c>
    </row>
    <row r="508" spans="1:45" x14ac:dyDescent="0.25">
      <c r="A508">
        <v>43</v>
      </c>
      <c r="B508" t="s">
        <v>380</v>
      </c>
      <c r="E508" t="s">
        <v>383</v>
      </c>
      <c r="K508">
        <f>Scores_and_Fixtures[[#This Row],[Wk]]</f>
        <v>43</v>
      </c>
      <c r="L508" t="str">
        <f>Scores_and_Fixtures[[#This Row],[Home]]</f>
        <v>Bristol City</v>
      </c>
      <c r="M508">
        <f ca="1">IF(ISBLANK(Scores_and_Fixtures[[#This Row],[Home Score]])=FALSE,Scores_and_Fixtures[[#This Row],[Home Score]],_xlfn.BINOM.INV(10000,(VLOOKUP(L508,$CK$4:$CM$27,2,FALSE)*VLOOKUP(O508,$CK$4:$CM$27,3,FALSE)*($CM$2/2))/10000,RAND()))</f>
        <v>1</v>
      </c>
      <c r="N508">
        <f ca="1">IF(ISBLANK(Scores_and_Fixtures[[#This Row],[Away Score]])=FALSE,Scores_and_Fixtures[[#This Row],[Away Score]],_xlfn.BINOM.INV(10000,(VLOOKUP(O508,$CK$4:$CM$27,2,FALSE)*VLOOKUP(L508,$CK$4:$CM$27,3,FALSE)*($CM$2/2))/10000,RAND()))</f>
        <v>0</v>
      </c>
      <c r="O508" t="str">
        <f>Scores_and_Fixtures[[#This Row],[Away]]</f>
        <v>Huddersfield</v>
      </c>
      <c r="U508">
        <v>407</v>
      </c>
      <c r="V508">
        <v>15</v>
      </c>
      <c r="W508">
        <v>18</v>
      </c>
      <c r="X508">
        <v>11</v>
      </c>
      <c r="Y508">
        <v>13</v>
      </c>
      <c r="Z508">
        <v>16</v>
      </c>
      <c r="AA508">
        <v>20</v>
      </c>
      <c r="AB508">
        <v>5</v>
      </c>
      <c r="AC508">
        <v>2</v>
      </c>
      <c r="AD508">
        <v>4</v>
      </c>
      <c r="AE508">
        <v>1</v>
      </c>
      <c r="AF508">
        <v>14</v>
      </c>
      <c r="AG508">
        <v>19</v>
      </c>
      <c r="AH508">
        <v>10</v>
      </c>
      <c r="AI508">
        <v>12</v>
      </c>
      <c r="AJ508">
        <v>17</v>
      </c>
      <c r="AK508">
        <v>21</v>
      </c>
      <c r="AL508">
        <v>23</v>
      </c>
      <c r="AM508">
        <v>24</v>
      </c>
      <c r="AN508">
        <v>3</v>
      </c>
      <c r="AO508">
        <v>22</v>
      </c>
      <c r="AP508">
        <v>7</v>
      </c>
      <c r="AQ508">
        <v>9</v>
      </c>
      <c r="AR508">
        <v>8</v>
      </c>
      <c r="AS508">
        <v>6</v>
      </c>
    </row>
    <row r="509" spans="1:45" x14ac:dyDescent="0.25">
      <c r="A509">
        <v>43</v>
      </c>
      <c r="B509" t="s">
        <v>391</v>
      </c>
      <c r="E509" t="s">
        <v>387</v>
      </c>
      <c r="K509">
        <f>Scores_and_Fixtures[[#This Row],[Wk]]</f>
        <v>43</v>
      </c>
      <c r="L509" t="str">
        <f>Scores_and_Fixtures[[#This Row],[Home]]</f>
        <v>Plymouth Argyle</v>
      </c>
      <c r="M509">
        <f ca="1">IF(ISBLANK(Scores_and_Fixtures[[#This Row],[Home Score]])=FALSE,Scores_and_Fixtures[[#This Row],[Home Score]],_xlfn.BINOM.INV(10000,(VLOOKUP(L509,$CK$4:$CM$27,2,FALSE)*VLOOKUP(O509,$CK$4:$CM$27,3,FALSE)*($CM$2/2))/10000,RAND()))</f>
        <v>1</v>
      </c>
      <c r="N509">
        <f ca="1">IF(ISBLANK(Scores_and_Fixtures[[#This Row],[Away Score]])=FALSE,Scores_and_Fixtures[[#This Row],[Away Score]],_xlfn.BINOM.INV(10000,(VLOOKUP(O509,$CK$4:$CM$27,2,FALSE)*VLOOKUP(L509,$CK$4:$CM$27,3,FALSE)*($CM$2/2))/10000,RAND()))</f>
        <v>0</v>
      </c>
      <c r="O509" t="str">
        <f>Scores_and_Fixtures[[#This Row],[Away]]</f>
        <v>Leicester City</v>
      </c>
      <c r="U509">
        <v>408</v>
      </c>
      <c r="V509">
        <v>19</v>
      </c>
      <c r="W509">
        <v>9</v>
      </c>
      <c r="X509">
        <v>7</v>
      </c>
      <c r="Y509">
        <v>12</v>
      </c>
      <c r="Z509">
        <v>14</v>
      </c>
      <c r="AA509">
        <v>22</v>
      </c>
      <c r="AB509">
        <v>6</v>
      </c>
      <c r="AC509">
        <v>2</v>
      </c>
      <c r="AD509">
        <v>4</v>
      </c>
      <c r="AE509">
        <v>1</v>
      </c>
      <c r="AF509">
        <v>13</v>
      </c>
      <c r="AG509">
        <v>20</v>
      </c>
      <c r="AH509">
        <v>15</v>
      </c>
      <c r="AI509">
        <v>17</v>
      </c>
      <c r="AJ509">
        <v>11</v>
      </c>
      <c r="AK509">
        <v>18</v>
      </c>
      <c r="AL509">
        <v>24</v>
      </c>
      <c r="AM509">
        <v>23</v>
      </c>
      <c r="AN509">
        <v>3</v>
      </c>
      <c r="AO509">
        <v>21</v>
      </c>
      <c r="AP509">
        <v>8</v>
      </c>
      <c r="AQ509">
        <v>16</v>
      </c>
      <c r="AR509">
        <v>10</v>
      </c>
      <c r="AS509">
        <v>5</v>
      </c>
    </row>
    <row r="510" spans="1:45" x14ac:dyDescent="0.25">
      <c r="A510">
        <v>43</v>
      </c>
      <c r="B510" t="s">
        <v>384</v>
      </c>
      <c r="E510" t="s">
        <v>393</v>
      </c>
      <c r="K510">
        <f>Scores_and_Fixtures[[#This Row],[Wk]]</f>
        <v>43</v>
      </c>
      <c r="L510" t="str">
        <f>Scores_and_Fixtures[[#This Row],[Home]]</f>
        <v>Hull City</v>
      </c>
      <c r="M510">
        <f ca="1">IF(ISBLANK(Scores_and_Fixtures[[#This Row],[Home Score]])=FALSE,Scores_and_Fixtures[[#This Row],[Home Score]],_xlfn.BINOM.INV(10000,(VLOOKUP(L510,$CK$4:$CM$27,2,FALSE)*VLOOKUP(O510,$CK$4:$CM$27,3,FALSE)*($CM$2/2))/10000,RAND()))</f>
        <v>3</v>
      </c>
      <c r="N510">
        <f ca="1">IF(ISBLANK(Scores_and_Fixtures[[#This Row],[Away Score]])=FALSE,Scores_and_Fixtures[[#This Row],[Away Score]],_xlfn.BINOM.INV(10000,(VLOOKUP(O510,$CK$4:$CM$27,2,FALSE)*VLOOKUP(L510,$CK$4:$CM$27,3,FALSE)*($CM$2/2))/10000,RAND()))</f>
        <v>1</v>
      </c>
      <c r="O510" t="str">
        <f>Scores_and_Fixtures[[#This Row],[Away]]</f>
        <v>QPR</v>
      </c>
      <c r="U510">
        <v>409</v>
      </c>
      <c r="V510">
        <v>16</v>
      </c>
      <c r="W510">
        <v>9</v>
      </c>
      <c r="X510">
        <v>10</v>
      </c>
      <c r="Y510">
        <v>12</v>
      </c>
      <c r="Z510">
        <v>17</v>
      </c>
      <c r="AA510">
        <v>20</v>
      </c>
      <c r="AB510">
        <v>5</v>
      </c>
      <c r="AC510">
        <v>2</v>
      </c>
      <c r="AD510">
        <v>4</v>
      </c>
      <c r="AE510">
        <v>1</v>
      </c>
      <c r="AF510">
        <v>11</v>
      </c>
      <c r="AG510">
        <v>18</v>
      </c>
      <c r="AH510">
        <v>13</v>
      </c>
      <c r="AI510">
        <v>19</v>
      </c>
      <c r="AJ510">
        <v>14</v>
      </c>
      <c r="AK510">
        <v>21</v>
      </c>
      <c r="AL510">
        <v>23</v>
      </c>
      <c r="AM510">
        <v>24</v>
      </c>
      <c r="AN510">
        <v>3</v>
      </c>
      <c r="AO510">
        <v>22</v>
      </c>
      <c r="AP510">
        <v>6</v>
      </c>
      <c r="AQ510">
        <v>15</v>
      </c>
      <c r="AR510">
        <v>8</v>
      </c>
      <c r="AS510">
        <v>7</v>
      </c>
    </row>
    <row r="511" spans="1:45" x14ac:dyDescent="0.25">
      <c r="A511">
        <v>43</v>
      </c>
      <c r="B511" t="s">
        <v>392</v>
      </c>
      <c r="E511" t="s">
        <v>390</v>
      </c>
      <c r="K511">
        <f>Scores_and_Fixtures[[#This Row],[Wk]]</f>
        <v>43</v>
      </c>
      <c r="L511" t="str">
        <f>Scores_and_Fixtures[[#This Row],[Home]]</f>
        <v>Preston</v>
      </c>
      <c r="M511">
        <f ca="1">IF(ISBLANK(Scores_and_Fixtures[[#This Row],[Home Score]])=FALSE,Scores_and_Fixtures[[#This Row],[Home Score]],_xlfn.BINOM.INV(10000,(VLOOKUP(L511,$CK$4:$CM$27,2,FALSE)*VLOOKUP(O511,$CK$4:$CM$27,3,FALSE)*($CM$2/2))/10000,RAND()))</f>
        <v>1</v>
      </c>
      <c r="N511">
        <f ca="1">IF(ISBLANK(Scores_and_Fixtures[[#This Row],[Away Score]])=FALSE,Scores_and_Fixtures[[#This Row],[Away Score]],_xlfn.BINOM.INV(10000,(VLOOKUP(O511,$CK$4:$CM$27,2,FALSE)*VLOOKUP(L511,$CK$4:$CM$27,3,FALSE)*($CM$2/2))/10000,RAND()))</f>
        <v>5</v>
      </c>
      <c r="O511" t="str">
        <f>Scores_and_Fixtures[[#This Row],[Away]]</f>
        <v>Norwich City</v>
      </c>
      <c r="U511">
        <v>410</v>
      </c>
      <c r="V511">
        <v>16</v>
      </c>
      <c r="W511">
        <v>10</v>
      </c>
      <c r="X511">
        <v>19</v>
      </c>
      <c r="Y511">
        <v>13</v>
      </c>
      <c r="Z511">
        <v>14</v>
      </c>
      <c r="AA511">
        <v>22</v>
      </c>
      <c r="AB511">
        <v>5</v>
      </c>
      <c r="AC511">
        <v>1</v>
      </c>
      <c r="AD511">
        <v>3</v>
      </c>
      <c r="AE511">
        <v>2</v>
      </c>
      <c r="AF511">
        <v>6</v>
      </c>
      <c r="AG511">
        <v>17</v>
      </c>
      <c r="AH511">
        <v>11</v>
      </c>
      <c r="AI511">
        <v>18</v>
      </c>
      <c r="AJ511">
        <v>15</v>
      </c>
      <c r="AK511">
        <v>20</v>
      </c>
      <c r="AL511">
        <v>24</v>
      </c>
      <c r="AM511">
        <v>23</v>
      </c>
      <c r="AN511">
        <v>4</v>
      </c>
      <c r="AO511">
        <v>21</v>
      </c>
      <c r="AP511">
        <v>9</v>
      </c>
      <c r="AQ511">
        <v>8</v>
      </c>
      <c r="AR511">
        <v>12</v>
      </c>
      <c r="AS511">
        <v>7</v>
      </c>
    </row>
    <row r="512" spans="1:45" x14ac:dyDescent="0.25">
      <c r="A512">
        <v>43</v>
      </c>
      <c r="B512" t="s">
        <v>396</v>
      </c>
      <c r="E512" t="s">
        <v>400</v>
      </c>
      <c r="K512">
        <f>Scores_and_Fixtures[[#This Row],[Wk]]</f>
        <v>43</v>
      </c>
      <c r="L512" t="str">
        <f>Scores_and_Fixtures[[#This Row],[Home]]</f>
        <v>Southampton</v>
      </c>
      <c r="M512">
        <f ca="1">IF(ISBLANK(Scores_and_Fixtures[[#This Row],[Home Score]])=FALSE,Scores_and_Fixtures[[#This Row],[Home Score]],_xlfn.BINOM.INV(10000,(VLOOKUP(L512,$CK$4:$CM$27,2,FALSE)*VLOOKUP(O512,$CK$4:$CM$27,3,FALSE)*($CM$2/2))/10000,RAND()))</f>
        <v>0</v>
      </c>
      <c r="N512">
        <f ca="1">IF(ISBLANK(Scores_and_Fixtures[[#This Row],[Away Score]])=FALSE,Scores_and_Fixtures[[#This Row],[Away Score]],_xlfn.BINOM.INV(10000,(VLOOKUP(O512,$CK$4:$CM$27,2,FALSE)*VLOOKUP(L512,$CK$4:$CM$27,3,FALSE)*($CM$2/2))/10000,RAND()))</f>
        <v>2</v>
      </c>
      <c r="O512" t="str">
        <f>Scores_and_Fixtures[[#This Row],[Away]]</f>
        <v>Watford</v>
      </c>
      <c r="U512">
        <v>411</v>
      </c>
      <c r="V512">
        <v>19</v>
      </c>
      <c r="W512">
        <v>10</v>
      </c>
      <c r="X512">
        <v>15</v>
      </c>
      <c r="Y512">
        <v>6</v>
      </c>
      <c r="Z512">
        <v>9</v>
      </c>
      <c r="AA512">
        <v>18</v>
      </c>
      <c r="AB512">
        <v>7</v>
      </c>
      <c r="AC512">
        <v>2</v>
      </c>
      <c r="AD512">
        <v>3</v>
      </c>
      <c r="AE512">
        <v>1</v>
      </c>
      <c r="AF512">
        <v>13</v>
      </c>
      <c r="AG512">
        <v>17</v>
      </c>
      <c r="AH512">
        <v>12</v>
      </c>
      <c r="AI512">
        <v>20</v>
      </c>
      <c r="AJ512">
        <v>16</v>
      </c>
      <c r="AK512">
        <v>22</v>
      </c>
      <c r="AL512">
        <v>23</v>
      </c>
      <c r="AM512">
        <v>24</v>
      </c>
      <c r="AN512">
        <v>4</v>
      </c>
      <c r="AO512">
        <v>21</v>
      </c>
      <c r="AP512">
        <v>11</v>
      </c>
      <c r="AQ512">
        <v>14</v>
      </c>
      <c r="AR512">
        <v>5</v>
      </c>
      <c r="AS512">
        <v>8</v>
      </c>
    </row>
    <row r="513" spans="1:45" x14ac:dyDescent="0.25">
      <c r="A513">
        <v>43</v>
      </c>
      <c r="B513" t="s">
        <v>395</v>
      </c>
      <c r="E513" t="s">
        <v>397</v>
      </c>
      <c r="K513">
        <f>Scores_and_Fixtures[[#This Row],[Wk]]</f>
        <v>43</v>
      </c>
      <c r="L513" t="str">
        <f>Scores_and_Fixtures[[#This Row],[Home]]</f>
        <v>Sheffield Weds</v>
      </c>
      <c r="M513">
        <f ca="1">IF(ISBLANK(Scores_and_Fixtures[[#This Row],[Home Score]])=FALSE,Scores_and_Fixtures[[#This Row],[Home Score]],_xlfn.BINOM.INV(10000,(VLOOKUP(L513,$CK$4:$CM$27,2,FALSE)*VLOOKUP(O513,$CK$4:$CM$27,3,FALSE)*($CM$2/2))/10000,RAND()))</f>
        <v>0</v>
      </c>
      <c r="N513">
        <f ca="1">IF(ISBLANK(Scores_and_Fixtures[[#This Row],[Away Score]])=FALSE,Scores_and_Fixtures[[#This Row],[Away Score]],_xlfn.BINOM.INV(10000,(VLOOKUP(O513,$CK$4:$CM$27,2,FALSE)*VLOOKUP(L513,$CK$4:$CM$27,3,FALSE)*($CM$2/2))/10000,RAND()))</f>
        <v>4</v>
      </c>
      <c r="O513" t="str">
        <f>Scores_and_Fixtures[[#This Row],[Away]]</f>
        <v>Stoke City</v>
      </c>
      <c r="U513">
        <v>412</v>
      </c>
      <c r="V513">
        <v>15</v>
      </c>
      <c r="W513">
        <v>8</v>
      </c>
      <c r="X513">
        <v>18</v>
      </c>
      <c r="Y513">
        <v>10</v>
      </c>
      <c r="Z513">
        <v>14</v>
      </c>
      <c r="AA513">
        <v>20</v>
      </c>
      <c r="AB513">
        <v>5</v>
      </c>
      <c r="AC513">
        <v>3</v>
      </c>
      <c r="AD513">
        <v>2</v>
      </c>
      <c r="AE513">
        <v>1</v>
      </c>
      <c r="AF513">
        <v>7</v>
      </c>
      <c r="AG513">
        <v>17</v>
      </c>
      <c r="AH513">
        <v>11</v>
      </c>
      <c r="AI513">
        <v>19</v>
      </c>
      <c r="AJ513">
        <v>12</v>
      </c>
      <c r="AK513">
        <v>22</v>
      </c>
      <c r="AL513">
        <v>23</v>
      </c>
      <c r="AM513">
        <v>24</v>
      </c>
      <c r="AN513">
        <v>4</v>
      </c>
      <c r="AO513">
        <v>21</v>
      </c>
      <c r="AP513">
        <v>16</v>
      </c>
      <c r="AQ513">
        <v>13</v>
      </c>
      <c r="AR513">
        <v>6</v>
      </c>
      <c r="AS513">
        <v>9</v>
      </c>
    </row>
    <row r="514" spans="1:45" x14ac:dyDescent="0.25">
      <c r="A514">
        <v>43</v>
      </c>
      <c r="B514" t="s">
        <v>385</v>
      </c>
      <c r="E514" t="s">
        <v>388</v>
      </c>
      <c r="K514">
        <f>Scores_and_Fixtures[[#This Row],[Wk]]</f>
        <v>43</v>
      </c>
      <c r="L514" t="str">
        <f>Scores_and_Fixtures[[#This Row],[Home]]</f>
        <v>Ipswich Town</v>
      </c>
      <c r="M514">
        <f ca="1">IF(ISBLANK(Scores_and_Fixtures[[#This Row],[Home Score]])=FALSE,Scores_and_Fixtures[[#This Row],[Home Score]],_xlfn.BINOM.INV(10000,(VLOOKUP(L514,$CK$4:$CM$27,2,FALSE)*VLOOKUP(O514,$CK$4:$CM$27,3,FALSE)*($CM$2/2))/10000,RAND()))</f>
        <v>3</v>
      </c>
      <c r="N514">
        <f ca="1">IF(ISBLANK(Scores_and_Fixtures[[#This Row],[Away Score]])=FALSE,Scores_and_Fixtures[[#This Row],[Away Score]],_xlfn.BINOM.INV(10000,(VLOOKUP(O514,$CK$4:$CM$27,2,FALSE)*VLOOKUP(L514,$CK$4:$CM$27,3,FALSE)*($CM$2/2))/10000,RAND()))</f>
        <v>1</v>
      </c>
      <c r="O514" t="str">
        <f>Scores_and_Fixtures[[#This Row],[Away]]</f>
        <v>Middlesbrough</v>
      </c>
      <c r="U514">
        <v>413</v>
      </c>
      <c r="V514">
        <v>20</v>
      </c>
      <c r="W514">
        <v>15</v>
      </c>
      <c r="X514">
        <v>16</v>
      </c>
      <c r="Y514">
        <v>9</v>
      </c>
      <c r="Z514">
        <v>11</v>
      </c>
      <c r="AA514">
        <v>21</v>
      </c>
      <c r="AB514">
        <v>5</v>
      </c>
      <c r="AC514">
        <v>2</v>
      </c>
      <c r="AD514">
        <v>3</v>
      </c>
      <c r="AE514">
        <v>1</v>
      </c>
      <c r="AF514">
        <v>14</v>
      </c>
      <c r="AG514">
        <v>17</v>
      </c>
      <c r="AH514">
        <v>12</v>
      </c>
      <c r="AI514">
        <v>10</v>
      </c>
      <c r="AJ514">
        <v>13</v>
      </c>
      <c r="AK514">
        <v>23</v>
      </c>
      <c r="AL514">
        <v>22</v>
      </c>
      <c r="AM514">
        <v>24</v>
      </c>
      <c r="AN514">
        <v>4</v>
      </c>
      <c r="AO514">
        <v>19</v>
      </c>
      <c r="AP514">
        <v>8</v>
      </c>
      <c r="AQ514">
        <v>18</v>
      </c>
      <c r="AR514">
        <v>7</v>
      </c>
      <c r="AS514">
        <v>6</v>
      </c>
    </row>
    <row r="515" spans="1:45" x14ac:dyDescent="0.25">
      <c r="A515">
        <v>43</v>
      </c>
      <c r="B515" t="s">
        <v>389</v>
      </c>
      <c r="E515" t="s">
        <v>381</v>
      </c>
      <c r="K515">
        <f>Scores_and_Fixtures[[#This Row],[Wk]]</f>
        <v>43</v>
      </c>
      <c r="L515" t="str">
        <f>Scores_and_Fixtures[[#This Row],[Home]]</f>
        <v>Millwall</v>
      </c>
      <c r="M515">
        <f ca="1">IF(ISBLANK(Scores_and_Fixtures[[#This Row],[Home Score]])=FALSE,Scores_and_Fixtures[[#This Row],[Home Score]],_xlfn.BINOM.INV(10000,(VLOOKUP(L515,$CK$4:$CM$27,2,FALSE)*VLOOKUP(O515,$CK$4:$CM$27,3,FALSE)*($CM$2/2))/10000,RAND()))</f>
        <v>3</v>
      </c>
      <c r="N515">
        <f ca="1">IF(ISBLANK(Scores_and_Fixtures[[#This Row],[Away Score]])=FALSE,Scores_and_Fixtures[[#This Row],[Away Score]],_xlfn.BINOM.INV(10000,(VLOOKUP(O515,$CK$4:$CM$27,2,FALSE)*VLOOKUP(L515,$CK$4:$CM$27,3,FALSE)*($CM$2/2))/10000,RAND()))</f>
        <v>1</v>
      </c>
      <c r="O515" t="str">
        <f>Scores_and_Fixtures[[#This Row],[Away]]</f>
        <v>Cardiff City</v>
      </c>
      <c r="U515">
        <v>414</v>
      </c>
      <c r="V515">
        <v>19</v>
      </c>
      <c r="W515">
        <v>17</v>
      </c>
      <c r="X515">
        <v>15</v>
      </c>
      <c r="Y515">
        <v>9</v>
      </c>
      <c r="Z515">
        <v>14</v>
      </c>
      <c r="AA515">
        <v>21</v>
      </c>
      <c r="AB515">
        <v>10</v>
      </c>
      <c r="AC515">
        <v>2</v>
      </c>
      <c r="AD515">
        <v>3</v>
      </c>
      <c r="AE515">
        <v>1</v>
      </c>
      <c r="AF515">
        <v>7</v>
      </c>
      <c r="AG515">
        <v>18</v>
      </c>
      <c r="AH515">
        <v>11</v>
      </c>
      <c r="AI515">
        <v>12</v>
      </c>
      <c r="AJ515">
        <v>5</v>
      </c>
      <c r="AK515">
        <v>20</v>
      </c>
      <c r="AL515">
        <v>23</v>
      </c>
      <c r="AM515">
        <v>24</v>
      </c>
      <c r="AN515">
        <v>4</v>
      </c>
      <c r="AO515">
        <v>22</v>
      </c>
      <c r="AP515">
        <v>16</v>
      </c>
      <c r="AQ515">
        <v>13</v>
      </c>
      <c r="AR515">
        <v>8</v>
      </c>
      <c r="AS515">
        <v>6</v>
      </c>
    </row>
    <row r="516" spans="1:45" x14ac:dyDescent="0.25">
      <c r="A516">
        <v>43</v>
      </c>
      <c r="B516" t="s">
        <v>378</v>
      </c>
      <c r="E516" t="s">
        <v>382</v>
      </c>
      <c r="K516">
        <f>Scores_and_Fixtures[[#This Row],[Wk]]</f>
        <v>43</v>
      </c>
      <c r="L516" t="str">
        <f>Scores_and_Fixtures[[#This Row],[Home]]</f>
        <v>Birmingham City</v>
      </c>
      <c r="M516">
        <f ca="1">IF(ISBLANK(Scores_and_Fixtures[[#This Row],[Home Score]])=FALSE,Scores_and_Fixtures[[#This Row],[Home Score]],_xlfn.BINOM.INV(10000,(VLOOKUP(L516,$CK$4:$CM$27,2,FALSE)*VLOOKUP(O516,$CK$4:$CM$27,3,FALSE)*($CM$2/2))/10000,RAND()))</f>
        <v>0</v>
      </c>
      <c r="N516">
        <f ca="1">IF(ISBLANK(Scores_and_Fixtures[[#This Row],[Away Score]])=FALSE,Scores_and_Fixtures[[#This Row],[Away Score]],_xlfn.BINOM.INV(10000,(VLOOKUP(O516,$CK$4:$CM$27,2,FALSE)*VLOOKUP(L516,$CK$4:$CM$27,3,FALSE)*($CM$2/2))/10000,RAND()))</f>
        <v>3</v>
      </c>
      <c r="O516" t="str">
        <f>Scores_and_Fixtures[[#This Row],[Away]]</f>
        <v>Coventry City</v>
      </c>
      <c r="U516">
        <v>415</v>
      </c>
      <c r="V516">
        <v>15</v>
      </c>
      <c r="W516">
        <v>9</v>
      </c>
      <c r="X516">
        <v>14</v>
      </c>
      <c r="Y516">
        <v>13</v>
      </c>
      <c r="Z516">
        <v>6</v>
      </c>
      <c r="AA516">
        <v>20</v>
      </c>
      <c r="AB516">
        <v>7</v>
      </c>
      <c r="AC516">
        <v>2</v>
      </c>
      <c r="AD516">
        <v>3</v>
      </c>
      <c r="AE516">
        <v>1</v>
      </c>
      <c r="AF516">
        <v>16</v>
      </c>
      <c r="AG516">
        <v>19</v>
      </c>
      <c r="AH516">
        <v>11</v>
      </c>
      <c r="AI516">
        <v>17</v>
      </c>
      <c r="AJ516">
        <v>5</v>
      </c>
      <c r="AK516">
        <v>22</v>
      </c>
      <c r="AL516">
        <v>24</v>
      </c>
      <c r="AM516">
        <v>23</v>
      </c>
      <c r="AN516">
        <v>4</v>
      </c>
      <c r="AO516">
        <v>21</v>
      </c>
      <c r="AP516">
        <v>12</v>
      </c>
      <c r="AQ516">
        <v>18</v>
      </c>
      <c r="AR516">
        <v>8</v>
      </c>
      <c r="AS516">
        <v>10</v>
      </c>
    </row>
    <row r="517" spans="1:45" x14ac:dyDescent="0.25">
      <c r="A517">
        <v>43</v>
      </c>
      <c r="B517" t="s">
        <v>386</v>
      </c>
      <c r="E517" t="s">
        <v>379</v>
      </c>
      <c r="K517">
        <f>Scores_and_Fixtures[[#This Row],[Wk]]</f>
        <v>43</v>
      </c>
      <c r="L517" t="str">
        <f>Scores_and_Fixtures[[#This Row],[Home]]</f>
        <v>Leeds United</v>
      </c>
      <c r="M517">
        <f ca="1">IF(ISBLANK(Scores_and_Fixtures[[#This Row],[Home Score]])=FALSE,Scores_and_Fixtures[[#This Row],[Home Score]],_xlfn.BINOM.INV(10000,(VLOOKUP(L517,$CK$4:$CM$27,2,FALSE)*VLOOKUP(O517,$CK$4:$CM$27,3,FALSE)*($CM$2/2))/10000,RAND()))</f>
        <v>1</v>
      </c>
      <c r="N517">
        <f ca="1">IF(ISBLANK(Scores_and_Fixtures[[#This Row],[Away Score]])=FALSE,Scores_and_Fixtures[[#This Row],[Away Score]],_xlfn.BINOM.INV(10000,(VLOOKUP(O517,$CK$4:$CM$27,2,FALSE)*VLOOKUP(L517,$CK$4:$CM$27,3,FALSE)*($CM$2/2))/10000,RAND()))</f>
        <v>2</v>
      </c>
      <c r="O517" t="str">
        <f>Scores_and_Fixtures[[#This Row],[Away]]</f>
        <v>Blackburn</v>
      </c>
      <c r="U517">
        <v>416</v>
      </c>
      <c r="V517">
        <v>17</v>
      </c>
      <c r="W517">
        <v>7</v>
      </c>
      <c r="X517">
        <v>18</v>
      </c>
      <c r="Y517">
        <v>16</v>
      </c>
      <c r="Z517">
        <v>14</v>
      </c>
      <c r="AA517">
        <v>21</v>
      </c>
      <c r="AB517">
        <v>6</v>
      </c>
      <c r="AC517">
        <v>2</v>
      </c>
      <c r="AD517">
        <v>4</v>
      </c>
      <c r="AE517">
        <v>1</v>
      </c>
      <c r="AF517">
        <v>5</v>
      </c>
      <c r="AG517">
        <v>11</v>
      </c>
      <c r="AH517">
        <v>10</v>
      </c>
      <c r="AI517">
        <v>15</v>
      </c>
      <c r="AJ517">
        <v>12</v>
      </c>
      <c r="AK517">
        <v>22</v>
      </c>
      <c r="AL517">
        <v>24</v>
      </c>
      <c r="AM517">
        <v>23</v>
      </c>
      <c r="AN517">
        <v>3</v>
      </c>
      <c r="AO517">
        <v>19</v>
      </c>
      <c r="AP517">
        <v>13</v>
      </c>
      <c r="AQ517">
        <v>20</v>
      </c>
      <c r="AR517">
        <v>9</v>
      </c>
      <c r="AS517">
        <v>8</v>
      </c>
    </row>
    <row r="518" spans="1:45" x14ac:dyDescent="0.25">
      <c r="A518">
        <v>44</v>
      </c>
      <c r="B518" t="s">
        <v>388</v>
      </c>
      <c r="E518" t="s">
        <v>386</v>
      </c>
      <c r="K518">
        <f>Scores_and_Fixtures[[#This Row],[Wk]]</f>
        <v>44</v>
      </c>
      <c r="L518" t="str">
        <f>Scores_and_Fixtures[[#This Row],[Home]]</f>
        <v>Middlesbrough</v>
      </c>
      <c r="M518">
        <f ca="1">IF(ISBLANK(Scores_and_Fixtures[[#This Row],[Home Score]])=FALSE,Scores_and_Fixtures[[#This Row],[Home Score]],_xlfn.BINOM.INV(10000,(VLOOKUP(L518,$CK$4:$CM$27,2,FALSE)*VLOOKUP(O518,$CK$4:$CM$27,3,FALSE)*($CM$2/2))/10000,RAND()))</f>
        <v>0</v>
      </c>
      <c r="N518">
        <f ca="1">IF(ISBLANK(Scores_and_Fixtures[[#This Row],[Away Score]])=FALSE,Scores_and_Fixtures[[#This Row],[Away Score]],_xlfn.BINOM.INV(10000,(VLOOKUP(O518,$CK$4:$CM$27,2,FALSE)*VLOOKUP(L518,$CK$4:$CM$27,3,FALSE)*($CM$2/2))/10000,RAND()))</f>
        <v>2</v>
      </c>
      <c r="O518" t="str">
        <f>Scores_and_Fixtures[[#This Row],[Away]]</f>
        <v>Leeds United</v>
      </c>
      <c r="U518">
        <v>417</v>
      </c>
      <c r="V518">
        <v>14</v>
      </c>
      <c r="W518">
        <v>11</v>
      </c>
      <c r="X518">
        <v>16</v>
      </c>
      <c r="Y518">
        <v>8</v>
      </c>
      <c r="Z518">
        <v>13</v>
      </c>
      <c r="AA518">
        <v>21</v>
      </c>
      <c r="AB518">
        <v>6</v>
      </c>
      <c r="AC518">
        <v>2</v>
      </c>
      <c r="AD518">
        <v>5</v>
      </c>
      <c r="AE518">
        <v>1</v>
      </c>
      <c r="AF518">
        <v>9</v>
      </c>
      <c r="AG518">
        <v>18</v>
      </c>
      <c r="AH518">
        <v>10</v>
      </c>
      <c r="AI518">
        <v>17</v>
      </c>
      <c r="AJ518">
        <v>12</v>
      </c>
      <c r="AK518">
        <v>22</v>
      </c>
      <c r="AL518">
        <v>23</v>
      </c>
      <c r="AM518">
        <v>24</v>
      </c>
      <c r="AN518">
        <v>3</v>
      </c>
      <c r="AO518">
        <v>20</v>
      </c>
      <c r="AP518">
        <v>15</v>
      </c>
      <c r="AQ518">
        <v>19</v>
      </c>
      <c r="AR518">
        <v>7</v>
      </c>
      <c r="AS518">
        <v>4</v>
      </c>
    </row>
    <row r="519" spans="1:45" x14ac:dyDescent="0.25">
      <c r="A519">
        <v>44</v>
      </c>
      <c r="B519" t="s">
        <v>394</v>
      </c>
      <c r="E519" t="s">
        <v>378</v>
      </c>
      <c r="K519">
        <f>Scores_and_Fixtures[[#This Row],[Wk]]</f>
        <v>44</v>
      </c>
      <c r="L519" t="str">
        <f>Scores_and_Fixtures[[#This Row],[Home]]</f>
        <v>Rotherham Utd</v>
      </c>
      <c r="M519">
        <f ca="1">IF(ISBLANK(Scores_and_Fixtures[[#This Row],[Home Score]])=FALSE,Scores_and_Fixtures[[#This Row],[Home Score]],_xlfn.BINOM.INV(10000,(VLOOKUP(L519,$CK$4:$CM$27,2,FALSE)*VLOOKUP(O519,$CK$4:$CM$27,3,FALSE)*($CM$2/2))/10000,RAND()))</f>
        <v>0</v>
      </c>
      <c r="N519">
        <f ca="1">IF(ISBLANK(Scores_and_Fixtures[[#This Row],[Away Score]])=FALSE,Scores_and_Fixtures[[#This Row],[Away Score]],_xlfn.BINOM.INV(10000,(VLOOKUP(O519,$CK$4:$CM$27,2,FALSE)*VLOOKUP(L519,$CK$4:$CM$27,3,FALSE)*($CM$2/2))/10000,RAND()))</f>
        <v>2</v>
      </c>
      <c r="O519" t="str">
        <f>Scores_and_Fixtures[[#This Row],[Away]]</f>
        <v>Birmingham City</v>
      </c>
      <c r="U519">
        <v>418</v>
      </c>
      <c r="V519">
        <v>13</v>
      </c>
      <c r="W519">
        <v>8</v>
      </c>
      <c r="X519">
        <v>18</v>
      </c>
      <c r="Y519">
        <v>10</v>
      </c>
      <c r="Z519">
        <v>14</v>
      </c>
      <c r="AA519">
        <v>21</v>
      </c>
      <c r="AB519">
        <v>5</v>
      </c>
      <c r="AC519">
        <v>2</v>
      </c>
      <c r="AD519">
        <v>4</v>
      </c>
      <c r="AE519">
        <v>1</v>
      </c>
      <c r="AF519">
        <v>12</v>
      </c>
      <c r="AG519">
        <v>16</v>
      </c>
      <c r="AH519">
        <v>11</v>
      </c>
      <c r="AI519">
        <v>20</v>
      </c>
      <c r="AJ519">
        <v>17</v>
      </c>
      <c r="AK519">
        <v>22</v>
      </c>
      <c r="AL519">
        <v>24</v>
      </c>
      <c r="AM519">
        <v>23</v>
      </c>
      <c r="AN519">
        <v>3</v>
      </c>
      <c r="AO519">
        <v>19</v>
      </c>
      <c r="AP519">
        <v>9</v>
      </c>
      <c r="AQ519">
        <v>15</v>
      </c>
      <c r="AR519">
        <v>6</v>
      </c>
      <c r="AS519">
        <v>7</v>
      </c>
    </row>
    <row r="520" spans="1:45" x14ac:dyDescent="0.25">
      <c r="A520">
        <v>44</v>
      </c>
      <c r="B520" t="s">
        <v>393</v>
      </c>
      <c r="E520" t="s">
        <v>392</v>
      </c>
      <c r="K520">
        <f>Scores_and_Fixtures[[#This Row],[Wk]]</f>
        <v>44</v>
      </c>
      <c r="L520" t="str">
        <f>Scores_and_Fixtures[[#This Row],[Home]]</f>
        <v>QPR</v>
      </c>
      <c r="M520">
        <f ca="1">IF(ISBLANK(Scores_and_Fixtures[[#This Row],[Home Score]])=FALSE,Scores_and_Fixtures[[#This Row],[Home Score]],_xlfn.BINOM.INV(10000,(VLOOKUP(L520,$CK$4:$CM$27,2,FALSE)*VLOOKUP(O520,$CK$4:$CM$27,3,FALSE)*($CM$2/2))/10000,RAND()))</f>
        <v>2</v>
      </c>
      <c r="N520">
        <f ca="1">IF(ISBLANK(Scores_and_Fixtures[[#This Row],[Away Score]])=FALSE,Scores_and_Fixtures[[#This Row],[Away Score]],_xlfn.BINOM.INV(10000,(VLOOKUP(O520,$CK$4:$CM$27,2,FALSE)*VLOOKUP(L520,$CK$4:$CM$27,3,FALSE)*($CM$2/2))/10000,RAND()))</f>
        <v>0</v>
      </c>
      <c r="O520" t="str">
        <f>Scores_and_Fixtures[[#This Row],[Away]]</f>
        <v>Preston</v>
      </c>
      <c r="U520">
        <v>419</v>
      </c>
      <c r="V520">
        <v>15</v>
      </c>
      <c r="W520">
        <v>5</v>
      </c>
      <c r="X520">
        <v>17</v>
      </c>
      <c r="Y520">
        <v>11</v>
      </c>
      <c r="Z520">
        <v>12</v>
      </c>
      <c r="AA520">
        <v>21</v>
      </c>
      <c r="AB520">
        <v>8</v>
      </c>
      <c r="AC520">
        <v>2</v>
      </c>
      <c r="AD520">
        <v>3</v>
      </c>
      <c r="AE520">
        <v>1</v>
      </c>
      <c r="AF520">
        <v>10</v>
      </c>
      <c r="AG520">
        <v>16</v>
      </c>
      <c r="AH520">
        <v>19</v>
      </c>
      <c r="AI520">
        <v>14</v>
      </c>
      <c r="AJ520">
        <v>9</v>
      </c>
      <c r="AK520">
        <v>22</v>
      </c>
      <c r="AL520">
        <v>24</v>
      </c>
      <c r="AM520">
        <v>23</v>
      </c>
      <c r="AN520">
        <v>4</v>
      </c>
      <c r="AO520">
        <v>20</v>
      </c>
      <c r="AP520">
        <v>13</v>
      </c>
      <c r="AQ520">
        <v>18</v>
      </c>
      <c r="AR520">
        <v>7</v>
      </c>
      <c r="AS520">
        <v>6</v>
      </c>
    </row>
    <row r="521" spans="1:45" x14ac:dyDescent="0.25">
      <c r="A521">
        <v>44</v>
      </c>
      <c r="B521" t="s">
        <v>398</v>
      </c>
      <c r="E521" t="s">
        <v>389</v>
      </c>
      <c r="K521">
        <f>Scores_and_Fixtures[[#This Row],[Wk]]</f>
        <v>44</v>
      </c>
      <c r="L521" t="str">
        <f>Scores_and_Fixtures[[#This Row],[Home]]</f>
        <v>Sunderland</v>
      </c>
      <c r="M521">
        <f ca="1">IF(ISBLANK(Scores_and_Fixtures[[#This Row],[Home Score]])=FALSE,Scores_and_Fixtures[[#This Row],[Home Score]],_xlfn.BINOM.INV(10000,(VLOOKUP(L521,$CK$4:$CM$27,2,FALSE)*VLOOKUP(O521,$CK$4:$CM$27,3,FALSE)*($CM$2/2))/10000,RAND()))</f>
        <v>0</v>
      </c>
      <c r="N521">
        <f ca="1">IF(ISBLANK(Scores_and_Fixtures[[#This Row],[Away Score]])=FALSE,Scores_and_Fixtures[[#This Row],[Away Score]],_xlfn.BINOM.INV(10000,(VLOOKUP(O521,$CK$4:$CM$27,2,FALSE)*VLOOKUP(L521,$CK$4:$CM$27,3,FALSE)*($CM$2/2))/10000,RAND()))</f>
        <v>1</v>
      </c>
      <c r="O521" t="str">
        <f>Scores_and_Fixtures[[#This Row],[Away]]</f>
        <v>Millwall</v>
      </c>
      <c r="U521">
        <v>420</v>
      </c>
      <c r="V521">
        <v>19</v>
      </c>
      <c r="W521">
        <v>13</v>
      </c>
      <c r="X521">
        <v>12</v>
      </c>
      <c r="Y521">
        <v>9</v>
      </c>
      <c r="Z521">
        <v>20</v>
      </c>
      <c r="AA521">
        <v>21</v>
      </c>
      <c r="AB521">
        <v>5</v>
      </c>
      <c r="AC521">
        <v>2</v>
      </c>
      <c r="AD521">
        <v>4</v>
      </c>
      <c r="AE521">
        <v>1</v>
      </c>
      <c r="AF521">
        <v>6</v>
      </c>
      <c r="AG521">
        <v>22</v>
      </c>
      <c r="AH521">
        <v>7</v>
      </c>
      <c r="AI521">
        <v>15</v>
      </c>
      <c r="AJ521">
        <v>14</v>
      </c>
      <c r="AK521">
        <v>18</v>
      </c>
      <c r="AL521">
        <v>24</v>
      </c>
      <c r="AM521">
        <v>23</v>
      </c>
      <c r="AN521">
        <v>3</v>
      </c>
      <c r="AO521">
        <v>17</v>
      </c>
      <c r="AP521">
        <v>11</v>
      </c>
      <c r="AQ521">
        <v>16</v>
      </c>
      <c r="AR521">
        <v>10</v>
      </c>
      <c r="AS521">
        <v>8</v>
      </c>
    </row>
    <row r="522" spans="1:45" x14ac:dyDescent="0.25">
      <c r="A522">
        <v>44</v>
      </c>
      <c r="B522" t="s">
        <v>383</v>
      </c>
      <c r="E522" t="s">
        <v>399</v>
      </c>
      <c r="K522">
        <f>Scores_and_Fixtures[[#This Row],[Wk]]</f>
        <v>44</v>
      </c>
      <c r="L522" t="str">
        <f>Scores_and_Fixtures[[#This Row],[Home]]</f>
        <v>Huddersfield</v>
      </c>
      <c r="M522">
        <f ca="1">IF(ISBLANK(Scores_and_Fixtures[[#This Row],[Home Score]])=FALSE,Scores_and_Fixtures[[#This Row],[Home Score]],_xlfn.BINOM.INV(10000,(VLOOKUP(L522,$CK$4:$CM$27,2,FALSE)*VLOOKUP(O522,$CK$4:$CM$27,3,FALSE)*($CM$2/2))/10000,RAND()))</f>
        <v>1</v>
      </c>
      <c r="N522">
        <f ca="1">IF(ISBLANK(Scores_and_Fixtures[[#This Row],[Away Score]])=FALSE,Scores_and_Fixtures[[#This Row],[Away Score]],_xlfn.BINOM.INV(10000,(VLOOKUP(O522,$CK$4:$CM$27,2,FALSE)*VLOOKUP(L522,$CK$4:$CM$27,3,FALSE)*($CM$2/2))/10000,RAND()))</f>
        <v>1</v>
      </c>
      <c r="O522" t="str">
        <f>Scores_and_Fixtures[[#This Row],[Away]]</f>
        <v>Swansea City</v>
      </c>
      <c r="U522">
        <v>421</v>
      </c>
      <c r="V522">
        <v>14</v>
      </c>
      <c r="W522">
        <v>16</v>
      </c>
      <c r="X522">
        <v>6</v>
      </c>
      <c r="Y522">
        <v>11</v>
      </c>
      <c r="Z522">
        <v>13</v>
      </c>
      <c r="AA522">
        <v>21</v>
      </c>
      <c r="AB522">
        <v>8</v>
      </c>
      <c r="AC522">
        <v>2</v>
      </c>
      <c r="AD522">
        <v>4</v>
      </c>
      <c r="AE522">
        <v>1</v>
      </c>
      <c r="AF522">
        <v>7</v>
      </c>
      <c r="AG522">
        <v>18</v>
      </c>
      <c r="AH522">
        <v>9</v>
      </c>
      <c r="AI522">
        <v>17</v>
      </c>
      <c r="AJ522">
        <v>19</v>
      </c>
      <c r="AK522">
        <v>22</v>
      </c>
      <c r="AL522">
        <v>23</v>
      </c>
      <c r="AM522">
        <v>24</v>
      </c>
      <c r="AN522">
        <v>3</v>
      </c>
      <c r="AO522">
        <v>20</v>
      </c>
      <c r="AP522">
        <v>5</v>
      </c>
      <c r="AQ522">
        <v>15</v>
      </c>
      <c r="AR522">
        <v>12</v>
      </c>
      <c r="AS522">
        <v>10</v>
      </c>
    </row>
    <row r="523" spans="1:45" x14ac:dyDescent="0.25">
      <c r="A523">
        <v>44</v>
      </c>
      <c r="B523" t="s">
        <v>381</v>
      </c>
      <c r="E523" t="s">
        <v>396</v>
      </c>
      <c r="K523">
        <f>Scores_and_Fixtures[[#This Row],[Wk]]</f>
        <v>44</v>
      </c>
      <c r="L523" t="str">
        <f>Scores_and_Fixtures[[#This Row],[Home]]</f>
        <v>Cardiff City</v>
      </c>
      <c r="M523">
        <f ca="1">IF(ISBLANK(Scores_and_Fixtures[[#This Row],[Home Score]])=FALSE,Scores_and_Fixtures[[#This Row],[Home Score]],_xlfn.BINOM.INV(10000,(VLOOKUP(L523,$CK$4:$CM$27,2,FALSE)*VLOOKUP(O523,$CK$4:$CM$27,3,FALSE)*($CM$2/2))/10000,RAND()))</f>
        <v>1</v>
      </c>
      <c r="N523">
        <f ca="1">IF(ISBLANK(Scores_and_Fixtures[[#This Row],[Away Score]])=FALSE,Scores_and_Fixtures[[#This Row],[Away Score]],_xlfn.BINOM.INV(10000,(VLOOKUP(O523,$CK$4:$CM$27,2,FALSE)*VLOOKUP(L523,$CK$4:$CM$27,3,FALSE)*($CM$2/2))/10000,RAND()))</f>
        <v>1</v>
      </c>
      <c r="O523" t="str">
        <f>Scores_and_Fixtures[[#This Row],[Away]]</f>
        <v>Southampton</v>
      </c>
      <c r="U523">
        <v>422</v>
      </c>
      <c r="V523">
        <v>16</v>
      </c>
      <c r="W523">
        <v>9</v>
      </c>
      <c r="X523">
        <v>11</v>
      </c>
      <c r="Y523">
        <v>12</v>
      </c>
      <c r="Z523">
        <v>10</v>
      </c>
      <c r="AA523">
        <v>22</v>
      </c>
      <c r="AB523">
        <v>6</v>
      </c>
      <c r="AC523">
        <v>2</v>
      </c>
      <c r="AD523">
        <v>3</v>
      </c>
      <c r="AE523">
        <v>1</v>
      </c>
      <c r="AF523">
        <v>13</v>
      </c>
      <c r="AG523">
        <v>20</v>
      </c>
      <c r="AH523">
        <v>17</v>
      </c>
      <c r="AI523">
        <v>15</v>
      </c>
      <c r="AJ523">
        <v>14</v>
      </c>
      <c r="AK523">
        <v>19</v>
      </c>
      <c r="AL523">
        <v>24</v>
      </c>
      <c r="AM523">
        <v>23</v>
      </c>
      <c r="AN523">
        <v>4</v>
      </c>
      <c r="AO523">
        <v>21</v>
      </c>
      <c r="AP523">
        <v>8</v>
      </c>
      <c r="AQ523">
        <v>18</v>
      </c>
      <c r="AR523">
        <v>7</v>
      </c>
      <c r="AS523">
        <v>5</v>
      </c>
    </row>
    <row r="524" spans="1:45" x14ac:dyDescent="0.25">
      <c r="A524">
        <v>44</v>
      </c>
      <c r="B524" t="s">
        <v>397</v>
      </c>
      <c r="E524" t="s">
        <v>391</v>
      </c>
      <c r="K524">
        <f>Scores_and_Fixtures[[#This Row],[Wk]]</f>
        <v>44</v>
      </c>
      <c r="L524" t="str">
        <f>Scores_and_Fixtures[[#This Row],[Home]]</f>
        <v>Stoke City</v>
      </c>
      <c r="M524">
        <f ca="1">IF(ISBLANK(Scores_and_Fixtures[[#This Row],[Home Score]])=FALSE,Scores_and_Fixtures[[#This Row],[Home Score]],_xlfn.BINOM.INV(10000,(VLOOKUP(L524,$CK$4:$CM$27,2,FALSE)*VLOOKUP(O524,$CK$4:$CM$27,3,FALSE)*($CM$2/2))/10000,RAND()))</f>
        <v>1</v>
      </c>
      <c r="N524">
        <f ca="1">IF(ISBLANK(Scores_and_Fixtures[[#This Row],[Away Score]])=FALSE,Scores_and_Fixtures[[#This Row],[Away Score]],_xlfn.BINOM.INV(10000,(VLOOKUP(O524,$CK$4:$CM$27,2,FALSE)*VLOOKUP(L524,$CK$4:$CM$27,3,FALSE)*($CM$2/2))/10000,RAND()))</f>
        <v>2</v>
      </c>
      <c r="O524" t="str">
        <f>Scores_and_Fixtures[[#This Row],[Away]]</f>
        <v>Plymouth Argyle</v>
      </c>
      <c r="U524">
        <v>423</v>
      </c>
      <c r="V524">
        <v>12</v>
      </c>
      <c r="W524">
        <v>11</v>
      </c>
      <c r="X524">
        <v>15</v>
      </c>
      <c r="Y524">
        <v>9</v>
      </c>
      <c r="Z524">
        <v>10</v>
      </c>
      <c r="AA524">
        <v>21</v>
      </c>
      <c r="AB524">
        <v>6</v>
      </c>
      <c r="AC524">
        <v>2</v>
      </c>
      <c r="AD524">
        <v>5</v>
      </c>
      <c r="AE524">
        <v>1</v>
      </c>
      <c r="AF524">
        <v>16</v>
      </c>
      <c r="AG524">
        <v>18</v>
      </c>
      <c r="AH524">
        <v>14</v>
      </c>
      <c r="AI524">
        <v>17</v>
      </c>
      <c r="AJ524">
        <v>13</v>
      </c>
      <c r="AK524">
        <v>20</v>
      </c>
      <c r="AL524">
        <v>24</v>
      </c>
      <c r="AM524">
        <v>23</v>
      </c>
      <c r="AN524">
        <v>3</v>
      </c>
      <c r="AO524">
        <v>22</v>
      </c>
      <c r="AP524">
        <v>8</v>
      </c>
      <c r="AQ524">
        <v>19</v>
      </c>
      <c r="AR524">
        <v>7</v>
      </c>
      <c r="AS524">
        <v>4</v>
      </c>
    </row>
    <row r="525" spans="1:45" x14ac:dyDescent="0.25">
      <c r="A525">
        <v>44</v>
      </c>
      <c r="B525" t="s">
        <v>382</v>
      </c>
      <c r="E525" t="s">
        <v>385</v>
      </c>
      <c r="K525">
        <f>Scores_and_Fixtures[[#This Row],[Wk]]</f>
        <v>44</v>
      </c>
      <c r="L525" t="str">
        <f>Scores_and_Fixtures[[#This Row],[Home]]</f>
        <v>Coventry City</v>
      </c>
      <c r="M525">
        <f ca="1">IF(ISBLANK(Scores_and_Fixtures[[#This Row],[Home Score]])=FALSE,Scores_and_Fixtures[[#This Row],[Home Score]],_xlfn.BINOM.INV(10000,(VLOOKUP(L525,$CK$4:$CM$27,2,FALSE)*VLOOKUP(O525,$CK$4:$CM$27,3,FALSE)*($CM$2/2))/10000,RAND()))</f>
        <v>1</v>
      </c>
      <c r="N525">
        <f ca="1">IF(ISBLANK(Scores_and_Fixtures[[#This Row],[Away Score]])=FALSE,Scores_and_Fixtures[[#This Row],[Away Score]],_xlfn.BINOM.INV(10000,(VLOOKUP(O525,$CK$4:$CM$27,2,FALSE)*VLOOKUP(L525,$CK$4:$CM$27,3,FALSE)*($CM$2/2))/10000,RAND()))</f>
        <v>1</v>
      </c>
      <c r="O525" t="str">
        <f>Scores_and_Fixtures[[#This Row],[Away]]</f>
        <v>Ipswich Town</v>
      </c>
      <c r="U525">
        <v>424</v>
      </c>
      <c r="V525">
        <v>15</v>
      </c>
      <c r="W525">
        <v>14</v>
      </c>
      <c r="X525">
        <v>11</v>
      </c>
      <c r="Y525">
        <v>13</v>
      </c>
      <c r="Z525">
        <v>16</v>
      </c>
      <c r="AA525">
        <v>21</v>
      </c>
      <c r="AB525">
        <v>7</v>
      </c>
      <c r="AC525">
        <v>2</v>
      </c>
      <c r="AD525">
        <v>4</v>
      </c>
      <c r="AE525">
        <v>1</v>
      </c>
      <c r="AF525">
        <v>8</v>
      </c>
      <c r="AG525">
        <v>22</v>
      </c>
      <c r="AH525">
        <v>12</v>
      </c>
      <c r="AI525">
        <v>18</v>
      </c>
      <c r="AJ525">
        <v>9</v>
      </c>
      <c r="AK525">
        <v>19</v>
      </c>
      <c r="AL525">
        <v>24</v>
      </c>
      <c r="AM525">
        <v>23</v>
      </c>
      <c r="AN525">
        <v>3</v>
      </c>
      <c r="AO525">
        <v>17</v>
      </c>
      <c r="AP525">
        <v>10</v>
      </c>
      <c r="AQ525">
        <v>20</v>
      </c>
      <c r="AR525">
        <v>6</v>
      </c>
      <c r="AS525">
        <v>5</v>
      </c>
    </row>
    <row r="526" spans="1:45" x14ac:dyDescent="0.25">
      <c r="A526">
        <v>44</v>
      </c>
      <c r="B526" t="s">
        <v>379</v>
      </c>
      <c r="E526" t="s">
        <v>395</v>
      </c>
      <c r="K526">
        <f>Scores_and_Fixtures[[#This Row],[Wk]]</f>
        <v>44</v>
      </c>
      <c r="L526" t="str">
        <f>Scores_and_Fixtures[[#This Row],[Home]]</f>
        <v>Blackburn</v>
      </c>
      <c r="M526">
        <f ca="1">IF(ISBLANK(Scores_and_Fixtures[[#This Row],[Home Score]])=FALSE,Scores_and_Fixtures[[#This Row],[Home Score]],_xlfn.BINOM.INV(10000,(VLOOKUP(L526,$CK$4:$CM$27,2,FALSE)*VLOOKUP(O526,$CK$4:$CM$27,3,FALSE)*($CM$2/2))/10000,RAND()))</f>
        <v>0</v>
      </c>
      <c r="N526">
        <f ca="1">IF(ISBLANK(Scores_and_Fixtures[[#This Row],[Away Score]])=FALSE,Scores_and_Fixtures[[#This Row],[Away Score]],_xlfn.BINOM.INV(10000,(VLOOKUP(O526,$CK$4:$CM$27,2,FALSE)*VLOOKUP(L526,$CK$4:$CM$27,3,FALSE)*($CM$2/2))/10000,RAND()))</f>
        <v>0</v>
      </c>
      <c r="O526" t="str">
        <f>Scores_and_Fixtures[[#This Row],[Away]]</f>
        <v>Sheffield Weds</v>
      </c>
      <c r="U526">
        <v>425</v>
      </c>
      <c r="V526">
        <v>16</v>
      </c>
      <c r="W526">
        <v>10</v>
      </c>
      <c r="X526">
        <v>13</v>
      </c>
      <c r="Y526">
        <v>14</v>
      </c>
      <c r="Z526">
        <v>12</v>
      </c>
      <c r="AA526">
        <v>18</v>
      </c>
      <c r="AB526">
        <v>8</v>
      </c>
      <c r="AC526">
        <v>2</v>
      </c>
      <c r="AD526">
        <v>4</v>
      </c>
      <c r="AE526">
        <v>1</v>
      </c>
      <c r="AF526">
        <v>17</v>
      </c>
      <c r="AG526">
        <v>22</v>
      </c>
      <c r="AH526">
        <v>9</v>
      </c>
      <c r="AI526">
        <v>19</v>
      </c>
      <c r="AJ526">
        <v>11</v>
      </c>
      <c r="AK526">
        <v>21</v>
      </c>
      <c r="AL526">
        <v>23</v>
      </c>
      <c r="AM526">
        <v>24</v>
      </c>
      <c r="AN526">
        <v>3</v>
      </c>
      <c r="AO526">
        <v>20</v>
      </c>
      <c r="AP526">
        <v>6</v>
      </c>
      <c r="AQ526">
        <v>15</v>
      </c>
      <c r="AR526">
        <v>7</v>
      </c>
      <c r="AS526">
        <v>5</v>
      </c>
    </row>
    <row r="527" spans="1:45" x14ac:dyDescent="0.25">
      <c r="A527">
        <v>44</v>
      </c>
      <c r="B527" t="s">
        <v>400</v>
      </c>
      <c r="E527" t="s">
        <v>384</v>
      </c>
      <c r="K527">
        <f>Scores_and_Fixtures[[#This Row],[Wk]]</f>
        <v>44</v>
      </c>
      <c r="L527" t="str">
        <f>Scores_and_Fixtures[[#This Row],[Home]]</f>
        <v>Watford</v>
      </c>
      <c r="M527">
        <f ca="1">IF(ISBLANK(Scores_and_Fixtures[[#This Row],[Home Score]])=FALSE,Scores_and_Fixtures[[#This Row],[Home Score]],_xlfn.BINOM.INV(10000,(VLOOKUP(L527,$CK$4:$CM$27,2,FALSE)*VLOOKUP(O527,$CK$4:$CM$27,3,FALSE)*($CM$2/2))/10000,RAND()))</f>
        <v>3</v>
      </c>
      <c r="N527">
        <f ca="1">IF(ISBLANK(Scores_and_Fixtures[[#This Row],[Away Score]])=FALSE,Scores_and_Fixtures[[#This Row],[Away Score]],_xlfn.BINOM.INV(10000,(VLOOKUP(O527,$CK$4:$CM$27,2,FALSE)*VLOOKUP(L527,$CK$4:$CM$27,3,FALSE)*($CM$2/2))/10000,RAND()))</f>
        <v>1</v>
      </c>
      <c r="O527" t="str">
        <f>Scores_and_Fixtures[[#This Row],[Away]]</f>
        <v>Hull City</v>
      </c>
      <c r="U527">
        <v>426</v>
      </c>
      <c r="V527">
        <v>17</v>
      </c>
      <c r="W527">
        <v>6</v>
      </c>
      <c r="X527">
        <v>15</v>
      </c>
      <c r="Y527">
        <v>11</v>
      </c>
      <c r="Z527">
        <v>16</v>
      </c>
      <c r="AA527">
        <v>22</v>
      </c>
      <c r="AB527">
        <v>5</v>
      </c>
      <c r="AC527">
        <v>2</v>
      </c>
      <c r="AD527">
        <v>3</v>
      </c>
      <c r="AE527">
        <v>1</v>
      </c>
      <c r="AF527">
        <v>14</v>
      </c>
      <c r="AG527">
        <v>21</v>
      </c>
      <c r="AH527">
        <v>12</v>
      </c>
      <c r="AI527">
        <v>13</v>
      </c>
      <c r="AJ527">
        <v>10</v>
      </c>
      <c r="AK527">
        <v>20</v>
      </c>
      <c r="AL527">
        <v>24</v>
      </c>
      <c r="AM527">
        <v>23</v>
      </c>
      <c r="AN527">
        <v>4</v>
      </c>
      <c r="AO527">
        <v>19</v>
      </c>
      <c r="AP527">
        <v>8</v>
      </c>
      <c r="AQ527">
        <v>18</v>
      </c>
      <c r="AR527">
        <v>9</v>
      </c>
      <c r="AS527">
        <v>7</v>
      </c>
    </row>
    <row r="528" spans="1:45" x14ac:dyDescent="0.25">
      <c r="A528">
        <v>44</v>
      </c>
      <c r="B528" t="s">
        <v>387</v>
      </c>
      <c r="E528" t="s">
        <v>401</v>
      </c>
      <c r="K528">
        <f>Scores_and_Fixtures[[#This Row],[Wk]]</f>
        <v>44</v>
      </c>
      <c r="L528" t="str">
        <f>Scores_and_Fixtures[[#This Row],[Home]]</f>
        <v>Leicester City</v>
      </c>
      <c r="M528">
        <f ca="1">IF(ISBLANK(Scores_and_Fixtures[[#This Row],[Home Score]])=FALSE,Scores_and_Fixtures[[#This Row],[Home Score]],_xlfn.BINOM.INV(10000,(VLOOKUP(L528,$CK$4:$CM$27,2,FALSE)*VLOOKUP(O528,$CK$4:$CM$27,3,FALSE)*($CM$2/2))/10000,RAND()))</f>
        <v>0</v>
      </c>
      <c r="N528">
        <f ca="1">IF(ISBLANK(Scores_and_Fixtures[[#This Row],[Away Score]])=FALSE,Scores_and_Fixtures[[#This Row],[Away Score]],_xlfn.BINOM.INV(10000,(VLOOKUP(O528,$CK$4:$CM$27,2,FALSE)*VLOOKUP(L528,$CK$4:$CM$27,3,FALSE)*($CM$2/2))/10000,RAND()))</f>
        <v>1</v>
      </c>
      <c r="O528" t="str">
        <f>Scores_and_Fixtures[[#This Row],[Away]]</f>
        <v>West Brom</v>
      </c>
      <c r="U528">
        <v>427</v>
      </c>
      <c r="V528">
        <v>12</v>
      </c>
      <c r="W528">
        <v>13</v>
      </c>
      <c r="X528">
        <v>14</v>
      </c>
      <c r="Y528">
        <v>11</v>
      </c>
      <c r="Z528">
        <v>19</v>
      </c>
      <c r="AA528">
        <v>22</v>
      </c>
      <c r="AB528">
        <v>5</v>
      </c>
      <c r="AC528">
        <v>2</v>
      </c>
      <c r="AD528">
        <v>4</v>
      </c>
      <c r="AE528">
        <v>1</v>
      </c>
      <c r="AF528">
        <v>8</v>
      </c>
      <c r="AG528">
        <v>18</v>
      </c>
      <c r="AH528">
        <v>9</v>
      </c>
      <c r="AI528">
        <v>16</v>
      </c>
      <c r="AJ528">
        <v>15</v>
      </c>
      <c r="AK528">
        <v>21</v>
      </c>
      <c r="AL528">
        <v>24</v>
      </c>
      <c r="AM528">
        <v>23</v>
      </c>
      <c r="AN528">
        <v>3</v>
      </c>
      <c r="AO528">
        <v>20</v>
      </c>
      <c r="AP528">
        <v>10</v>
      </c>
      <c r="AQ528">
        <v>17</v>
      </c>
      <c r="AR528">
        <v>7</v>
      </c>
      <c r="AS528">
        <v>6</v>
      </c>
    </row>
    <row r="529" spans="1:45" x14ac:dyDescent="0.25">
      <c r="A529">
        <v>44</v>
      </c>
      <c r="B529" t="s">
        <v>390</v>
      </c>
      <c r="E529" t="s">
        <v>380</v>
      </c>
      <c r="K529">
        <f>Scores_and_Fixtures[[#This Row],[Wk]]</f>
        <v>44</v>
      </c>
      <c r="L529" t="str">
        <f>Scores_and_Fixtures[[#This Row],[Home]]</f>
        <v>Norwich City</v>
      </c>
      <c r="M529">
        <f ca="1">IF(ISBLANK(Scores_and_Fixtures[[#This Row],[Home Score]])=FALSE,Scores_and_Fixtures[[#This Row],[Home Score]],_xlfn.BINOM.INV(10000,(VLOOKUP(L529,$CK$4:$CM$27,2,FALSE)*VLOOKUP(O529,$CK$4:$CM$27,3,FALSE)*($CM$2/2))/10000,RAND()))</f>
        <v>3</v>
      </c>
      <c r="N529">
        <f ca="1">IF(ISBLANK(Scores_and_Fixtures[[#This Row],[Away Score]])=FALSE,Scores_and_Fixtures[[#This Row],[Away Score]],_xlfn.BINOM.INV(10000,(VLOOKUP(O529,$CK$4:$CM$27,2,FALSE)*VLOOKUP(L529,$CK$4:$CM$27,3,FALSE)*($CM$2/2))/10000,RAND()))</f>
        <v>2</v>
      </c>
      <c r="O529" t="str">
        <f>Scores_and_Fixtures[[#This Row],[Away]]</f>
        <v>Bristol City</v>
      </c>
      <c r="U529">
        <v>428</v>
      </c>
      <c r="V529">
        <v>13</v>
      </c>
      <c r="W529">
        <v>6</v>
      </c>
      <c r="X529">
        <v>14</v>
      </c>
      <c r="Y529">
        <v>11</v>
      </c>
      <c r="Z529">
        <v>15</v>
      </c>
      <c r="AA529">
        <v>19</v>
      </c>
      <c r="AB529">
        <v>5</v>
      </c>
      <c r="AC529">
        <v>1</v>
      </c>
      <c r="AD529">
        <v>3</v>
      </c>
      <c r="AE529">
        <v>2</v>
      </c>
      <c r="AF529">
        <v>10</v>
      </c>
      <c r="AG529">
        <v>20</v>
      </c>
      <c r="AH529">
        <v>12</v>
      </c>
      <c r="AI529">
        <v>18</v>
      </c>
      <c r="AJ529">
        <v>17</v>
      </c>
      <c r="AK529">
        <v>22</v>
      </c>
      <c r="AL529">
        <v>23</v>
      </c>
      <c r="AM529">
        <v>24</v>
      </c>
      <c r="AN529">
        <v>4</v>
      </c>
      <c r="AO529">
        <v>21</v>
      </c>
      <c r="AP529">
        <v>8</v>
      </c>
      <c r="AQ529">
        <v>16</v>
      </c>
      <c r="AR529">
        <v>9</v>
      </c>
      <c r="AS529">
        <v>7</v>
      </c>
    </row>
    <row r="530" spans="1:45" x14ac:dyDescent="0.25">
      <c r="A530">
        <v>45</v>
      </c>
      <c r="B530" t="s">
        <v>395</v>
      </c>
      <c r="E530" t="s">
        <v>401</v>
      </c>
      <c r="K530">
        <f>Scores_and_Fixtures[[#This Row],[Wk]]</f>
        <v>45</v>
      </c>
      <c r="L530" t="str">
        <f>Scores_and_Fixtures[[#This Row],[Home]]</f>
        <v>Sheffield Weds</v>
      </c>
      <c r="M530">
        <f ca="1">IF(ISBLANK(Scores_and_Fixtures[[#This Row],[Home Score]])=FALSE,Scores_and_Fixtures[[#This Row],[Home Score]],_xlfn.BINOM.INV(10000,(VLOOKUP(L530,$CK$4:$CM$27,2,FALSE)*VLOOKUP(O530,$CK$4:$CM$27,3,FALSE)*($CM$2/2))/10000,RAND()))</f>
        <v>0</v>
      </c>
      <c r="N530">
        <f ca="1">IF(ISBLANK(Scores_and_Fixtures[[#This Row],[Away Score]])=FALSE,Scores_and_Fixtures[[#This Row],[Away Score]],_xlfn.BINOM.INV(10000,(VLOOKUP(O530,$CK$4:$CM$27,2,FALSE)*VLOOKUP(L530,$CK$4:$CM$27,3,FALSE)*($CM$2/2))/10000,RAND()))</f>
        <v>1</v>
      </c>
      <c r="O530" t="str">
        <f>Scores_and_Fixtures[[#This Row],[Away]]</f>
        <v>West Brom</v>
      </c>
      <c r="U530">
        <v>429</v>
      </c>
      <c r="V530">
        <v>17</v>
      </c>
      <c r="W530">
        <v>7</v>
      </c>
      <c r="X530">
        <v>12</v>
      </c>
      <c r="Y530">
        <v>14</v>
      </c>
      <c r="Z530">
        <v>13</v>
      </c>
      <c r="AA530">
        <v>23</v>
      </c>
      <c r="AB530">
        <v>11</v>
      </c>
      <c r="AC530">
        <v>2</v>
      </c>
      <c r="AD530">
        <v>3</v>
      </c>
      <c r="AE530">
        <v>1</v>
      </c>
      <c r="AF530">
        <v>9</v>
      </c>
      <c r="AG530">
        <v>19</v>
      </c>
      <c r="AH530">
        <v>10</v>
      </c>
      <c r="AI530">
        <v>16</v>
      </c>
      <c r="AJ530">
        <v>18</v>
      </c>
      <c r="AK530">
        <v>21</v>
      </c>
      <c r="AL530">
        <v>24</v>
      </c>
      <c r="AM530">
        <v>22</v>
      </c>
      <c r="AN530">
        <v>4</v>
      </c>
      <c r="AO530">
        <v>20</v>
      </c>
      <c r="AP530">
        <v>5</v>
      </c>
      <c r="AQ530">
        <v>15</v>
      </c>
      <c r="AR530">
        <v>8</v>
      </c>
      <c r="AS530">
        <v>6</v>
      </c>
    </row>
    <row r="531" spans="1:45" x14ac:dyDescent="0.25">
      <c r="A531">
        <v>45</v>
      </c>
      <c r="B531" t="s">
        <v>379</v>
      </c>
      <c r="E531" t="s">
        <v>382</v>
      </c>
      <c r="K531">
        <f>Scores_and_Fixtures[[#This Row],[Wk]]</f>
        <v>45</v>
      </c>
      <c r="L531" t="str">
        <f>Scores_and_Fixtures[[#This Row],[Home]]</f>
        <v>Blackburn</v>
      </c>
      <c r="M531">
        <f ca="1">IF(ISBLANK(Scores_and_Fixtures[[#This Row],[Home Score]])=FALSE,Scores_and_Fixtures[[#This Row],[Home Score]],_xlfn.BINOM.INV(10000,(VLOOKUP(L531,$CK$4:$CM$27,2,FALSE)*VLOOKUP(O531,$CK$4:$CM$27,3,FALSE)*($CM$2/2))/10000,RAND()))</f>
        <v>2</v>
      </c>
      <c r="N531">
        <f ca="1">IF(ISBLANK(Scores_and_Fixtures[[#This Row],[Away Score]])=FALSE,Scores_and_Fixtures[[#This Row],[Away Score]],_xlfn.BINOM.INV(10000,(VLOOKUP(O531,$CK$4:$CM$27,2,FALSE)*VLOOKUP(L531,$CK$4:$CM$27,3,FALSE)*($CM$2/2))/10000,RAND()))</f>
        <v>0</v>
      </c>
      <c r="O531" t="str">
        <f>Scores_and_Fixtures[[#This Row],[Away]]</f>
        <v>Coventry City</v>
      </c>
      <c r="U531">
        <v>430</v>
      </c>
      <c r="V531">
        <v>16</v>
      </c>
      <c r="W531">
        <v>8</v>
      </c>
      <c r="X531">
        <v>10</v>
      </c>
      <c r="Y531">
        <v>9</v>
      </c>
      <c r="Z531">
        <v>13</v>
      </c>
      <c r="AA531">
        <v>22</v>
      </c>
      <c r="AB531">
        <v>7</v>
      </c>
      <c r="AC531">
        <v>2</v>
      </c>
      <c r="AD531">
        <v>5</v>
      </c>
      <c r="AE531">
        <v>1</v>
      </c>
      <c r="AF531">
        <v>15</v>
      </c>
      <c r="AG531">
        <v>19</v>
      </c>
      <c r="AH531">
        <v>14</v>
      </c>
      <c r="AI531">
        <v>17</v>
      </c>
      <c r="AJ531">
        <v>12</v>
      </c>
      <c r="AK531">
        <v>21</v>
      </c>
      <c r="AL531">
        <v>23</v>
      </c>
      <c r="AM531">
        <v>24</v>
      </c>
      <c r="AN531">
        <v>3</v>
      </c>
      <c r="AO531">
        <v>20</v>
      </c>
      <c r="AP531">
        <v>11</v>
      </c>
      <c r="AQ531">
        <v>18</v>
      </c>
      <c r="AR531">
        <v>6</v>
      </c>
      <c r="AS531">
        <v>4</v>
      </c>
    </row>
    <row r="532" spans="1:45" x14ac:dyDescent="0.25">
      <c r="A532">
        <v>45</v>
      </c>
      <c r="B532" t="s">
        <v>389</v>
      </c>
      <c r="E532" t="s">
        <v>391</v>
      </c>
      <c r="K532">
        <f>Scores_and_Fixtures[[#This Row],[Wk]]</f>
        <v>45</v>
      </c>
      <c r="L532" t="str">
        <f>Scores_and_Fixtures[[#This Row],[Home]]</f>
        <v>Millwall</v>
      </c>
      <c r="M532">
        <f ca="1">IF(ISBLANK(Scores_and_Fixtures[[#This Row],[Home Score]])=FALSE,Scores_and_Fixtures[[#This Row],[Home Score]],_xlfn.BINOM.INV(10000,(VLOOKUP(L532,$CK$4:$CM$27,2,FALSE)*VLOOKUP(O532,$CK$4:$CM$27,3,FALSE)*($CM$2/2))/10000,RAND()))</f>
        <v>0</v>
      </c>
      <c r="N532">
        <f ca="1">IF(ISBLANK(Scores_and_Fixtures[[#This Row],[Away Score]])=FALSE,Scores_and_Fixtures[[#This Row],[Away Score]],_xlfn.BINOM.INV(10000,(VLOOKUP(O532,$CK$4:$CM$27,2,FALSE)*VLOOKUP(L532,$CK$4:$CM$27,3,FALSE)*($CM$2/2))/10000,RAND()))</f>
        <v>3</v>
      </c>
      <c r="O532" t="str">
        <f>Scores_and_Fixtures[[#This Row],[Away]]</f>
        <v>Plymouth Argyle</v>
      </c>
      <c r="U532">
        <v>431</v>
      </c>
      <c r="V532">
        <v>10</v>
      </c>
      <c r="W532">
        <v>12</v>
      </c>
      <c r="X532">
        <v>17</v>
      </c>
      <c r="Y532">
        <v>16</v>
      </c>
      <c r="Z532">
        <v>18</v>
      </c>
      <c r="AA532">
        <v>21</v>
      </c>
      <c r="AB532">
        <v>6</v>
      </c>
      <c r="AC532">
        <v>2</v>
      </c>
      <c r="AD532">
        <v>3</v>
      </c>
      <c r="AE532">
        <v>1</v>
      </c>
      <c r="AF532">
        <v>11</v>
      </c>
      <c r="AG532">
        <v>19</v>
      </c>
      <c r="AH532">
        <v>9</v>
      </c>
      <c r="AI532">
        <v>14</v>
      </c>
      <c r="AJ532">
        <v>13</v>
      </c>
      <c r="AK532">
        <v>20</v>
      </c>
      <c r="AL532">
        <v>23</v>
      </c>
      <c r="AM532">
        <v>24</v>
      </c>
      <c r="AN532">
        <v>5</v>
      </c>
      <c r="AO532">
        <v>22</v>
      </c>
      <c r="AP532">
        <v>7</v>
      </c>
      <c r="AQ532">
        <v>15</v>
      </c>
      <c r="AR532">
        <v>4</v>
      </c>
      <c r="AS532">
        <v>8</v>
      </c>
    </row>
    <row r="533" spans="1:45" x14ac:dyDescent="0.25">
      <c r="A533">
        <v>45</v>
      </c>
      <c r="B533" t="s">
        <v>400</v>
      </c>
      <c r="E533" t="s">
        <v>398</v>
      </c>
      <c r="K533">
        <f>Scores_and_Fixtures[[#This Row],[Wk]]</f>
        <v>45</v>
      </c>
      <c r="L533" t="str">
        <f>Scores_and_Fixtures[[#This Row],[Home]]</f>
        <v>Watford</v>
      </c>
      <c r="M533">
        <f ca="1">IF(ISBLANK(Scores_and_Fixtures[[#This Row],[Home Score]])=FALSE,Scores_and_Fixtures[[#This Row],[Home Score]],_xlfn.BINOM.INV(10000,(VLOOKUP(L533,$CK$4:$CM$27,2,FALSE)*VLOOKUP(O533,$CK$4:$CM$27,3,FALSE)*($CM$2/2))/10000,RAND()))</f>
        <v>1</v>
      </c>
      <c r="N533">
        <f ca="1">IF(ISBLANK(Scores_and_Fixtures[[#This Row],[Away Score]])=FALSE,Scores_and_Fixtures[[#This Row],[Away Score]],_xlfn.BINOM.INV(10000,(VLOOKUP(O533,$CK$4:$CM$27,2,FALSE)*VLOOKUP(L533,$CK$4:$CM$27,3,FALSE)*($CM$2/2))/10000,RAND()))</f>
        <v>0</v>
      </c>
      <c r="O533" t="str">
        <f>Scores_and_Fixtures[[#This Row],[Away]]</f>
        <v>Sunderland</v>
      </c>
      <c r="U533">
        <v>432</v>
      </c>
      <c r="V533">
        <v>15</v>
      </c>
      <c r="W533">
        <v>14</v>
      </c>
      <c r="X533">
        <v>20</v>
      </c>
      <c r="Y533">
        <v>11</v>
      </c>
      <c r="Z533">
        <v>9</v>
      </c>
      <c r="AA533">
        <v>13</v>
      </c>
      <c r="AB533">
        <v>7</v>
      </c>
      <c r="AC533">
        <v>2</v>
      </c>
      <c r="AD533">
        <v>3</v>
      </c>
      <c r="AE533">
        <v>1</v>
      </c>
      <c r="AF533">
        <v>16</v>
      </c>
      <c r="AG533">
        <v>19</v>
      </c>
      <c r="AH533">
        <v>10</v>
      </c>
      <c r="AI533">
        <v>18</v>
      </c>
      <c r="AJ533">
        <v>8</v>
      </c>
      <c r="AK533">
        <v>21</v>
      </c>
      <c r="AL533">
        <v>24</v>
      </c>
      <c r="AM533">
        <v>23</v>
      </c>
      <c r="AN533">
        <v>4</v>
      </c>
      <c r="AO533">
        <v>22</v>
      </c>
      <c r="AP533">
        <v>12</v>
      </c>
      <c r="AQ533">
        <v>17</v>
      </c>
      <c r="AR533">
        <v>6</v>
      </c>
      <c r="AS533">
        <v>5</v>
      </c>
    </row>
    <row r="534" spans="1:45" x14ac:dyDescent="0.25">
      <c r="A534">
        <v>45</v>
      </c>
      <c r="B534" t="s">
        <v>390</v>
      </c>
      <c r="E534" t="s">
        <v>399</v>
      </c>
      <c r="K534">
        <f>Scores_and_Fixtures[[#This Row],[Wk]]</f>
        <v>45</v>
      </c>
      <c r="L534" t="str">
        <f>Scores_and_Fixtures[[#This Row],[Home]]</f>
        <v>Norwich City</v>
      </c>
      <c r="M534">
        <f ca="1">IF(ISBLANK(Scores_and_Fixtures[[#This Row],[Home Score]])=FALSE,Scores_and_Fixtures[[#This Row],[Home Score]],_xlfn.BINOM.INV(10000,(VLOOKUP(L534,$CK$4:$CM$27,2,FALSE)*VLOOKUP(O534,$CK$4:$CM$27,3,FALSE)*($CM$2/2))/10000,RAND()))</f>
        <v>1</v>
      </c>
      <c r="N534">
        <f ca="1">IF(ISBLANK(Scores_and_Fixtures[[#This Row],[Away Score]])=FALSE,Scores_and_Fixtures[[#This Row],[Away Score]],_xlfn.BINOM.INV(10000,(VLOOKUP(O534,$CK$4:$CM$27,2,FALSE)*VLOOKUP(L534,$CK$4:$CM$27,3,FALSE)*($CM$2/2))/10000,RAND()))</f>
        <v>1</v>
      </c>
      <c r="O534" t="str">
        <f>Scores_and_Fixtures[[#This Row],[Away]]</f>
        <v>Swansea City</v>
      </c>
      <c r="U534">
        <v>433</v>
      </c>
      <c r="V534">
        <v>19</v>
      </c>
      <c r="W534">
        <v>18</v>
      </c>
      <c r="X534">
        <v>8</v>
      </c>
      <c r="Y534">
        <v>10</v>
      </c>
      <c r="Z534">
        <v>11</v>
      </c>
      <c r="AA534">
        <v>17</v>
      </c>
      <c r="AB534">
        <v>5</v>
      </c>
      <c r="AC534">
        <v>2</v>
      </c>
      <c r="AD534">
        <v>3</v>
      </c>
      <c r="AE534">
        <v>1</v>
      </c>
      <c r="AF534">
        <v>13</v>
      </c>
      <c r="AG534">
        <v>22</v>
      </c>
      <c r="AH534">
        <v>12</v>
      </c>
      <c r="AI534">
        <v>16</v>
      </c>
      <c r="AJ534">
        <v>14</v>
      </c>
      <c r="AK534">
        <v>21</v>
      </c>
      <c r="AL534">
        <v>23</v>
      </c>
      <c r="AM534">
        <v>24</v>
      </c>
      <c r="AN534">
        <v>4</v>
      </c>
      <c r="AO534">
        <v>20</v>
      </c>
      <c r="AP534">
        <v>9</v>
      </c>
      <c r="AQ534">
        <v>15</v>
      </c>
      <c r="AR534">
        <v>7</v>
      </c>
      <c r="AS534">
        <v>6</v>
      </c>
    </row>
    <row r="535" spans="1:45" x14ac:dyDescent="0.25">
      <c r="A535">
        <v>45</v>
      </c>
      <c r="B535" t="s">
        <v>380</v>
      </c>
      <c r="E535" t="s">
        <v>394</v>
      </c>
      <c r="K535">
        <f>Scores_and_Fixtures[[#This Row],[Wk]]</f>
        <v>45</v>
      </c>
      <c r="L535" t="str">
        <f>Scores_and_Fixtures[[#This Row],[Home]]</f>
        <v>Bristol City</v>
      </c>
      <c r="M535">
        <f ca="1">IF(ISBLANK(Scores_and_Fixtures[[#This Row],[Home Score]])=FALSE,Scores_and_Fixtures[[#This Row],[Home Score]],_xlfn.BINOM.INV(10000,(VLOOKUP(L535,$CK$4:$CM$27,2,FALSE)*VLOOKUP(O535,$CK$4:$CM$27,3,FALSE)*($CM$2/2))/10000,RAND()))</f>
        <v>2</v>
      </c>
      <c r="N535">
        <f ca="1">IF(ISBLANK(Scores_and_Fixtures[[#This Row],[Away Score]])=FALSE,Scores_and_Fixtures[[#This Row],[Away Score]],_xlfn.BINOM.INV(10000,(VLOOKUP(O535,$CK$4:$CM$27,2,FALSE)*VLOOKUP(L535,$CK$4:$CM$27,3,FALSE)*($CM$2/2))/10000,RAND()))</f>
        <v>0</v>
      </c>
      <c r="O535" t="str">
        <f>Scores_and_Fixtures[[#This Row],[Away]]</f>
        <v>Rotherham Utd</v>
      </c>
      <c r="U535">
        <v>434</v>
      </c>
      <c r="V535">
        <v>16</v>
      </c>
      <c r="W535">
        <v>8</v>
      </c>
      <c r="X535">
        <v>17</v>
      </c>
      <c r="Y535">
        <v>15</v>
      </c>
      <c r="Z535">
        <v>12</v>
      </c>
      <c r="AA535">
        <v>22</v>
      </c>
      <c r="AB535">
        <v>7</v>
      </c>
      <c r="AC535">
        <v>2</v>
      </c>
      <c r="AD535">
        <v>4</v>
      </c>
      <c r="AE535">
        <v>1</v>
      </c>
      <c r="AF535">
        <v>11</v>
      </c>
      <c r="AG535">
        <v>20</v>
      </c>
      <c r="AH535">
        <v>10</v>
      </c>
      <c r="AI535">
        <v>14</v>
      </c>
      <c r="AJ535">
        <v>13</v>
      </c>
      <c r="AK535">
        <v>18</v>
      </c>
      <c r="AL535">
        <v>24</v>
      </c>
      <c r="AM535">
        <v>23</v>
      </c>
      <c r="AN535">
        <v>5</v>
      </c>
      <c r="AO535">
        <v>21</v>
      </c>
      <c r="AP535">
        <v>6</v>
      </c>
      <c r="AQ535">
        <v>19</v>
      </c>
      <c r="AR535">
        <v>3</v>
      </c>
      <c r="AS535">
        <v>9</v>
      </c>
    </row>
    <row r="536" spans="1:45" x14ac:dyDescent="0.25">
      <c r="A536">
        <v>45</v>
      </c>
      <c r="B536" t="s">
        <v>384</v>
      </c>
      <c r="E536" t="s">
        <v>385</v>
      </c>
      <c r="K536">
        <f>Scores_and_Fixtures[[#This Row],[Wk]]</f>
        <v>45</v>
      </c>
      <c r="L536" t="str">
        <f>Scores_and_Fixtures[[#This Row],[Home]]</f>
        <v>Hull City</v>
      </c>
      <c r="M536">
        <f ca="1">IF(ISBLANK(Scores_and_Fixtures[[#This Row],[Home Score]])=FALSE,Scores_and_Fixtures[[#This Row],[Home Score]],_xlfn.BINOM.INV(10000,(VLOOKUP(L536,$CK$4:$CM$27,2,FALSE)*VLOOKUP(O536,$CK$4:$CM$27,3,FALSE)*($CM$2/2))/10000,RAND()))</f>
        <v>1</v>
      </c>
      <c r="N536">
        <f ca="1">IF(ISBLANK(Scores_and_Fixtures[[#This Row],[Away Score]])=FALSE,Scores_and_Fixtures[[#This Row],[Away Score]],_xlfn.BINOM.INV(10000,(VLOOKUP(O536,$CK$4:$CM$27,2,FALSE)*VLOOKUP(L536,$CK$4:$CM$27,3,FALSE)*($CM$2/2))/10000,RAND()))</f>
        <v>0</v>
      </c>
      <c r="O536" t="str">
        <f>Scores_and_Fixtures[[#This Row],[Away]]</f>
        <v>Ipswich Town</v>
      </c>
      <c r="U536">
        <v>435</v>
      </c>
      <c r="V536">
        <v>20</v>
      </c>
      <c r="W536">
        <v>11</v>
      </c>
      <c r="X536">
        <v>17</v>
      </c>
      <c r="Y536">
        <v>10</v>
      </c>
      <c r="Z536">
        <v>13</v>
      </c>
      <c r="AA536">
        <v>22</v>
      </c>
      <c r="AB536">
        <v>8</v>
      </c>
      <c r="AC536">
        <v>2</v>
      </c>
      <c r="AD536">
        <v>6</v>
      </c>
      <c r="AE536">
        <v>1</v>
      </c>
      <c r="AF536">
        <v>7</v>
      </c>
      <c r="AG536">
        <v>18</v>
      </c>
      <c r="AH536">
        <v>14</v>
      </c>
      <c r="AI536">
        <v>12</v>
      </c>
      <c r="AJ536">
        <v>15</v>
      </c>
      <c r="AK536">
        <v>21</v>
      </c>
      <c r="AL536">
        <v>24</v>
      </c>
      <c r="AM536">
        <v>23</v>
      </c>
      <c r="AN536">
        <v>3</v>
      </c>
      <c r="AO536">
        <v>19</v>
      </c>
      <c r="AP536">
        <v>5</v>
      </c>
      <c r="AQ536">
        <v>16</v>
      </c>
      <c r="AR536">
        <v>9</v>
      </c>
      <c r="AS536">
        <v>4</v>
      </c>
    </row>
    <row r="537" spans="1:45" x14ac:dyDescent="0.25">
      <c r="A537">
        <v>45</v>
      </c>
      <c r="B537" t="s">
        <v>396</v>
      </c>
      <c r="E537" t="s">
        <v>397</v>
      </c>
      <c r="K537">
        <f>Scores_and_Fixtures[[#This Row],[Wk]]</f>
        <v>45</v>
      </c>
      <c r="L537" t="str">
        <f>Scores_and_Fixtures[[#This Row],[Home]]</f>
        <v>Southampton</v>
      </c>
      <c r="M537">
        <f ca="1">IF(ISBLANK(Scores_and_Fixtures[[#This Row],[Home Score]])=FALSE,Scores_and_Fixtures[[#This Row],[Home Score]],_xlfn.BINOM.INV(10000,(VLOOKUP(L537,$CK$4:$CM$27,2,FALSE)*VLOOKUP(O537,$CK$4:$CM$27,3,FALSE)*($CM$2/2))/10000,RAND()))</f>
        <v>3</v>
      </c>
      <c r="N537">
        <f ca="1">IF(ISBLANK(Scores_and_Fixtures[[#This Row],[Away Score]])=FALSE,Scores_and_Fixtures[[#This Row],[Away Score]],_xlfn.BINOM.INV(10000,(VLOOKUP(O537,$CK$4:$CM$27,2,FALSE)*VLOOKUP(L537,$CK$4:$CM$27,3,FALSE)*($CM$2/2))/10000,RAND()))</f>
        <v>3</v>
      </c>
      <c r="O537" t="str">
        <f>Scores_and_Fixtures[[#This Row],[Away]]</f>
        <v>Stoke City</v>
      </c>
      <c r="U537">
        <v>436</v>
      </c>
      <c r="V537">
        <v>12</v>
      </c>
      <c r="W537">
        <v>13</v>
      </c>
      <c r="X537">
        <v>17</v>
      </c>
      <c r="Y537">
        <v>7</v>
      </c>
      <c r="Z537">
        <v>10</v>
      </c>
      <c r="AA537">
        <v>22</v>
      </c>
      <c r="AB537">
        <v>5</v>
      </c>
      <c r="AC537">
        <v>2</v>
      </c>
      <c r="AD537">
        <v>3</v>
      </c>
      <c r="AE537">
        <v>1</v>
      </c>
      <c r="AF537">
        <v>14</v>
      </c>
      <c r="AG537">
        <v>16</v>
      </c>
      <c r="AH537">
        <v>9</v>
      </c>
      <c r="AI537">
        <v>18</v>
      </c>
      <c r="AJ537">
        <v>15</v>
      </c>
      <c r="AK537">
        <v>21</v>
      </c>
      <c r="AL537">
        <v>23</v>
      </c>
      <c r="AM537">
        <v>24</v>
      </c>
      <c r="AN537">
        <v>4</v>
      </c>
      <c r="AO537">
        <v>20</v>
      </c>
      <c r="AP537">
        <v>8</v>
      </c>
      <c r="AQ537">
        <v>19</v>
      </c>
      <c r="AR537">
        <v>11</v>
      </c>
      <c r="AS537">
        <v>6</v>
      </c>
    </row>
    <row r="538" spans="1:45" x14ac:dyDescent="0.25">
      <c r="A538">
        <v>45</v>
      </c>
      <c r="B538" t="s">
        <v>393</v>
      </c>
      <c r="E538" t="s">
        <v>386</v>
      </c>
      <c r="K538">
        <f>Scores_and_Fixtures[[#This Row],[Wk]]</f>
        <v>45</v>
      </c>
      <c r="L538" t="str">
        <f>Scores_and_Fixtures[[#This Row],[Home]]</f>
        <v>QPR</v>
      </c>
      <c r="M538">
        <f ca="1">IF(ISBLANK(Scores_and_Fixtures[[#This Row],[Home Score]])=FALSE,Scores_and_Fixtures[[#This Row],[Home Score]],_xlfn.BINOM.INV(10000,(VLOOKUP(L538,$CK$4:$CM$27,2,FALSE)*VLOOKUP(O538,$CK$4:$CM$27,3,FALSE)*($CM$2/2))/10000,RAND()))</f>
        <v>1</v>
      </c>
      <c r="N538">
        <f ca="1">IF(ISBLANK(Scores_and_Fixtures[[#This Row],[Away Score]])=FALSE,Scores_and_Fixtures[[#This Row],[Away Score]],_xlfn.BINOM.INV(10000,(VLOOKUP(O538,$CK$4:$CM$27,2,FALSE)*VLOOKUP(L538,$CK$4:$CM$27,3,FALSE)*($CM$2/2))/10000,RAND()))</f>
        <v>3</v>
      </c>
      <c r="O538" t="str">
        <f>Scores_and_Fixtures[[#This Row],[Away]]</f>
        <v>Leeds United</v>
      </c>
      <c r="U538">
        <v>437</v>
      </c>
      <c r="V538">
        <v>19</v>
      </c>
      <c r="W538">
        <v>12</v>
      </c>
      <c r="X538">
        <v>15</v>
      </c>
      <c r="Y538">
        <v>9</v>
      </c>
      <c r="Z538">
        <v>11</v>
      </c>
      <c r="AA538">
        <v>22</v>
      </c>
      <c r="AB538">
        <v>3</v>
      </c>
      <c r="AC538">
        <v>1</v>
      </c>
      <c r="AD538">
        <v>5</v>
      </c>
      <c r="AE538">
        <v>2</v>
      </c>
      <c r="AF538">
        <v>6</v>
      </c>
      <c r="AG538">
        <v>20</v>
      </c>
      <c r="AH538">
        <v>10</v>
      </c>
      <c r="AI538">
        <v>17</v>
      </c>
      <c r="AJ538">
        <v>14</v>
      </c>
      <c r="AK538">
        <v>21</v>
      </c>
      <c r="AL538">
        <v>24</v>
      </c>
      <c r="AM538">
        <v>23</v>
      </c>
      <c r="AN538">
        <v>7</v>
      </c>
      <c r="AO538">
        <v>18</v>
      </c>
      <c r="AP538">
        <v>13</v>
      </c>
      <c r="AQ538">
        <v>16</v>
      </c>
      <c r="AR538">
        <v>8</v>
      </c>
      <c r="AS538">
        <v>4</v>
      </c>
    </row>
    <row r="539" spans="1:45" x14ac:dyDescent="0.25">
      <c r="A539">
        <v>45</v>
      </c>
      <c r="B539" t="s">
        <v>383</v>
      </c>
      <c r="E539" t="s">
        <v>378</v>
      </c>
      <c r="K539">
        <f>Scores_and_Fixtures[[#This Row],[Wk]]</f>
        <v>45</v>
      </c>
      <c r="L539" t="str">
        <f>Scores_and_Fixtures[[#This Row],[Home]]</f>
        <v>Huddersfield</v>
      </c>
      <c r="M539">
        <f ca="1">IF(ISBLANK(Scores_and_Fixtures[[#This Row],[Home Score]])=FALSE,Scores_and_Fixtures[[#This Row],[Home Score]],_xlfn.BINOM.INV(10000,(VLOOKUP(L539,$CK$4:$CM$27,2,FALSE)*VLOOKUP(O539,$CK$4:$CM$27,3,FALSE)*($CM$2/2))/10000,RAND()))</f>
        <v>0</v>
      </c>
      <c r="N539">
        <f ca="1">IF(ISBLANK(Scores_and_Fixtures[[#This Row],[Away Score]])=FALSE,Scores_and_Fixtures[[#This Row],[Away Score]],_xlfn.BINOM.INV(10000,(VLOOKUP(O539,$CK$4:$CM$27,2,FALSE)*VLOOKUP(L539,$CK$4:$CM$27,3,FALSE)*($CM$2/2))/10000,RAND()))</f>
        <v>2</v>
      </c>
      <c r="O539" t="str">
        <f>Scores_and_Fixtures[[#This Row],[Away]]</f>
        <v>Birmingham City</v>
      </c>
      <c r="U539">
        <v>438</v>
      </c>
      <c r="V539">
        <v>14</v>
      </c>
      <c r="W539">
        <v>10</v>
      </c>
      <c r="X539">
        <v>18</v>
      </c>
      <c r="Y539">
        <v>11</v>
      </c>
      <c r="Z539">
        <v>16</v>
      </c>
      <c r="AA539">
        <v>22</v>
      </c>
      <c r="AB539">
        <v>5</v>
      </c>
      <c r="AC539">
        <v>1</v>
      </c>
      <c r="AD539">
        <v>4</v>
      </c>
      <c r="AE539">
        <v>2</v>
      </c>
      <c r="AF539">
        <v>8</v>
      </c>
      <c r="AG539">
        <v>19</v>
      </c>
      <c r="AH539">
        <v>15</v>
      </c>
      <c r="AI539">
        <v>17</v>
      </c>
      <c r="AJ539">
        <v>9</v>
      </c>
      <c r="AK539">
        <v>21</v>
      </c>
      <c r="AL539">
        <v>24</v>
      </c>
      <c r="AM539">
        <v>23</v>
      </c>
      <c r="AN539">
        <v>3</v>
      </c>
      <c r="AO539">
        <v>20</v>
      </c>
      <c r="AP539">
        <v>12</v>
      </c>
      <c r="AQ539">
        <v>13</v>
      </c>
      <c r="AR539">
        <v>6</v>
      </c>
      <c r="AS539">
        <v>7</v>
      </c>
    </row>
    <row r="540" spans="1:45" x14ac:dyDescent="0.25">
      <c r="A540">
        <v>45</v>
      </c>
      <c r="B540" t="s">
        <v>381</v>
      </c>
      <c r="E540" t="s">
        <v>388</v>
      </c>
      <c r="K540">
        <f>Scores_and_Fixtures[[#This Row],[Wk]]</f>
        <v>45</v>
      </c>
      <c r="L540" t="str">
        <f>Scores_and_Fixtures[[#This Row],[Home]]</f>
        <v>Cardiff City</v>
      </c>
      <c r="M540">
        <f ca="1">IF(ISBLANK(Scores_and_Fixtures[[#This Row],[Home Score]])=FALSE,Scores_and_Fixtures[[#This Row],[Home Score]],_xlfn.BINOM.INV(10000,(VLOOKUP(L540,$CK$4:$CM$27,2,FALSE)*VLOOKUP(O540,$CK$4:$CM$27,3,FALSE)*($CM$2/2))/10000,RAND()))</f>
        <v>2</v>
      </c>
      <c r="N540">
        <f ca="1">IF(ISBLANK(Scores_and_Fixtures[[#This Row],[Away Score]])=FALSE,Scores_and_Fixtures[[#This Row],[Away Score]],_xlfn.BINOM.INV(10000,(VLOOKUP(O540,$CK$4:$CM$27,2,FALSE)*VLOOKUP(L540,$CK$4:$CM$27,3,FALSE)*($CM$2/2))/10000,RAND()))</f>
        <v>3</v>
      </c>
      <c r="O540" t="str">
        <f>Scores_and_Fixtures[[#This Row],[Away]]</f>
        <v>Middlesbrough</v>
      </c>
      <c r="U540">
        <v>439</v>
      </c>
      <c r="V540">
        <v>17</v>
      </c>
      <c r="W540">
        <v>14</v>
      </c>
      <c r="X540">
        <v>15</v>
      </c>
      <c r="Y540">
        <v>8</v>
      </c>
      <c r="Z540">
        <v>13</v>
      </c>
      <c r="AA540">
        <v>22</v>
      </c>
      <c r="AB540">
        <v>11</v>
      </c>
      <c r="AC540">
        <v>2</v>
      </c>
      <c r="AD540">
        <v>6</v>
      </c>
      <c r="AE540">
        <v>1</v>
      </c>
      <c r="AF540">
        <v>10</v>
      </c>
      <c r="AG540">
        <v>18</v>
      </c>
      <c r="AH540">
        <v>7</v>
      </c>
      <c r="AI540">
        <v>19</v>
      </c>
      <c r="AJ540">
        <v>12</v>
      </c>
      <c r="AK540">
        <v>21</v>
      </c>
      <c r="AL540">
        <v>24</v>
      </c>
      <c r="AM540">
        <v>23</v>
      </c>
      <c r="AN540">
        <v>3</v>
      </c>
      <c r="AO540">
        <v>20</v>
      </c>
      <c r="AP540">
        <v>9</v>
      </c>
      <c r="AQ540">
        <v>16</v>
      </c>
      <c r="AR540">
        <v>5</v>
      </c>
      <c r="AS540">
        <v>4</v>
      </c>
    </row>
    <row r="541" spans="1:45" x14ac:dyDescent="0.25">
      <c r="A541">
        <v>45</v>
      </c>
      <c r="B541" t="s">
        <v>392</v>
      </c>
      <c r="E541" t="s">
        <v>387</v>
      </c>
      <c r="K541">
        <f>Scores_and_Fixtures[[#This Row],[Wk]]</f>
        <v>45</v>
      </c>
      <c r="L541" t="str">
        <f>Scores_and_Fixtures[[#This Row],[Home]]</f>
        <v>Preston</v>
      </c>
      <c r="M541">
        <f ca="1">IF(ISBLANK(Scores_and_Fixtures[[#This Row],[Home Score]])=FALSE,Scores_and_Fixtures[[#This Row],[Home Score]],_xlfn.BINOM.INV(10000,(VLOOKUP(L541,$CK$4:$CM$27,2,FALSE)*VLOOKUP(O541,$CK$4:$CM$27,3,FALSE)*($CM$2/2))/10000,RAND()))</f>
        <v>0</v>
      </c>
      <c r="N541">
        <f ca="1">IF(ISBLANK(Scores_and_Fixtures[[#This Row],[Away Score]])=FALSE,Scores_and_Fixtures[[#This Row],[Away Score]],_xlfn.BINOM.INV(10000,(VLOOKUP(O541,$CK$4:$CM$27,2,FALSE)*VLOOKUP(L541,$CK$4:$CM$27,3,FALSE)*($CM$2/2))/10000,RAND()))</f>
        <v>2</v>
      </c>
      <c r="O541" t="str">
        <f>Scores_and_Fixtures[[#This Row],[Away]]</f>
        <v>Leicester City</v>
      </c>
      <c r="U541">
        <v>440</v>
      </c>
      <c r="V541">
        <v>13</v>
      </c>
      <c r="W541">
        <v>7</v>
      </c>
      <c r="X541">
        <v>16</v>
      </c>
      <c r="Y541">
        <v>14</v>
      </c>
      <c r="Z541">
        <v>12</v>
      </c>
      <c r="AA541">
        <v>17</v>
      </c>
      <c r="AB541">
        <v>10</v>
      </c>
      <c r="AC541">
        <v>2</v>
      </c>
      <c r="AD541">
        <v>4</v>
      </c>
      <c r="AE541">
        <v>1</v>
      </c>
      <c r="AF541">
        <v>11</v>
      </c>
      <c r="AG541">
        <v>18</v>
      </c>
      <c r="AH541">
        <v>15</v>
      </c>
      <c r="AI541">
        <v>20</v>
      </c>
      <c r="AJ541">
        <v>6</v>
      </c>
      <c r="AK541">
        <v>22</v>
      </c>
      <c r="AL541">
        <v>24</v>
      </c>
      <c r="AM541">
        <v>23</v>
      </c>
      <c r="AN541">
        <v>3</v>
      </c>
      <c r="AO541">
        <v>21</v>
      </c>
      <c r="AP541">
        <v>9</v>
      </c>
      <c r="AQ541">
        <v>19</v>
      </c>
      <c r="AR541">
        <v>5</v>
      </c>
      <c r="AS541">
        <v>8</v>
      </c>
    </row>
    <row r="542" spans="1:45" x14ac:dyDescent="0.25">
      <c r="A542">
        <v>46</v>
      </c>
      <c r="B542" t="s">
        <v>401</v>
      </c>
      <c r="E542" t="s">
        <v>392</v>
      </c>
      <c r="K542">
        <f>Scores_and_Fixtures[[#This Row],[Wk]]</f>
        <v>46</v>
      </c>
      <c r="L542" t="str">
        <f>Scores_and_Fixtures[[#This Row],[Home]]</f>
        <v>West Brom</v>
      </c>
      <c r="M542">
        <f ca="1">IF(ISBLANK(Scores_and_Fixtures[[#This Row],[Home Score]])=FALSE,Scores_and_Fixtures[[#This Row],[Home Score]],_xlfn.BINOM.INV(10000,(VLOOKUP(L542,$CK$4:$CM$27,2,FALSE)*VLOOKUP(O542,$CK$4:$CM$27,3,FALSE)*($CM$2/2))/10000,RAND()))</f>
        <v>1</v>
      </c>
      <c r="N542">
        <f ca="1">IF(ISBLANK(Scores_and_Fixtures[[#This Row],[Away Score]])=FALSE,Scores_and_Fixtures[[#This Row],[Away Score]],_xlfn.BINOM.INV(10000,(VLOOKUP(O542,$CK$4:$CM$27,2,FALSE)*VLOOKUP(L542,$CK$4:$CM$27,3,FALSE)*($CM$2/2))/10000,RAND()))</f>
        <v>0</v>
      </c>
      <c r="O542" t="str">
        <f>Scores_and_Fixtures[[#This Row],[Away]]</f>
        <v>Preston</v>
      </c>
      <c r="U542">
        <v>441</v>
      </c>
      <c r="V542">
        <v>17</v>
      </c>
      <c r="W542">
        <v>9</v>
      </c>
      <c r="X542">
        <v>12</v>
      </c>
      <c r="Y542">
        <v>13</v>
      </c>
      <c r="Z542">
        <v>16</v>
      </c>
      <c r="AA542">
        <v>21</v>
      </c>
      <c r="AB542">
        <v>4</v>
      </c>
      <c r="AC542">
        <v>3</v>
      </c>
      <c r="AD542">
        <v>2</v>
      </c>
      <c r="AE542">
        <v>1</v>
      </c>
      <c r="AF542">
        <v>11</v>
      </c>
      <c r="AG542">
        <v>20</v>
      </c>
      <c r="AH542">
        <v>10</v>
      </c>
      <c r="AI542">
        <v>18</v>
      </c>
      <c r="AJ542">
        <v>15</v>
      </c>
      <c r="AK542">
        <v>22</v>
      </c>
      <c r="AL542">
        <v>24</v>
      </c>
      <c r="AM542">
        <v>23</v>
      </c>
      <c r="AN542">
        <v>5</v>
      </c>
      <c r="AO542">
        <v>19</v>
      </c>
      <c r="AP542">
        <v>7</v>
      </c>
      <c r="AQ542">
        <v>14</v>
      </c>
      <c r="AR542">
        <v>6</v>
      </c>
      <c r="AS542">
        <v>8</v>
      </c>
    </row>
    <row r="543" spans="1:45" x14ac:dyDescent="0.25">
      <c r="A543">
        <v>46</v>
      </c>
      <c r="B543" t="s">
        <v>386</v>
      </c>
      <c r="E543" t="s">
        <v>396</v>
      </c>
      <c r="K543">
        <f>Scores_and_Fixtures[[#This Row],[Wk]]</f>
        <v>46</v>
      </c>
      <c r="L543" t="str">
        <f>Scores_and_Fixtures[[#This Row],[Home]]</f>
        <v>Leeds United</v>
      </c>
      <c r="M543">
        <f ca="1">IF(ISBLANK(Scores_and_Fixtures[[#This Row],[Home Score]])=FALSE,Scores_and_Fixtures[[#This Row],[Home Score]],_xlfn.BINOM.INV(10000,(VLOOKUP(L543,$CK$4:$CM$27,2,FALSE)*VLOOKUP(O543,$CK$4:$CM$27,3,FALSE)*($CM$2/2))/10000,RAND()))</f>
        <v>1</v>
      </c>
      <c r="N543">
        <f ca="1">IF(ISBLANK(Scores_and_Fixtures[[#This Row],[Away Score]])=FALSE,Scores_and_Fixtures[[#This Row],[Away Score]],_xlfn.BINOM.INV(10000,(VLOOKUP(O543,$CK$4:$CM$27,2,FALSE)*VLOOKUP(L543,$CK$4:$CM$27,3,FALSE)*($CM$2/2))/10000,RAND()))</f>
        <v>4</v>
      </c>
      <c r="O543" t="str">
        <f>Scores_and_Fixtures[[#This Row],[Away]]</f>
        <v>Southampton</v>
      </c>
      <c r="U543">
        <v>442</v>
      </c>
      <c r="V543">
        <v>18</v>
      </c>
      <c r="W543">
        <v>14</v>
      </c>
      <c r="X543">
        <v>10</v>
      </c>
      <c r="Y543">
        <v>12</v>
      </c>
      <c r="Z543">
        <v>7</v>
      </c>
      <c r="AA543">
        <v>22</v>
      </c>
      <c r="AB543">
        <v>5</v>
      </c>
      <c r="AC543">
        <v>2</v>
      </c>
      <c r="AD543">
        <v>3</v>
      </c>
      <c r="AE543">
        <v>1</v>
      </c>
      <c r="AF543">
        <v>9</v>
      </c>
      <c r="AG543">
        <v>20</v>
      </c>
      <c r="AH543">
        <v>11</v>
      </c>
      <c r="AI543">
        <v>16</v>
      </c>
      <c r="AJ543">
        <v>13</v>
      </c>
      <c r="AK543">
        <v>19</v>
      </c>
      <c r="AL543">
        <v>23</v>
      </c>
      <c r="AM543">
        <v>24</v>
      </c>
      <c r="AN543">
        <v>4</v>
      </c>
      <c r="AO543">
        <v>21</v>
      </c>
      <c r="AP543">
        <v>15</v>
      </c>
      <c r="AQ543">
        <v>17</v>
      </c>
      <c r="AR543">
        <v>6</v>
      </c>
      <c r="AS543">
        <v>8</v>
      </c>
    </row>
    <row r="544" spans="1:45" x14ac:dyDescent="0.25">
      <c r="A544">
        <v>46</v>
      </c>
      <c r="B544" t="s">
        <v>391</v>
      </c>
      <c r="E544" t="s">
        <v>384</v>
      </c>
      <c r="K544">
        <f>Scores_and_Fixtures[[#This Row],[Wk]]</f>
        <v>46</v>
      </c>
      <c r="L544" t="str">
        <f>Scores_and_Fixtures[[#This Row],[Home]]</f>
        <v>Plymouth Argyle</v>
      </c>
      <c r="M544">
        <f ca="1">IF(ISBLANK(Scores_and_Fixtures[[#This Row],[Home Score]])=FALSE,Scores_and_Fixtures[[#This Row],[Home Score]],_xlfn.BINOM.INV(10000,(VLOOKUP(L544,$CK$4:$CM$27,2,FALSE)*VLOOKUP(O544,$CK$4:$CM$27,3,FALSE)*($CM$2/2))/10000,RAND()))</f>
        <v>1</v>
      </c>
      <c r="N544">
        <f ca="1">IF(ISBLANK(Scores_and_Fixtures[[#This Row],[Away Score]])=FALSE,Scores_and_Fixtures[[#This Row],[Away Score]],_xlfn.BINOM.INV(10000,(VLOOKUP(O544,$CK$4:$CM$27,2,FALSE)*VLOOKUP(L544,$CK$4:$CM$27,3,FALSE)*($CM$2/2))/10000,RAND()))</f>
        <v>1</v>
      </c>
      <c r="O544" t="str">
        <f>Scores_and_Fixtures[[#This Row],[Away]]</f>
        <v>Hull City</v>
      </c>
      <c r="U544">
        <v>443</v>
      </c>
      <c r="V544">
        <v>17</v>
      </c>
      <c r="W544">
        <v>14</v>
      </c>
      <c r="X544">
        <v>13</v>
      </c>
      <c r="Y544">
        <v>12</v>
      </c>
      <c r="Z544">
        <v>16</v>
      </c>
      <c r="AA544">
        <v>20</v>
      </c>
      <c r="AB544">
        <v>6</v>
      </c>
      <c r="AC544">
        <v>2</v>
      </c>
      <c r="AD544">
        <v>5</v>
      </c>
      <c r="AE544">
        <v>1</v>
      </c>
      <c r="AF544">
        <v>11</v>
      </c>
      <c r="AG544">
        <v>18</v>
      </c>
      <c r="AH544">
        <v>21</v>
      </c>
      <c r="AI544">
        <v>9</v>
      </c>
      <c r="AJ544">
        <v>15</v>
      </c>
      <c r="AK544">
        <v>22</v>
      </c>
      <c r="AL544">
        <v>24</v>
      </c>
      <c r="AM544">
        <v>23</v>
      </c>
      <c r="AN544">
        <v>3</v>
      </c>
      <c r="AO544">
        <v>19</v>
      </c>
      <c r="AP544">
        <v>7</v>
      </c>
      <c r="AQ544">
        <v>10</v>
      </c>
      <c r="AR544">
        <v>8</v>
      </c>
      <c r="AS544">
        <v>4</v>
      </c>
    </row>
    <row r="545" spans="1:45" x14ac:dyDescent="0.25">
      <c r="A545">
        <v>46</v>
      </c>
      <c r="B545" t="s">
        <v>382</v>
      </c>
      <c r="E545" t="s">
        <v>393</v>
      </c>
      <c r="K545">
        <f>Scores_and_Fixtures[[#This Row],[Wk]]</f>
        <v>46</v>
      </c>
      <c r="L545" t="str">
        <f>Scores_and_Fixtures[[#This Row],[Home]]</f>
        <v>Coventry City</v>
      </c>
      <c r="M545">
        <f ca="1">IF(ISBLANK(Scores_and_Fixtures[[#This Row],[Home Score]])=FALSE,Scores_and_Fixtures[[#This Row],[Home Score]],_xlfn.BINOM.INV(10000,(VLOOKUP(L545,$CK$4:$CM$27,2,FALSE)*VLOOKUP(O545,$CK$4:$CM$27,3,FALSE)*($CM$2/2))/10000,RAND()))</f>
        <v>0</v>
      </c>
      <c r="N545">
        <f ca="1">IF(ISBLANK(Scores_and_Fixtures[[#This Row],[Away Score]])=FALSE,Scores_and_Fixtures[[#This Row],[Away Score]],_xlfn.BINOM.INV(10000,(VLOOKUP(O545,$CK$4:$CM$27,2,FALSE)*VLOOKUP(L545,$CK$4:$CM$27,3,FALSE)*($CM$2/2))/10000,RAND()))</f>
        <v>0</v>
      </c>
      <c r="O545" t="str">
        <f>Scores_and_Fixtures[[#This Row],[Away]]</f>
        <v>QPR</v>
      </c>
      <c r="U545">
        <v>444</v>
      </c>
      <c r="V545">
        <v>18</v>
      </c>
      <c r="W545">
        <v>10</v>
      </c>
      <c r="X545">
        <v>12</v>
      </c>
      <c r="Y545">
        <v>13</v>
      </c>
      <c r="Z545">
        <v>15</v>
      </c>
      <c r="AA545">
        <v>22</v>
      </c>
      <c r="AB545">
        <v>9</v>
      </c>
      <c r="AC545">
        <v>2</v>
      </c>
      <c r="AD545">
        <v>4</v>
      </c>
      <c r="AE545">
        <v>1</v>
      </c>
      <c r="AF545">
        <v>7</v>
      </c>
      <c r="AG545">
        <v>19</v>
      </c>
      <c r="AH545">
        <v>14</v>
      </c>
      <c r="AI545">
        <v>17</v>
      </c>
      <c r="AJ545">
        <v>8</v>
      </c>
      <c r="AK545">
        <v>20</v>
      </c>
      <c r="AL545">
        <v>23</v>
      </c>
      <c r="AM545">
        <v>24</v>
      </c>
      <c r="AN545">
        <v>3</v>
      </c>
      <c r="AO545">
        <v>21</v>
      </c>
      <c r="AP545">
        <v>6</v>
      </c>
      <c r="AQ545">
        <v>16</v>
      </c>
      <c r="AR545">
        <v>11</v>
      </c>
      <c r="AS545">
        <v>5</v>
      </c>
    </row>
    <row r="546" spans="1:45" x14ac:dyDescent="0.25">
      <c r="A546">
        <v>46</v>
      </c>
      <c r="B546" t="s">
        <v>397</v>
      </c>
      <c r="E546" t="s">
        <v>380</v>
      </c>
      <c r="K546">
        <f>Scores_and_Fixtures[[#This Row],[Wk]]</f>
        <v>46</v>
      </c>
      <c r="L546" t="str">
        <f>Scores_and_Fixtures[[#This Row],[Home]]</f>
        <v>Stoke City</v>
      </c>
      <c r="M546">
        <f ca="1">IF(ISBLANK(Scores_and_Fixtures[[#This Row],[Home Score]])=FALSE,Scores_and_Fixtures[[#This Row],[Home Score]],_xlfn.BINOM.INV(10000,(VLOOKUP(L546,$CK$4:$CM$27,2,FALSE)*VLOOKUP(O546,$CK$4:$CM$27,3,FALSE)*($CM$2/2))/10000,RAND()))</f>
        <v>2</v>
      </c>
      <c r="N546">
        <f ca="1">IF(ISBLANK(Scores_and_Fixtures[[#This Row],[Away Score]])=FALSE,Scores_and_Fixtures[[#This Row],[Away Score]],_xlfn.BINOM.INV(10000,(VLOOKUP(O546,$CK$4:$CM$27,2,FALSE)*VLOOKUP(L546,$CK$4:$CM$27,3,FALSE)*($CM$2/2))/10000,RAND()))</f>
        <v>1</v>
      </c>
      <c r="O546" t="str">
        <f>Scores_and_Fixtures[[#This Row],[Away]]</f>
        <v>Bristol City</v>
      </c>
      <c r="U546">
        <v>445</v>
      </c>
      <c r="V546">
        <v>18</v>
      </c>
      <c r="W546">
        <v>6</v>
      </c>
      <c r="X546">
        <v>16</v>
      </c>
      <c r="Y546">
        <v>10</v>
      </c>
      <c r="Z546">
        <v>15</v>
      </c>
      <c r="AA546">
        <v>21</v>
      </c>
      <c r="AB546">
        <v>8</v>
      </c>
      <c r="AC546">
        <v>2</v>
      </c>
      <c r="AD546">
        <v>4</v>
      </c>
      <c r="AE546">
        <v>1</v>
      </c>
      <c r="AF546">
        <v>13</v>
      </c>
      <c r="AG546">
        <v>19</v>
      </c>
      <c r="AH546">
        <v>9</v>
      </c>
      <c r="AI546">
        <v>17</v>
      </c>
      <c r="AJ546">
        <v>11</v>
      </c>
      <c r="AK546">
        <v>22</v>
      </c>
      <c r="AL546">
        <v>24</v>
      </c>
      <c r="AM546">
        <v>23</v>
      </c>
      <c r="AN546">
        <v>3</v>
      </c>
      <c r="AO546">
        <v>20</v>
      </c>
      <c r="AP546">
        <v>12</v>
      </c>
      <c r="AQ546">
        <v>14</v>
      </c>
      <c r="AR546">
        <v>7</v>
      </c>
      <c r="AS546">
        <v>5</v>
      </c>
    </row>
    <row r="547" spans="1:45" x14ac:dyDescent="0.25">
      <c r="A547">
        <v>46</v>
      </c>
      <c r="B547" t="s">
        <v>387</v>
      </c>
      <c r="E547" t="s">
        <v>379</v>
      </c>
      <c r="K547">
        <f>Scores_and_Fixtures[[#This Row],[Wk]]</f>
        <v>46</v>
      </c>
      <c r="L547" t="str">
        <f>Scores_and_Fixtures[[#This Row],[Home]]</f>
        <v>Leicester City</v>
      </c>
      <c r="M547">
        <f ca="1">IF(ISBLANK(Scores_and_Fixtures[[#This Row],[Home Score]])=FALSE,Scores_and_Fixtures[[#This Row],[Home Score]],_xlfn.BINOM.INV(10000,(VLOOKUP(L547,$CK$4:$CM$27,2,FALSE)*VLOOKUP(O547,$CK$4:$CM$27,3,FALSE)*($CM$2/2))/10000,RAND()))</f>
        <v>4</v>
      </c>
      <c r="N547">
        <f ca="1">IF(ISBLANK(Scores_and_Fixtures[[#This Row],[Away Score]])=FALSE,Scores_and_Fixtures[[#This Row],[Away Score]],_xlfn.BINOM.INV(10000,(VLOOKUP(O547,$CK$4:$CM$27,2,FALSE)*VLOOKUP(L547,$CK$4:$CM$27,3,FALSE)*($CM$2/2))/10000,RAND()))</f>
        <v>0</v>
      </c>
      <c r="O547" t="str">
        <f>Scores_and_Fixtures[[#This Row],[Away]]</f>
        <v>Blackburn</v>
      </c>
      <c r="U547">
        <v>446</v>
      </c>
      <c r="V547">
        <v>9</v>
      </c>
      <c r="W547">
        <v>7</v>
      </c>
      <c r="X547">
        <v>15</v>
      </c>
      <c r="Y547">
        <v>17</v>
      </c>
      <c r="Z547">
        <v>12</v>
      </c>
      <c r="AA547">
        <v>21</v>
      </c>
      <c r="AB547">
        <v>6</v>
      </c>
      <c r="AC547">
        <v>2</v>
      </c>
      <c r="AD547">
        <v>3</v>
      </c>
      <c r="AE547">
        <v>1</v>
      </c>
      <c r="AF547">
        <v>16</v>
      </c>
      <c r="AG547">
        <v>19</v>
      </c>
      <c r="AH547">
        <v>10</v>
      </c>
      <c r="AI547">
        <v>14</v>
      </c>
      <c r="AJ547">
        <v>13</v>
      </c>
      <c r="AK547">
        <v>22</v>
      </c>
      <c r="AL547">
        <v>23</v>
      </c>
      <c r="AM547">
        <v>24</v>
      </c>
      <c r="AN547">
        <v>5</v>
      </c>
      <c r="AO547">
        <v>20</v>
      </c>
      <c r="AP547">
        <v>11</v>
      </c>
      <c r="AQ547">
        <v>18</v>
      </c>
      <c r="AR547">
        <v>8</v>
      </c>
      <c r="AS547">
        <v>4</v>
      </c>
    </row>
    <row r="548" spans="1:45" x14ac:dyDescent="0.25">
      <c r="A548">
        <v>46</v>
      </c>
      <c r="B548" t="s">
        <v>378</v>
      </c>
      <c r="E548" t="s">
        <v>390</v>
      </c>
      <c r="K548">
        <f>Scores_and_Fixtures[[#This Row],[Wk]]</f>
        <v>46</v>
      </c>
      <c r="L548" t="str">
        <f>Scores_and_Fixtures[[#This Row],[Home]]</f>
        <v>Birmingham City</v>
      </c>
      <c r="M548">
        <f ca="1">IF(ISBLANK(Scores_and_Fixtures[[#This Row],[Home Score]])=FALSE,Scores_and_Fixtures[[#This Row],[Home Score]],_xlfn.BINOM.INV(10000,(VLOOKUP(L548,$CK$4:$CM$27,2,FALSE)*VLOOKUP(O548,$CK$4:$CM$27,3,FALSE)*($CM$2/2))/10000,RAND()))</f>
        <v>3</v>
      </c>
      <c r="N548">
        <f ca="1">IF(ISBLANK(Scores_and_Fixtures[[#This Row],[Away Score]])=FALSE,Scores_and_Fixtures[[#This Row],[Away Score]],_xlfn.BINOM.INV(10000,(VLOOKUP(O548,$CK$4:$CM$27,2,FALSE)*VLOOKUP(L548,$CK$4:$CM$27,3,FALSE)*($CM$2/2))/10000,RAND()))</f>
        <v>3</v>
      </c>
      <c r="O548" t="str">
        <f>Scores_and_Fixtures[[#This Row],[Away]]</f>
        <v>Norwich City</v>
      </c>
      <c r="U548">
        <v>447</v>
      </c>
      <c r="V548">
        <v>14</v>
      </c>
      <c r="W548">
        <v>15</v>
      </c>
      <c r="X548">
        <v>8</v>
      </c>
      <c r="Y548">
        <v>13</v>
      </c>
      <c r="Z548">
        <v>16</v>
      </c>
      <c r="AA548">
        <v>21</v>
      </c>
      <c r="AB548">
        <v>5</v>
      </c>
      <c r="AC548">
        <v>2</v>
      </c>
      <c r="AD548">
        <v>3</v>
      </c>
      <c r="AE548">
        <v>1</v>
      </c>
      <c r="AF548">
        <v>9</v>
      </c>
      <c r="AG548">
        <v>20</v>
      </c>
      <c r="AH548">
        <v>12</v>
      </c>
      <c r="AI548">
        <v>17</v>
      </c>
      <c r="AJ548">
        <v>10</v>
      </c>
      <c r="AK548">
        <v>22</v>
      </c>
      <c r="AL548">
        <v>24</v>
      </c>
      <c r="AM548">
        <v>23</v>
      </c>
      <c r="AN548">
        <v>4</v>
      </c>
      <c r="AO548">
        <v>18</v>
      </c>
      <c r="AP548">
        <v>6</v>
      </c>
      <c r="AQ548">
        <v>19</v>
      </c>
      <c r="AR548">
        <v>11</v>
      </c>
      <c r="AS548">
        <v>7</v>
      </c>
    </row>
    <row r="549" spans="1:45" x14ac:dyDescent="0.25">
      <c r="A549">
        <v>46</v>
      </c>
      <c r="B549" t="s">
        <v>399</v>
      </c>
      <c r="E549" t="s">
        <v>389</v>
      </c>
      <c r="K549">
        <f>Scores_and_Fixtures[[#This Row],[Wk]]</f>
        <v>46</v>
      </c>
      <c r="L549" t="str">
        <f>Scores_and_Fixtures[[#This Row],[Home]]</f>
        <v>Swansea City</v>
      </c>
      <c r="M549">
        <f ca="1">IF(ISBLANK(Scores_and_Fixtures[[#This Row],[Home Score]])=FALSE,Scores_and_Fixtures[[#This Row],[Home Score]],_xlfn.BINOM.INV(10000,(VLOOKUP(L549,$CK$4:$CM$27,2,FALSE)*VLOOKUP(O549,$CK$4:$CM$27,3,FALSE)*($CM$2/2))/10000,RAND()))</f>
        <v>2</v>
      </c>
      <c r="N549">
        <f ca="1">IF(ISBLANK(Scores_and_Fixtures[[#This Row],[Away Score]])=FALSE,Scores_and_Fixtures[[#This Row],[Away Score]],_xlfn.BINOM.INV(10000,(VLOOKUP(O549,$CK$4:$CM$27,2,FALSE)*VLOOKUP(L549,$CK$4:$CM$27,3,FALSE)*($CM$2/2))/10000,RAND()))</f>
        <v>1</v>
      </c>
      <c r="O549" t="str">
        <f>Scores_and_Fixtures[[#This Row],[Away]]</f>
        <v>Millwall</v>
      </c>
      <c r="U549">
        <v>448</v>
      </c>
      <c r="V549">
        <v>18</v>
      </c>
      <c r="W549">
        <v>16</v>
      </c>
      <c r="X549">
        <v>13</v>
      </c>
      <c r="Y549">
        <v>8</v>
      </c>
      <c r="Z549">
        <v>12</v>
      </c>
      <c r="AA549">
        <v>20</v>
      </c>
      <c r="AB549">
        <v>4</v>
      </c>
      <c r="AC549">
        <v>2</v>
      </c>
      <c r="AD549">
        <v>3</v>
      </c>
      <c r="AE549">
        <v>1</v>
      </c>
      <c r="AF549">
        <v>9</v>
      </c>
      <c r="AG549">
        <v>19</v>
      </c>
      <c r="AH549">
        <v>15</v>
      </c>
      <c r="AI549">
        <v>17</v>
      </c>
      <c r="AJ549">
        <v>11</v>
      </c>
      <c r="AK549">
        <v>21</v>
      </c>
      <c r="AL549">
        <v>24</v>
      </c>
      <c r="AM549">
        <v>23</v>
      </c>
      <c r="AN549">
        <v>6</v>
      </c>
      <c r="AO549">
        <v>22</v>
      </c>
      <c r="AP549">
        <v>10</v>
      </c>
      <c r="AQ549">
        <v>14</v>
      </c>
      <c r="AR549">
        <v>7</v>
      </c>
      <c r="AS549">
        <v>5</v>
      </c>
    </row>
    <row r="550" spans="1:45" x14ac:dyDescent="0.25">
      <c r="A550">
        <v>46</v>
      </c>
      <c r="B550" t="s">
        <v>385</v>
      </c>
      <c r="E550" t="s">
        <v>383</v>
      </c>
      <c r="K550">
        <f>Scores_and_Fixtures[[#This Row],[Wk]]</f>
        <v>46</v>
      </c>
      <c r="L550" t="str">
        <f>Scores_and_Fixtures[[#This Row],[Home]]</f>
        <v>Ipswich Town</v>
      </c>
      <c r="M550">
        <f ca="1">IF(ISBLANK(Scores_and_Fixtures[[#This Row],[Home Score]])=FALSE,Scores_and_Fixtures[[#This Row],[Home Score]],_xlfn.BINOM.INV(10000,(VLOOKUP(L550,$CK$4:$CM$27,2,FALSE)*VLOOKUP(O550,$CK$4:$CM$27,3,FALSE)*($CM$2/2))/10000,RAND()))</f>
        <v>4</v>
      </c>
      <c r="N550">
        <f ca="1">IF(ISBLANK(Scores_and_Fixtures[[#This Row],[Away Score]])=FALSE,Scores_and_Fixtures[[#This Row],[Away Score]],_xlfn.BINOM.INV(10000,(VLOOKUP(O550,$CK$4:$CM$27,2,FALSE)*VLOOKUP(L550,$CK$4:$CM$27,3,FALSE)*($CM$2/2))/10000,RAND()))</f>
        <v>3</v>
      </c>
      <c r="O550" t="str">
        <f>Scores_and_Fixtures[[#This Row],[Away]]</f>
        <v>Huddersfield</v>
      </c>
      <c r="U550">
        <v>449</v>
      </c>
      <c r="V550">
        <v>19</v>
      </c>
      <c r="W550">
        <v>8</v>
      </c>
      <c r="X550">
        <v>15</v>
      </c>
      <c r="Y550">
        <v>11</v>
      </c>
      <c r="Z550">
        <v>10</v>
      </c>
      <c r="AA550">
        <v>20</v>
      </c>
      <c r="AB550">
        <v>12</v>
      </c>
      <c r="AC550">
        <v>3</v>
      </c>
      <c r="AD550">
        <v>2</v>
      </c>
      <c r="AE550">
        <v>1</v>
      </c>
      <c r="AF550">
        <v>7</v>
      </c>
      <c r="AG550">
        <v>22</v>
      </c>
      <c r="AH550">
        <v>13</v>
      </c>
      <c r="AI550">
        <v>18</v>
      </c>
      <c r="AJ550">
        <v>16</v>
      </c>
      <c r="AK550">
        <v>21</v>
      </c>
      <c r="AL550">
        <v>24</v>
      </c>
      <c r="AM550">
        <v>23</v>
      </c>
      <c r="AN550">
        <v>4</v>
      </c>
      <c r="AO550">
        <v>17</v>
      </c>
      <c r="AP550">
        <v>6</v>
      </c>
      <c r="AQ550">
        <v>14</v>
      </c>
      <c r="AR550">
        <v>9</v>
      </c>
      <c r="AS550">
        <v>5</v>
      </c>
    </row>
    <row r="551" spans="1:45" x14ac:dyDescent="0.25">
      <c r="A551">
        <v>46</v>
      </c>
      <c r="B551" t="s">
        <v>398</v>
      </c>
      <c r="E551" t="s">
        <v>395</v>
      </c>
      <c r="K551">
        <f>Scores_and_Fixtures[[#This Row],[Wk]]</f>
        <v>46</v>
      </c>
      <c r="L551" t="str">
        <f>Scores_and_Fixtures[[#This Row],[Home]]</f>
        <v>Sunderland</v>
      </c>
      <c r="M551">
        <f ca="1">IF(ISBLANK(Scores_and_Fixtures[[#This Row],[Home Score]])=FALSE,Scores_and_Fixtures[[#This Row],[Home Score]],_xlfn.BINOM.INV(10000,(VLOOKUP(L551,$CK$4:$CM$27,2,FALSE)*VLOOKUP(O551,$CK$4:$CM$27,3,FALSE)*($CM$2/2))/10000,RAND()))</f>
        <v>1</v>
      </c>
      <c r="N551">
        <f ca="1">IF(ISBLANK(Scores_and_Fixtures[[#This Row],[Away Score]])=FALSE,Scores_and_Fixtures[[#This Row],[Away Score]],_xlfn.BINOM.INV(10000,(VLOOKUP(O551,$CK$4:$CM$27,2,FALSE)*VLOOKUP(L551,$CK$4:$CM$27,3,FALSE)*($CM$2/2))/10000,RAND()))</f>
        <v>0</v>
      </c>
      <c r="O551" t="str">
        <f>Scores_and_Fixtures[[#This Row],[Away]]</f>
        <v>Sheffield Weds</v>
      </c>
      <c r="U551">
        <v>450</v>
      </c>
      <c r="V551">
        <v>16</v>
      </c>
      <c r="W551">
        <v>14</v>
      </c>
      <c r="X551">
        <v>13</v>
      </c>
      <c r="Y551">
        <v>12</v>
      </c>
      <c r="Z551">
        <v>18</v>
      </c>
      <c r="AA551">
        <v>20</v>
      </c>
      <c r="AB551">
        <v>7</v>
      </c>
      <c r="AC551">
        <v>2</v>
      </c>
      <c r="AD551">
        <v>4</v>
      </c>
      <c r="AE551">
        <v>1</v>
      </c>
      <c r="AF551">
        <v>11</v>
      </c>
      <c r="AG551">
        <v>21</v>
      </c>
      <c r="AH551">
        <v>9</v>
      </c>
      <c r="AI551">
        <v>19</v>
      </c>
      <c r="AJ551">
        <v>8</v>
      </c>
      <c r="AK551">
        <v>23</v>
      </c>
      <c r="AL551">
        <v>24</v>
      </c>
      <c r="AM551">
        <v>22</v>
      </c>
      <c r="AN551">
        <v>3</v>
      </c>
      <c r="AO551">
        <v>17</v>
      </c>
      <c r="AP551">
        <v>10</v>
      </c>
      <c r="AQ551">
        <v>15</v>
      </c>
      <c r="AR551">
        <v>6</v>
      </c>
      <c r="AS551">
        <v>5</v>
      </c>
    </row>
    <row r="552" spans="1:45" x14ac:dyDescent="0.25">
      <c r="A552">
        <v>46</v>
      </c>
      <c r="B552" t="s">
        <v>394</v>
      </c>
      <c r="E552" t="s">
        <v>381</v>
      </c>
      <c r="K552">
        <f>Scores_and_Fixtures[[#This Row],[Wk]]</f>
        <v>46</v>
      </c>
      <c r="L552" t="str">
        <f>Scores_and_Fixtures[[#This Row],[Home]]</f>
        <v>Rotherham Utd</v>
      </c>
      <c r="M552">
        <f ca="1">IF(ISBLANK(Scores_and_Fixtures[[#This Row],[Home Score]])=FALSE,Scores_and_Fixtures[[#This Row],[Home Score]],_xlfn.BINOM.INV(10000,(VLOOKUP(L552,$CK$4:$CM$27,2,FALSE)*VLOOKUP(O552,$CK$4:$CM$27,3,FALSE)*($CM$2/2))/10000,RAND()))</f>
        <v>1</v>
      </c>
      <c r="N552">
        <f ca="1">IF(ISBLANK(Scores_and_Fixtures[[#This Row],[Away Score]])=FALSE,Scores_and_Fixtures[[#This Row],[Away Score]],_xlfn.BINOM.INV(10000,(VLOOKUP(O552,$CK$4:$CM$27,2,FALSE)*VLOOKUP(L552,$CK$4:$CM$27,3,FALSE)*($CM$2/2))/10000,RAND()))</f>
        <v>1</v>
      </c>
      <c r="O552" t="str">
        <f>Scores_and_Fixtures[[#This Row],[Away]]</f>
        <v>Cardiff City</v>
      </c>
      <c r="U552">
        <v>451</v>
      </c>
      <c r="V552">
        <v>13</v>
      </c>
      <c r="W552">
        <v>10</v>
      </c>
      <c r="X552">
        <v>16</v>
      </c>
      <c r="Y552">
        <v>12</v>
      </c>
      <c r="Z552">
        <v>17</v>
      </c>
      <c r="AA552">
        <v>21</v>
      </c>
      <c r="AB552">
        <v>5</v>
      </c>
      <c r="AC552">
        <v>2</v>
      </c>
      <c r="AD552">
        <v>3</v>
      </c>
      <c r="AE552">
        <v>1</v>
      </c>
      <c r="AF552">
        <v>9</v>
      </c>
      <c r="AG552">
        <v>22</v>
      </c>
      <c r="AH552">
        <v>14</v>
      </c>
      <c r="AI552">
        <v>15</v>
      </c>
      <c r="AJ552">
        <v>11</v>
      </c>
      <c r="AK552">
        <v>19</v>
      </c>
      <c r="AL552">
        <v>24</v>
      </c>
      <c r="AM552">
        <v>23</v>
      </c>
      <c r="AN552">
        <v>4</v>
      </c>
      <c r="AO552">
        <v>20</v>
      </c>
      <c r="AP552">
        <v>7</v>
      </c>
      <c r="AQ552">
        <v>18</v>
      </c>
      <c r="AR552">
        <v>6</v>
      </c>
      <c r="AS552">
        <v>8</v>
      </c>
    </row>
    <row r="553" spans="1:45" x14ac:dyDescent="0.25">
      <c r="A553">
        <v>46</v>
      </c>
      <c r="B553" t="s">
        <v>388</v>
      </c>
      <c r="E553" t="s">
        <v>400</v>
      </c>
      <c r="K553">
        <f>Scores_and_Fixtures[[#This Row],[Wk]]</f>
        <v>46</v>
      </c>
      <c r="L553" t="str">
        <f>Scores_and_Fixtures[[#This Row],[Home]]</f>
        <v>Middlesbrough</v>
      </c>
      <c r="M553">
        <f ca="1">IF(ISBLANK(Scores_and_Fixtures[[#This Row],[Home Score]])=FALSE,Scores_and_Fixtures[[#This Row],[Home Score]],_xlfn.BINOM.INV(10000,(VLOOKUP(L553,$CK$4:$CM$27,2,FALSE)*VLOOKUP(O553,$CK$4:$CM$27,3,FALSE)*($CM$2/2))/10000,RAND()))</f>
        <v>1</v>
      </c>
      <c r="N553">
        <f ca="1">IF(ISBLANK(Scores_and_Fixtures[[#This Row],[Away Score]])=FALSE,Scores_and_Fixtures[[#This Row],[Away Score]],_xlfn.BINOM.INV(10000,(VLOOKUP(O553,$CK$4:$CM$27,2,FALSE)*VLOOKUP(L553,$CK$4:$CM$27,3,FALSE)*($CM$2/2))/10000,RAND()))</f>
        <v>3</v>
      </c>
      <c r="O553" t="str">
        <f>Scores_and_Fixtures[[#This Row],[Away]]</f>
        <v>Watford</v>
      </c>
      <c r="U553">
        <v>452</v>
      </c>
      <c r="V553">
        <v>18</v>
      </c>
      <c r="W553">
        <v>10</v>
      </c>
      <c r="X553">
        <v>6</v>
      </c>
      <c r="Y553">
        <v>11</v>
      </c>
      <c r="Z553">
        <v>17</v>
      </c>
      <c r="AA553">
        <v>19</v>
      </c>
      <c r="AB553">
        <v>4</v>
      </c>
      <c r="AC553">
        <v>2</v>
      </c>
      <c r="AD553">
        <v>3</v>
      </c>
      <c r="AE553">
        <v>1</v>
      </c>
      <c r="AF553">
        <v>9</v>
      </c>
      <c r="AG553">
        <v>20</v>
      </c>
      <c r="AH553">
        <v>13</v>
      </c>
      <c r="AI553">
        <v>16</v>
      </c>
      <c r="AJ553">
        <v>15</v>
      </c>
      <c r="AK553">
        <v>21</v>
      </c>
      <c r="AL553">
        <v>24</v>
      </c>
      <c r="AM553">
        <v>23</v>
      </c>
      <c r="AN553">
        <v>7</v>
      </c>
      <c r="AO553">
        <v>22</v>
      </c>
      <c r="AP553">
        <v>8</v>
      </c>
      <c r="AQ553">
        <v>14</v>
      </c>
      <c r="AR553">
        <v>12</v>
      </c>
      <c r="AS553">
        <v>5</v>
      </c>
    </row>
    <row r="554" spans="1:45" x14ac:dyDescent="0.25">
      <c r="U554">
        <v>453</v>
      </c>
      <c r="V554">
        <v>16</v>
      </c>
      <c r="W554">
        <v>12</v>
      </c>
      <c r="X554">
        <v>8</v>
      </c>
      <c r="Y554">
        <v>13</v>
      </c>
      <c r="Z554">
        <v>17</v>
      </c>
      <c r="AA554">
        <v>20</v>
      </c>
      <c r="AB554">
        <v>9</v>
      </c>
      <c r="AC554">
        <v>1</v>
      </c>
      <c r="AD554">
        <v>3</v>
      </c>
      <c r="AE554">
        <v>2</v>
      </c>
      <c r="AF554">
        <v>11</v>
      </c>
      <c r="AG554">
        <v>18</v>
      </c>
      <c r="AH554">
        <v>19</v>
      </c>
      <c r="AI554">
        <v>7</v>
      </c>
      <c r="AJ554">
        <v>15</v>
      </c>
      <c r="AK554">
        <v>21</v>
      </c>
      <c r="AL554">
        <v>23</v>
      </c>
      <c r="AM554">
        <v>24</v>
      </c>
      <c r="AN554">
        <v>4</v>
      </c>
      <c r="AO554">
        <v>22</v>
      </c>
      <c r="AP554">
        <v>10</v>
      </c>
      <c r="AQ554">
        <v>14</v>
      </c>
      <c r="AR554">
        <v>6</v>
      </c>
      <c r="AS554">
        <v>5</v>
      </c>
    </row>
    <row r="555" spans="1:45" x14ac:dyDescent="0.25">
      <c r="A555" t="s">
        <v>190</v>
      </c>
      <c r="B555" t="s">
        <v>194</v>
      </c>
      <c r="C555" t="s">
        <v>12</v>
      </c>
      <c r="D555" t="s">
        <v>255</v>
      </c>
      <c r="E555" t="s">
        <v>196</v>
      </c>
      <c r="U555">
        <v>454</v>
      </c>
      <c r="V555">
        <v>16</v>
      </c>
      <c r="W555">
        <v>11</v>
      </c>
      <c r="X555">
        <v>15</v>
      </c>
      <c r="Y555">
        <v>14</v>
      </c>
      <c r="Z555">
        <v>17</v>
      </c>
      <c r="AA555">
        <v>21</v>
      </c>
      <c r="AB555">
        <v>4</v>
      </c>
      <c r="AC555">
        <v>2</v>
      </c>
      <c r="AD555">
        <v>3</v>
      </c>
      <c r="AE555">
        <v>1</v>
      </c>
      <c r="AF555">
        <v>13</v>
      </c>
      <c r="AG555">
        <v>19</v>
      </c>
      <c r="AH555">
        <v>6</v>
      </c>
      <c r="AI555">
        <v>20</v>
      </c>
      <c r="AJ555">
        <v>8</v>
      </c>
      <c r="AK555">
        <v>18</v>
      </c>
      <c r="AL555">
        <v>24</v>
      </c>
      <c r="AM555">
        <v>23</v>
      </c>
      <c r="AN555">
        <v>5</v>
      </c>
      <c r="AO555">
        <v>22</v>
      </c>
      <c r="AP555">
        <v>9</v>
      </c>
      <c r="AQ555">
        <v>12</v>
      </c>
      <c r="AR555">
        <v>10</v>
      </c>
      <c r="AS555">
        <v>7</v>
      </c>
    </row>
    <row r="556" spans="1:45" x14ac:dyDescent="0.25">
      <c r="A556">
        <v>1</v>
      </c>
      <c r="B556" t="s">
        <v>395</v>
      </c>
      <c r="C556">
        <v>0.5</v>
      </c>
      <c r="D556">
        <v>1.4</v>
      </c>
      <c r="E556" t="s">
        <v>396</v>
      </c>
      <c r="U556">
        <v>455</v>
      </c>
      <c r="V556">
        <v>16</v>
      </c>
      <c r="W556">
        <v>6</v>
      </c>
      <c r="X556">
        <v>18</v>
      </c>
      <c r="Y556">
        <v>12</v>
      </c>
      <c r="Z556">
        <v>13</v>
      </c>
      <c r="AA556">
        <v>21</v>
      </c>
      <c r="AB556">
        <v>8</v>
      </c>
      <c r="AC556">
        <v>2</v>
      </c>
      <c r="AD556">
        <v>4</v>
      </c>
      <c r="AE556">
        <v>1</v>
      </c>
      <c r="AF556">
        <v>15</v>
      </c>
      <c r="AG556">
        <v>17</v>
      </c>
      <c r="AH556">
        <v>10</v>
      </c>
      <c r="AI556">
        <v>19</v>
      </c>
      <c r="AJ556">
        <v>11</v>
      </c>
      <c r="AK556">
        <v>23</v>
      </c>
      <c r="AL556">
        <v>24</v>
      </c>
      <c r="AM556">
        <v>22</v>
      </c>
      <c r="AN556">
        <v>3</v>
      </c>
      <c r="AO556">
        <v>20</v>
      </c>
      <c r="AP556">
        <v>9</v>
      </c>
      <c r="AQ556">
        <v>14</v>
      </c>
      <c r="AR556">
        <v>7</v>
      </c>
      <c r="AS556">
        <v>5</v>
      </c>
    </row>
    <row r="557" spans="1:45" x14ac:dyDescent="0.25">
      <c r="A557">
        <v>1</v>
      </c>
      <c r="B557" t="s">
        <v>380</v>
      </c>
      <c r="C557">
        <v>0.9</v>
      </c>
      <c r="D557">
        <v>1.3</v>
      </c>
      <c r="E557" t="s">
        <v>392</v>
      </c>
      <c r="U557">
        <v>456</v>
      </c>
      <c r="V557">
        <v>12</v>
      </c>
      <c r="W557">
        <v>10</v>
      </c>
      <c r="X557">
        <v>15</v>
      </c>
      <c r="Y557">
        <v>14</v>
      </c>
      <c r="Z557">
        <v>18</v>
      </c>
      <c r="AA557">
        <v>22</v>
      </c>
      <c r="AB557">
        <v>7</v>
      </c>
      <c r="AC557">
        <v>2</v>
      </c>
      <c r="AD557">
        <v>4</v>
      </c>
      <c r="AE557">
        <v>1</v>
      </c>
      <c r="AF557">
        <v>8</v>
      </c>
      <c r="AG557">
        <v>19</v>
      </c>
      <c r="AH557">
        <v>13</v>
      </c>
      <c r="AI557">
        <v>16</v>
      </c>
      <c r="AJ557">
        <v>17</v>
      </c>
      <c r="AK557">
        <v>20</v>
      </c>
      <c r="AL557">
        <v>24</v>
      </c>
      <c r="AM557">
        <v>23</v>
      </c>
      <c r="AN557">
        <v>3</v>
      </c>
      <c r="AO557">
        <v>21</v>
      </c>
      <c r="AP557">
        <v>9</v>
      </c>
      <c r="AQ557">
        <v>11</v>
      </c>
      <c r="AR557">
        <v>5</v>
      </c>
      <c r="AS557">
        <v>6</v>
      </c>
    </row>
    <row r="558" spans="1:45" x14ac:dyDescent="0.25">
      <c r="A558">
        <v>1</v>
      </c>
      <c r="B558" t="s">
        <v>391</v>
      </c>
      <c r="C558">
        <v>2.4</v>
      </c>
      <c r="D558">
        <v>2</v>
      </c>
      <c r="E558" t="s">
        <v>383</v>
      </c>
      <c r="U558">
        <v>457</v>
      </c>
      <c r="V558">
        <v>18</v>
      </c>
      <c r="W558">
        <v>10</v>
      </c>
      <c r="X558">
        <v>13</v>
      </c>
      <c r="Y558">
        <v>12</v>
      </c>
      <c r="Z558">
        <v>15</v>
      </c>
      <c r="AA558">
        <v>23</v>
      </c>
      <c r="AB558">
        <v>4</v>
      </c>
      <c r="AC558">
        <v>2</v>
      </c>
      <c r="AD558">
        <v>5</v>
      </c>
      <c r="AE558">
        <v>1</v>
      </c>
      <c r="AF558">
        <v>9</v>
      </c>
      <c r="AG558">
        <v>19</v>
      </c>
      <c r="AH558">
        <v>14</v>
      </c>
      <c r="AI558">
        <v>17</v>
      </c>
      <c r="AJ558">
        <v>16</v>
      </c>
      <c r="AK558">
        <v>20</v>
      </c>
      <c r="AL558">
        <v>24</v>
      </c>
      <c r="AM558">
        <v>22</v>
      </c>
      <c r="AN558">
        <v>6</v>
      </c>
      <c r="AO558">
        <v>21</v>
      </c>
      <c r="AP558">
        <v>8</v>
      </c>
      <c r="AQ558">
        <v>11</v>
      </c>
      <c r="AR558">
        <v>7</v>
      </c>
      <c r="AS558">
        <v>3</v>
      </c>
    </row>
    <row r="559" spans="1:45" x14ac:dyDescent="0.25">
      <c r="A559">
        <v>1</v>
      </c>
      <c r="B559" t="s">
        <v>397</v>
      </c>
      <c r="C559">
        <v>2.4</v>
      </c>
      <c r="D559">
        <v>0.9</v>
      </c>
      <c r="E559" t="s">
        <v>394</v>
      </c>
      <c r="U559">
        <v>458</v>
      </c>
      <c r="V559">
        <v>15</v>
      </c>
      <c r="W559">
        <v>13</v>
      </c>
      <c r="X559">
        <v>17</v>
      </c>
      <c r="Y559">
        <v>11</v>
      </c>
      <c r="Z559">
        <v>9</v>
      </c>
      <c r="AA559">
        <v>21</v>
      </c>
      <c r="AB559">
        <v>5</v>
      </c>
      <c r="AC559">
        <v>3</v>
      </c>
      <c r="AD559">
        <v>2</v>
      </c>
      <c r="AE559">
        <v>1</v>
      </c>
      <c r="AF559">
        <v>18</v>
      </c>
      <c r="AG559">
        <v>14</v>
      </c>
      <c r="AH559">
        <v>16</v>
      </c>
      <c r="AI559">
        <v>12</v>
      </c>
      <c r="AJ559">
        <v>8</v>
      </c>
      <c r="AK559">
        <v>20</v>
      </c>
      <c r="AL559">
        <v>23</v>
      </c>
      <c r="AM559">
        <v>24</v>
      </c>
      <c r="AN559">
        <v>4</v>
      </c>
      <c r="AO559">
        <v>22</v>
      </c>
      <c r="AP559">
        <v>10</v>
      </c>
      <c r="AQ559">
        <v>19</v>
      </c>
      <c r="AR559">
        <v>6</v>
      </c>
      <c r="AS559">
        <v>7</v>
      </c>
    </row>
    <row r="560" spans="1:45" x14ac:dyDescent="0.25">
      <c r="A560">
        <v>1</v>
      </c>
      <c r="B560" t="s">
        <v>388</v>
      </c>
      <c r="C560">
        <v>0.8</v>
      </c>
      <c r="D560">
        <v>1.2</v>
      </c>
      <c r="E560" t="s">
        <v>389</v>
      </c>
      <c r="U560">
        <v>459</v>
      </c>
      <c r="V560">
        <v>16</v>
      </c>
      <c r="W560">
        <v>14</v>
      </c>
      <c r="X560">
        <v>18</v>
      </c>
      <c r="Y560">
        <v>12</v>
      </c>
      <c r="Z560">
        <v>10</v>
      </c>
      <c r="AA560">
        <v>22</v>
      </c>
      <c r="AB560">
        <v>5</v>
      </c>
      <c r="AC560">
        <v>2</v>
      </c>
      <c r="AD560">
        <v>3</v>
      </c>
      <c r="AE560">
        <v>1</v>
      </c>
      <c r="AF560">
        <v>11</v>
      </c>
      <c r="AG560">
        <v>20</v>
      </c>
      <c r="AH560">
        <v>8</v>
      </c>
      <c r="AI560">
        <v>15</v>
      </c>
      <c r="AJ560">
        <v>17</v>
      </c>
      <c r="AK560">
        <v>21</v>
      </c>
      <c r="AL560">
        <v>24</v>
      </c>
      <c r="AM560">
        <v>23</v>
      </c>
      <c r="AN560">
        <v>4</v>
      </c>
      <c r="AO560">
        <v>19</v>
      </c>
      <c r="AP560">
        <v>7</v>
      </c>
      <c r="AQ560">
        <v>13</v>
      </c>
      <c r="AR560">
        <v>6</v>
      </c>
      <c r="AS560">
        <v>9</v>
      </c>
    </row>
    <row r="561" spans="1:45" x14ac:dyDescent="0.25">
      <c r="A561">
        <v>1</v>
      </c>
      <c r="B561" t="s">
        <v>400</v>
      </c>
      <c r="C561">
        <v>2.9</v>
      </c>
      <c r="D561">
        <v>0.4</v>
      </c>
      <c r="E561" t="s">
        <v>393</v>
      </c>
      <c r="U561">
        <v>460</v>
      </c>
      <c r="V561">
        <v>20</v>
      </c>
      <c r="W561">
        <v>17</v>
      </c>
      <c r="X561">
        <v>15</v>
      </c>
      <c r="Y561">
        <v>8</v>
      </c>
      <c r="Z561">
        <v>18</v>
      </c>
      <c r="AA561">
        <v>21</v>
      </c>
      <c r="AB561">
        <v>7</v>
      </c>
      <c r="AC561">
        <v>2</v>
      </c>
      <c r="AD561">
        <v>3</v>
      </c>
      <c r="AE561">
        <v>1</v>
      </c>
      <c r="AF561">
        <v>9</v>
      </c>
      <c r="AG561">
        <v>16</v>
      </c>
      <c r="AH561">
        <v>10</v>
      </c>
      <c r="AI561">
        <v>14</v>
      </c>
      <c r="AJ561">
        <v>13</v>
      </c>
      <c r="AK561">
        <v>23</v>
      </c>
      <c r="AL561">
        <v>24</v>
      </c>
      <c r="AM561">
        <v>22</v>
      </c>
      <c r="AN561">
        <v>5</v>
      </c>
      <c r="AO561">
        <v>19</v>
      </c>
      <c r="AP561">
        <v>12</v>
      </c>
      <c r="AQ561">
        <v>11</v>
      </c>
      <c r="AR561">
        <v>6</v>
      </c>
      <c r="AS561">
        <v>4</v>
      </c>
    </row>
    <row r="562" spans="1:45" x14ac:dyDescent="0.25">
      <c r="A562">
        <v>1</v>
      </c>
      <c r="B562" t="s">
        <v>379</v>
      </c>
      <c r="C562">
        <v>1.6</v>
      </c>
      <c r="D562">
        <v>0.8</v>
      </c>
      <c r="E562" t="s">
        <v>401</v>
      </c>
      <c r="U562">
        <v>461</v>
      </c>
      <c r="V562">
        <v>16</v>
      </c>
      <c r="W562">
        <v>8</v>
      </c>
      <c r="X562">
        <v>18</v>
      </c>
      <c r="Y562">
        <v>13</v>
      </c>
      <c r="Z562">
        <v>15</v>
      </c>
      <c r="AA562">
        <v>21</v>
      </c>
      <c r="AB562">
        <v>6</v>
      </c>
      <c r="AC562">
        <v>2</v>
      </c>
      <c r="AD562">
        <v>3</v>
      </c>
      <c r="AE562">
        <v>1</v>
      </c>
      <c r="AF562">
        <v>11</v>
      </c>
      <c r="AG562">
        <v>19</v>
      </c>
      <c r="AH562">
        <v>12</v>
      </c>
      <c r="AI562">
        <v>14</v>
      </c>
      <c r="AJ562">
        <v>17</v>
      </c>
      <c r="AK562">
        <v>22</v>
      </c>
      <c r="AL562">
        <v>24</v>
      </c>
      <c r="AM562">
        <v>23</v>
      </c>
      <c r="AN562">
        <v>4</v>
      </c>
      <c r="AO562">
        <v>20</v>
      </c>
      <c r="AP562">
        <v>7</v>
      </c>
      <c r="AQ562">
        <v>10</v>
      </c>
      <c r="AR562">
        <v>9</v>
      </c>
      <c r="AS562">
        <v>5</v>
      </c>
    </row>
    <row r="563" spans="1:45" x14ac:dyDescent="0.25">
      <c r="A563">
        <v>1</v>
      </c>
      <c r="B563" t="s">
        <v>390</v>
      </c>
      <c r="C563">
        <v>2.6</v>
      </c>
      <c r="D563">
        <v>0.4</v>
      </c>
      <c r="E563" t="s">
        <v>384</v>
      </c>
      <c r="U563">
        <v>462</v>
      </c>
      <c r="V563">
        <v>6</v>
      </c>
      <c r="W563">
        <v>13</v>
      </c>
      <c r="X563">
        <v>17</v>
      </c>
      <c r="Y563">
        <v>11</v>
      </c>
      <c r="Z563">
        <v>15</v>
      </c>
      <c r="AA563">
        <v>21</v>
      </c>
      <c r="AB563">
        <v>7</v>
      </c>
      <c r="AC563">
        <v>2</v>
      </c>
      <c r="AD563">
        <v>4</v>
      </c>
      <c r="AE563">
        <v>1</v>
      </c>
      <c r="AF563">
        <v>16</v>
      </c>
      <c r="AG563">
        <v>19</v>
      </c>
      <c r="AH563">
        <v>8</v>
      </c>
      <c r="AI563">
        <v>18</v>
      </c>
      <c r="AJ563">
        <v>14</v>
      </c>
      <c r="AK563">
        <v>22</v>
      </c>
      <c r="AL563">
        <v>23</v>
      </c>
      <c r="AM563">
        <v>24</v>
      </c>
      <c r="AN563">
        <v>3</v>
      </c>
      <c r="AO563">
        <v>20</v>
      </c>
      <c r="AP563">
        <v>10</v>
      </c>
      <c r="AQ563">
        <v>12</v>
      </c>
      <c r="AR563">
        <v>9</v>
      </c>
      <c r="AS563">
        <v>5</v>
      </c>
    </row>
    <row r="564" spans="1:45" x14ac:dyDescent="0.25">
      <c r="A564">
        <v>1</v>
      </c>
      <c r="B564" t="s">
        <v>399</v>
      </c>
      <c r="C564">
        <v>1.3</v>
      </c>
      <c r="D564">
        <v>0.8</v>
      </c>
      <c r="E564" t="s">
        <v>378</v>
      </c>
      <c r="U564">
        <v>463</v>
      </c>
      <c r="V564">
        <v>16</v>
      </c>
      <c r="W564">
        <v>12</v>
      </c>
      <c r="X564">
        <v>15</v>
      </c>
      <c r="Y564">
        <v>9</v>
      </c>
      <c r="Z564">
        <v>13</v>
      </c>
      <c r="AA564">
        <v>22</v>
      </c>
      <c r="AB564">
        <v>8</v>
      </c>
      <c r="AC564">
        <v>4</v>
      </c>
      <c r="AD564">
        <v>2</v>
      </c>
      <c r="AE564">
        <v>1</v>
      </c>
      <c r="AF564">
        <v>11</v>
      </c>
      <c r="AG564">
        <v>19</v>
      </c>
      <c r="AH564">
        <v>14</v>
      </c>
      <c r="AI564">
        <v>18</v>
      </c>
      <c r="AJ564">
        <v>7</v>
      </c>
      <c r="AK564">
        <v>21</v>
      </c>
      <c r="AL564">
        <v>24</v>
      </c>
      <c r="AM564">
        <v>23</v>
      </c>
      <c r="AN564">
        <v>3</v>
      </c>
      <c r="AO564">
        <v>17</v>
      </c>
      <c r="AP564">
        <v>5</v>
      </c>
      <c r="AQ564">
        <v>20</v>
      </c>
      <c r="AR564">
        <v>10</v>
      </c>
      <c r="AS564">
        <v>6</v>
      </c>
    </row>
    <row r="565" spans="1:45" x14ac:dyDescent="0.25">
      <c r="A565">
        <v>1</v>
      </c>
      <c r="B565" t="s">
        <v>387</v>
      </c>
      <c r="C565">
        <v>1.5</v>
      </c>
      <c r="D565">
        <v>1.8</v>
      </c>
      <c r="E565" t="s">
        <v>382</v>
      </c>
      <c r="U565">
        <v>464</v>
      </c>
      <c r="V565">
        <v>17</v>
      </c>
      <c r="W565">
        <v>11</v>
      </c>
      <c r="X565">
        <v>16</v>
      </c>
      <c r="Y565">
        <v>14</v>
      </c>
      <c r="Z565">
        <v>10</v>
      </c>
      <c r="AA565">
        <v>21</v>
      </c>
      <c r="AB565">
        <v>8</v>
      </c>
      <c r="AC565">
        <v>2</v>
      </c>
      <c r="AD565">
        <v>3</v>
      </c>
      <c r="AE565">
        <v>1</v>
      </c>
      <c r="AF565">
        <v>6</v>
      </c>
      <c r="AG565">
        <v>18</v>
      </c>
      <c r="AH565">
        <v>15</v>
      </c>
      <c r="AI565">
        <v>12</v>
      </c>
      <c r="AJ565">
        <v>13</v>
      </c>
      <c r="AK565">
        <v>22</v>
      </c>
      <c r="AL565">
        <v>24</v>
      </c>
      <c r="AM565">
        <v>23</v>
      </c>
      <c r="AN565">
        <v>4</v>
      </c>
      <c r="AO565">
        <v>19</v>
      </c>
      <c r="AP565">
        <v>7</v>
      </c>
      <c r="AQ565">
        <v>20</v>
      </c>
      <c r="AR565">
        <v>9</v>
      </c>
      <c r="AS565">
        <v>5</v>
      </c>
    </row>
    <row r="566" spans="1:45" x14ac:dyDescent="0.25">
      <c r="A566">
        <v>1</v>
      </c>
      <c r="B566" t="s">
        <v>386</v>
      </c>
      <c r="C566">
        <v>1.7</v>
      </c>
      <c r="D566">
        <v>1.2</v>
      </c>
      <c r="E566" t="s">
        <v>381</v>
      </c>
      <c r="U566">
        <v>465</v>
      </c>
      <c r="V566">
        <v>12</v>
      </c>
      <c r="W566">
        <v>16</v>
      </c>
      <c r="X566">
        <v>10</v>
      </c>
      <c r="Y566">
        <v>11</v>
      </c>
      <c r="Z566">
        <v>14</v>
      </c>
      <c r="AA566">
        <v>22</v>
      </c>
      <c r="AB566">
        <v>5</v>
      </c>
      <c r="AC566">
        <v>2</v>
      </c>
      <c r="AD566">
        <v>3</v>
      </c>
      <c r="AE566">
        <v>1</v>
      </c>
      <c r="AF566">
        <v>13</v>
      </c>
      <c r="AG566">
        <v>17</v>
      </c>
      <c r="AH566">
        <v>9</v>
      </c>
      <c r="AI566">
        <v>19</v>
      </c>
      <c r="AJ566">
        <v>18</v>
      </c>
      <c r="AK566">
        <v>20</v>
      </c>
      <c r="AL566">
        <v>24</v>
      </c>
      <c r="AM566">
        <v>23</v>
      </c>
      <c r="AN566">
        <v>4</v>
      </c>
      <c r="AO566">
        <v>21</v>
      </c>
      <c r="AP566">
        <v>8</v>
      </c>
      <c r="AQ566">
        <v>15</v>
      </c>
      <c r="AR566">
        <v>7</v>
      </c>
      <c r="AS566">
        <v>6</v>
      </c>
    </row>
    <row r="567" spans="1:45" x14ac:dyDescent="0.25">
      <c r="A567">
        <v>1</v>
      </c>
      <c r="B567" t="s">
        <v>398</v>
      </c>
      <c r="C567">
        <v>1.9</v>
      </c>
      <c r="D567">
        <v>1.2</v>
      </c>
      <c r="E567" t="s">
        <v>385</v>
      </c>
      <c r="U567">
        <v>466</v>
      </c>
      <c r="V567">
        <v>20</v>
      </c>
      <c r="W567">
        <v>16</v>
      </c>
      <c r="X567">
        <v>9</v>
      </c>
      <c r="Y567">
        <v>14</v>
      </c>
      <c r="Z567">
        <v>15</v>
      </c>
      <c r="AA567">
        <v>22</v>
      </c>
      <c r="AB567">
        <v>6</v>
      </c>
      <c r="AC567">
        <v>2</v>
      </c>
      <c r="AD567">
        <v>3</v>
      </c>
      <c r="AE567">
        <v>1</v>
      </c>
      <c r="AF567">
        <v>10</v>
      </c>
      <c r="AG567">
        <v>18</v>
      </c>
      <c r="AH567">
        <v>12</v>
      </c>
      <c r="AI567">
        <v>13</v>
      </c>
      <c r="AJ567">
        <v>11</v>
      </c>
      <c r="AK567">
        <v>19</v>
      </c>
      <c r="AL567">
        <v>24</v>
      </c>
      <c r="AM567">
        <v>23</v>
      </c>
      <c r="AN567">
        <v>4</v>
      </c>
      <c r="AO567">
        <v>21</v>
      </c>
      <c r="AP567">
        <v>7</v>
      </c>
      <c r="AQ567">
        <v>17</v>
      </c>
      <c r="AR567">
        <v>8</v>
      </c>
      <c r="AS567">
        <v>5</v>
      </c>
    </row>
    <row r="568" spans="1:45" x14ac:dyDescent="0.25">
      <c r="A568">
        <v>2</v>
      </c>
      <c r="B568" t="s">
        <v>382</v>
      </c>
      <c r="C568">
        <v>0.9</v>
      </c>
      <c r="D568">
        <v>1.3</v>
      </c>
      <c r="E568" t="s">
        <v>388</v>
      </c>
      <c r="U568">
        <v>467</v>
      </c>
      <c r="V568">
        <v>15</v>
      </c>
      <c r="W568">
        <v>12</v>
      </c>
      <c r="X568">
        <v>11</v>
      </c>
      <c r="Y568">
        <v>8</v>
      </c>
      <c r="Z568">
        <v>13</v>
      </c>
      <c r="AA568">
        <v>22</v>
      </c>
      <c r="AB568">
        <v>10</v>
      </c>
      <c r="AC568">
        <v>2</v>
      </c>
      <c r="AD568">
        <v>3</v>
      </c>
      <c r="AE568">
        <v>1</v>
      </c>
      <c r="AF568">
        <v>6</v>
      </c>
      <c r="AG568">
        <v>21</v>
      </c>
      <c r="AH568">
        <v>17</v>
      </c>
      <c r="AI568">
        <v>14</v>
      </c>
      <c r="AJ568">
        <v>19</v>
      </c>
      <c r="AK568">
        <v>20</v>
      </c>
      <c r="AL568">
        <v>24</v>
      </c>
      <c r="AM568">
        <v>23</v>
      </c>
      <c r="AN568">
        <v>4</v>
      </c>
      <c r="AO568">
        <v>16</v>
      </c>
      <c r="AP568">
        <v>7</v>
      </c>
      <c r="AQ568">
        <v>18</v>
      </c>
      <c r="AR568">
        <v>9</v>
      </c>
      <c r="AS568">
        <v>5</v>
      </c>
    </row>
    <row r="569" spans="1:45" x14ac:dyDescent="0.25">
      <c r="A569">
        <v>2</v>
      </c>
      <c r="B569" t="s">
        <v>383</v>
      </c>
      <c r="C569">
        <v>1.2</v>
      </c>
      <c r="D569">
        <v>1.4</v>
      </c>
      <c r="E569" t="s">
        <v>387</v>
      </c>
      <c r="U569">
        <v>468</v>
      </c>
      <c r="V569">
        <v>17</v>
      </c>
      <c r="W569">
        <v>13</v>
      </c>
      <c r="X569">
        <v>10</v>
      </c>
      <c r="Y569">
        <v>12</v>
      </c>
      <c r="Z569">
        <v>14</v>
      </c>
      <c r="AA569">
        <v>20</v>
      </c>
      <c r="AB569">
        <v>7</v>
      </c>
      <c r="AC569">
        <v>2</v>
      </c>
      <c r="AD569">
        <v>3</v>
      </c>
      <c r="AE569">
        <v>1</v>
      </c>
      <c r="AF569">
        <v>11</v>
      </c>
      <c r="AG569">
        <v>18</v>
      </c>
      <c r="AH569">
        <v>15</v>
      </c>
      <c r="AI569">
        <v>16</v>
      </c>
      <c r="AJ569">
        <v>9</v>
      </c>
      <c r="AK569">
        <v>23</v>
      </c>
      <c r="AL569">
        <v>24</v>
      </c>
      <c r="AM569">
        <v>22</v>
      </c>
      <c r="AN569">
        <v>4</v>
      </c>
      <c r="AO569">
        <v>21</v>
      </c>
      <c r="AP569">
        <v>6</v>
      </c>
      <c r="AQ569">
        <v>19</v>
      </c>
      <c r="AR569">
        <v>8</v>
      </c>
      <c r="AS569">
        <v>5</v>
      </c>
    </row>
    <row r="570" spans="1:45" x14ac:dyDescent="0.25">
      <c r="A570">
        <v>2</v>
      </c>
      <c r="B570" t="s">
        <v>401</v>
      </c>
      <c r="C570">
        <v>1.9</v>
      </c>
      <c r="D570">
        <v>2.1</v>
      </c>
      <c r="E570" t="s">
        <v>399</v>
      </c>
      <c r="U570">
        <v>469</v>
      </c>
      <c r="V570">
        <v>20</v>
      </c>
      <c r="W570">
        <v>8</v>
      </c>
      <c r="X570">
        <v>16</v>
      </c>
      <c r="Y570">
        <v>10</v>
      </c>
      <c r="Z570">
        <v>13</v>
      </c>
      <c r="AA570">
        <v>21</v>
      </c>
      <c r="AB570">
        <v>7</v>
      </c>
      <c r="AC570">
        <v>2</v>
      </c>
      <c r="AD570">
        <v>4</v>
      </c>
      <c r="AE570">
        <v>1</v>
      </c>
      <c r="AF570">
        <v>11</v>
      </c>
      <c r="AG570">
        <v>14</v>
      </c>
      <c r="AH570">
        <v>12</v>
      </c>
      <c r="AI570">
        <v>17</v>
      </c>
      <c r="AJ570">
        <v>15</v>
      </c>
      <c r="AK570">
        <v>22</v>
      </c>
      <c r="AL570">
        <v>24</v>
      </c>
      <c r="AM570">
        <v>23</v>
      </c>
      <c r="AN570">
        <v>3</v>
      </c>
      <c r="AO570">
        <v>19</v>
      </c>
      <c r="AP570">
        <v>6</v>
      </c>
      <c r="AQ570">
        <v>18</v>
      </c>
      <c r="AR570">
        <v>9</v>
      </c>
      <c r="AS570">
        <v>5</v>
      </c>
    </row>
    <row r="571" spans="1:45" x14ac:dyDescent="0.25">
      <c r="A571">
        <v>2</v>
      </c>
      <c r="B571" t="s">
        <v>381</v>
      </c>
      <c r="C571">
        <v>2</v>
      </c>
      <c r="D571">
        <v>1.3</v>
      </c>
      <c r="E571" t="s">
        <v>393</v>
      </c>
      <c r="U571">
        <v>470</v>
      </c>
      <c r="V571">
        <v>14</v>
      </c>
      <c r="W571">
        <v>15</v>
      </c>
      <c r="X571">
        <v>12</v>
      </c>
      <c r="Y571">
        <v>9</v>
      </c>
      <c r="Z571">
        <v>17</v>
      </c>
      <c r="AA571">
        <v>18</v>
      </c>
      <c r="AB571">
        <v>5</v>
      </c>
      <c r="AC571">
        <v>2</v>
      </c>
      <c r="AD571">
        <v>3</v>
      </c>
      <c r="AE571">
        <v>1</v>
      </c>
      <c r="AF571">
        <v>11</v>
      </c>
      <c r="AG571">
        <v>21</v>
      </c>
      <c r="AH571">
        <v>13</v>
      </c>
      <c r="AI571">
        <v>16</v>
      </c>
      <c r="AJ571">
        <v>6</v>
      </c>
      <c r="AK571">
        <v>20</v>
      </c>
      <c r="AL571">
        <v>24</v>
      </c>
      <c r="AM571">
        <v>23</v>
      </c>
      <c r="AN571">
        <v>4</v>
      </c>
      <c r="AO571">
        <v>22</v>
      </c>
      <c r="AP571">
        <v>8</v>
      </c>
      <c r="AQ571">
        <v>19</v>
      </c>
      <c r="AR571">
        <v>10</v>
      </c>
      <c r="AS571">
        <v>7</v>
      </c>
    </row>
    <row r="572" spans="1:45" x14ac:dyDescent="0.25">
      <c r="A572">
        <v>2</v>
      </c>
      <c r="B572" t="s">
        <v>400</v>
      </c>
      <c r="C572">
        <v>1.2</v>
      </c>
      <c r="D572">
        <v>1</v>
      </c>
      <c r="E572" t="s">
        <v>391</v>
      </c>
      <c r="U572">
        <v>471</v>
      </c>
      <c r="V572">
        <v>13</v>
      </c>
      <c r="W572">
        <v>12</v>
      </c>
      <c r="X572">
        <v>17</v>
      </c>
      <c r="Y572">
        <v>9</v>
      </c>
      <c r="Z572">
        <v>19</v>
      </c>
      <c r="AA572">
        <v>20</v>
      </c>
      <c r="AB572">
        <v>6</v>
      </c>
      <c r="AC572">
        <v>3</v>
      </c>
      <c r="AD572">
        <v>2</v>
      </c>
      <c r="AE572">
        <v>1</v>
      </c>
      <c r="AF572">
        <v>15</v>
      </c>
      <c r="AG572">
        <v>18</v>
      </c>
      <c r="AH572">
        <v>16</v>
      </c>
      <c r="AI572">
        <v>10</v>
      </c>
      <c r="AJ572">
        <v>11</v>
      </c>
      <c r="AK572">
        <v>22</v>
      </c>
      <c r="AL572">
        <v>24</v>
      </c>
      <c r="AM572">
        <v>23</v>
      </c>
      <c r="AN572">
        <v>4</v>
      </c>
      <c r="AO572">
        <v>21</v>
      </c>
      <c r="AP572">
        <v>8</v>
      </c>
      <c r="AQ572">
        <v>14</v>
      </c>
      <c r="AR572">
        <v>5</v>
      </c>
      <c r="AS572">
        <v>7</v>
      </c>
    </row>
    <row r="573" spans="1:45" x14ac:dyDescent="0.25">
      <c r="A573">
        <v>2</v>
      </c>
      <c r="B573" t="s">
        <v>385</v>
      </c>
      <c r="C573">
        <v>2</v>
      </c>
      <c r="D573">
        <v>0.6</v>
      </c>
      <c r="E573" t="s">
        <v>397</v>
      </c>
      <c r="U573">
        <v>472</v>
      </c>
      <c r="V573">
        <v>11</v>
      </c>
      <c r="W573">
        <v>6</v>
      </c>
      <c r="X573">
        <v>8</v>
      </c>
      <c r="Y573">
        <v>20</v>
      </c>
      <c r="Z573">
        <v>15</v>
      </c>
      <c r="AA573">
        <v>23</v>
      </c>
      <c r="AB573">
        <v>5</v>
      </c>
      <c r="AC573">
        <v>2</v>
      </c>
      <c r="AD573">
        <v>3</v>
      </c>
      <c r="AE573">
        <v>1</v>
      </c>
      <c r="AF573">
        <v>16</v>
      </c>
      <c r="AG573">
        <v>19</v>
      </c>
      <c r="AH573">
        <v>7</v>
      </c>
      <c r="AI573">
        <v>12</v>
      </c>
      <c r="AJ573">
        <v>17</v>
      </c>
      <c r="AK573">
        <v>21</v>
      </c>
      <c r="AL573">
        <v>24</v>
      </c>
      <c r="AM573">
        <v>22</v>
      </c>
      <c r="AN573">
        <v>4</v>
      </c>
      <c r="AO573">
        <v>18</v>
      </c>
      <c r="AP573">
        <v>10</v>
      </c>
      <c r="AQ573">
        <v>13</v>
      </c>
      <c r="AR573">
        <v>14</v>
      </c>
      <c r="AS573">
        <v>9</v>
      </c>
    </row>
    <row r="574" spans="1:45" x14ac:dyDescent="0.25">
      <c r="A574">
        <v>2</v>
      </c>
      <c r="B574" t="s">
        <v>392</v>
      </c>
      <c r="C574">
        <v>0.7</v>
      </c>
      <c r="D574">
        <v>1.6</v>
      </c>
      <c r="E574" t="s">
        <v>398</v>
      </c>
      <c r="U574">
        <v>473</v>
      </c>
      <c r="V574">
        <v>7</v>
      </c>
      <c r="W574">
        <v>15</v>
      </c>
      <c r="X574">
        <v>20</v>
      </c>
      <c r="Y574">
        <v>14</v>
      </c>
      <c r="Z574">
        <v>16</v>
      </c>
      <c r="AA574">
        <v>21</v>
      </c>
      <c r="AB574">
        <v>5</v>
      </c>
      <c r="AC574">
        <v>2</v>
      </c>
      <c r="AD574">
        <v>4</v>
      </c>
      <c r="AE574">
        <v>1</v>
      </c>
      <c r="AF574">
        <v>10</v>
      </c>
      <c r="AG574">
        <v>18</v>
      </c>
      <c r="AH574">
        <v>13</v>
      </c>
      <c r="AI574">
        <v>12</v>
      </c>
      <c r="AJ574">
        <v>9</v>
      </c>
      <c r="AK574">
        <v>22</v>
      </c>
      <c r="AL574">
        <v>24</v>
      </c>
      <c r="AM574">
        <v>23</v>
      </c>
      <c r="AN574">
        <v>3</v>
      </c>
      <c r="AO574">
        <v>19</v>
      </c>
      <c r="AP574">
        <v>11</v>
      </c>
      <c r="AQ574">
        <v>17</v>
      </c>
      <c r="AR574">
        <v>8</v>
      </c>
      <c r="AS574">
        <v>6</v>
      </c>
    </row>
    <row r="575" spans="1:45" x14ac:dyDescent="0.25">
      <c r="A575">
        <v>2</v>
      </c>
      <c r="B575" t="s">
        <v>394</v>
      </c>
      <c r="C575">
        <v>0.7</v>
      </c>
      <c r="D575">
        <v>2.6</v>
      </c>
      <c r="E575" t="s">
        <v>379</v>
      </c>
      <c r="U575">
        <v>474</v>
      </c>
      <c r="V575">
        <v>16</v>
      </c>
      <c r="W575">
        <v>14</v>
      </c>
      <c r="X575">
        <v>12</v>
      </c>
      <c r="Y575">
        <v>11</v>
      </c>
      <c r="Z575">
        <v>20</v>
      </c>
      <c r="AA575">
        <v>21</v>
      </c>
      <c r="AB575">
        <v>6</v>
      </c>
      <c r="AC575">
        <v>2</v>
      </c>
      <c r="AD575">
        <v>5</v>
      </c>
      <c r="AE575">
        <v>1</v>
      </c>
      <c r="AF575">
        <v>8</v>
      </c>
      <c r="AG575">
        <v>19</v>
      </c>
      <c r="AH575">
        <v>9</v>
      </c>
      <c r="AI575">
        <v>15</v>
      </c>
      <c r="AJ575">
        <v>13</v>
      </c>
      <c r="AK575">
        <v>22</v>
      </c>
      <c r="AL575">
        <v>23</v>
      </c>
      <c r="AM575">
        <v>24</v>
      </c>
      <c r="AN575">
        <v>3</v>
      </c>
      <c r="AO575">
        <v>18</v>
      </c>
      <c r="AP575">
        <v>10</v>
      </c>
      <c r="AQ575">
        <v>17</v>
      </c>
      <c r="AR575">
        <v>7</v>
      </c>
      <c r="AS575">
        <v>4</v>
      </c>
    </row>
    <row r="576" spans="1:45" x14ac:dyDescent="0.25">
      <c r="A576">
        <v>2</v>
      </c>
      <c r="B576" t="s">
        <v>384</v>
      </c>
      <c r="C576">
        <v>2</v>
      </c>
      <c r="D576">
        <v>0.5</v>
      </c>
      <c r="E576" t="s">
        <v>395</v>
      </c>
      <c r="U576">
        <v>475</v>
      </c>
      <c r="V576">
        <v>18</v>
      </c>
      <c r="W576">
        <v>17</v>
      </c>
      <c r="X576">
        <v>11</v>
      </c>
      <c r="Y576">
        <v>13</v>
      </c>
      <c r="Z576">
        <v>12</v>
      </c>
      <c r="AA576">
        <v>14</v>
      </c>
      <c r="AB576">
        <v>5</v>
      </c>
      <c r="AC576">
        <v>2</v>
      </c>
      <c r="AD576">
        <v>3</v>
      </c>
      <c r="AE576">
        <v>1</v>
      </c>
      <c r="AF576">
        <v>16</v>
      </c>
      <c r="AG576">
        <v>19</v>
      </c>
      <c r="AH576">
        <v>9</v>
      </c>
      <c r="AI576">
        <v>15</v>
      </c>
      <c r="AJ576">
        <v>10</v>
      </c>
      <c r="AK576">
        <v>22</v>
      </c>
      <c r="AL576">
        <v>23</v>
      </c>
      <c r="AM576">
        <v>24</v>
      </c>
      <c r="AN576">
        <v>4</v>
      </c>
      <c r="AO576">
        <v>21</v>
      </c>
      <c r="AP576">
        <v>8</v>
      </c>
      <c r="AQ576">
        <v>20</v>
      </c>
      <c r="AR576">
        <v>7</v>
      </c>
      <c r="AS576">
        <v>6</v>
      </c>
    </row>
    <row r="577" spans="1:45" x14ac:dyDescent="0.25">
      <c r="A577">
        <v>2</v>
      </c>
      <c r="B577" t="s">
        <v>396</v>
      </c>
      <c r="C577">
        <v>3.7</v>
      </c>
      <c r="D577">
        <v>2</v>
      </c>
      <c r="E577" t="s">
        <v>390</v>
      </c>
      <c r="U577">
        <v>476</v>
      </c>
      <c r="V577">
        <v>15</v>
      </c>
      <c r="W577">
        <v>11</v>
      </c>
      <c r="X577">
        <v>18</v>
      </c>
      <c r="Y577">
        <v>13</v>
      </c>
      <c r="Z577">
        <v>17</v>
      </c>
      <c r="AA577">
        <v>23</v>
      </c>
      <c r="AB577">
        <v>5</v>
      </c>
      <c r="AC577">
        <v>2</v>
      </c>
      <c r="AD577">
        <v>4</v>
      </c>
      <c r="AE577">
        <v>1</v>
      </c>
      <c r="AF577">
        <v>6</v>
      </c>
      <c r="AG577">
        <v>21</v>
      </c>
      <c r="AH577">
        <v>10</v>
      </c>
      <c r="AI577">
        <v>14</v>
      </c>
      <c r="AJ577">
        <v>12</v>
      </c>
      <c r="AK577">
        <v>20</v>
      </c>
      <c r="AL577">
        <v>24</v>
      </c>
      <c r="AM577">
        <v>22</v>
      </c>
      <c r="AN577">
        <v>3</v>
      </c>
      <c r="AO577">
        <v>19</v>
      </c>
      <c r="AP577">
        <v>9</v>
      </c>
      <c r="AQ577">
        <v>16</v>
      </c>
      <c r="AR577">
        <v>7</v>
      </c>
      <c r="AS577">
        <v>8</v>
      </c>
    </row>
    <row r="578" spans="1:45" x14ac:dyDescent="0.25">
      <c r="A578">
        <v>2</v>
      </c>
      <c r="B578" t="s">
        <v>389</v>
      </c>
      <c r="C578">
        <v>0.5</v>
      </c>
      <c r="D578">
        <v>0.9</v>
      </c>
      <c r="E578" t="s">
        <v>380</v>
      </c>
      <c r="U578">
        <v>477</v>
      </c>
      <c r="V578">
        <v>18</v>
      </c>
      <c r="W578">
        <v>11</v>
      </c>
      <c r="X578">
        <v>15</v>
      </c>
      <c r="Y578">
        <v>9</v>
      </c>
      <c r="Z578">
        <v>16</v>
      </c>
      <c r="AA578">
        <v>21</v>
      </c>
      <c r="AB578">
        <v>7</v>
      </c>
      <c r="AC578">
        <v>2</v>
      </c>
      <c r="AD578">
        <v>3</v>
      </c>
      <c r="AE578">
        <v>1</v>
      </c>
      <c r="AF578">
        <v>10</v>
      </c>
      <c r="AG578">
        <v>19</v>
      </c>
      <c r="AH578">
        <v>14</v>
      </c>
      <c r="AI578">
        <v>17</v>
      </c>
      <c r="AJ578">
        <v>8</v>
      </c>
      <c r="AK578">
        <v>23</v>
      </c>
      <c r="AL578">
        <v>22</v>
      </c>
      <c r="AM578">
        <v>24</v>
      </c>
      <c r="AN578">
        <v>4</v>
      </c>
      <c r="AO578">
        <v>20</v>
      </c>
      <c r="AP578">
        <v>12</v>
      </c>
      <c r="AQ578">
        <v>13</v>
      </c>
      <c r="AR578">
        <v>5</v>
      </c>
      <c r="AS578">
        <v>6</v>
      </c>
    </row>
    <row r="579" spans="1:45" x14ac:dyDescent="0.25">
      <c r="A579">
        <v>2</v>
      </c>
      <c r="B579" t="s">
        <v>378</v>
      </c>
      <c r="C579">
        <v>1.6</v>
      </c>
      <c r="D579">
        <v>0.4</v>
      </c>
      <c r="E579" t="s">
        <v>386</v>
      </c>
      <c r="U579">
        <v>478</v>
      </c>
      <c r="V579">
        <v>12</v>
      </c>
      <c r="W579">
        <v>14</v>
      </c>
      <c r="X579">
        <v>10</v>
      </c>
      <c r="Y579">
        <v>9</v>
      </c>
      <c r="Z579">
        <v>17</v>
      </c>
      <c r="AA579">
        <v>19</v>
      </c>
      <c r="AB579">
        <v>5</v>
      </c>
      <c r="AC579">
        <v>4</v>
      </c>
      <c r="AD579">
        <v>2</v>
      </c>
      <c r="AE579">
        <v>1</v>
      </c>
      <c r="AF579">
        <v>11</v>
      </c>
      <c r="AG579">
        <v>22</v>
      </c>
      <c r="AH579">
        <v>13</v>
      </c>
      <c r="AI579">
        <v>18</v>
      </c>
      <c r="AJ579">
        <v>16</v>
      </c>
      <c r="AK579">
        <v>21</v>
      </c>
      <c r="AL579">
        <v>24</v>
      </c>
      <c r="AM579">
        <v>23</v>
      </c>
      <c r="AN579">
        <v>3</v>
      </c>
      <c r="AO579">
        <v>15</v>
      </c>
      <c r="AP579">
        <v>6</v>
      </c>
      <c r="AQ579">
        <v>20</v>
      </c>
      <c r="AR579">
        <v>8</v>
      </c>
      <c r="AS579">
        <v>7</v>
      </c>
    </row>
    <row r="580" spans="1:45" x14ac:dyDescent="0.25">
      <c r="A580">
        <v>3</v>
      </c>
      <c r="B580" t="s">
        <v>386</v>
      </c>
      <c r="C580">
        <v>1.8</v>
      </c>
      <c r="D580">
        <v>0.3</v>
      </c>
      <c r="E580" t="s">
        <v>401</v>
      </c>
      <c r="U580">
        <v>479</v>
      </c>
      <c r="V580">
        <v>9</v>
      </c>
      <c r="W580">
        <v>11</v>
      </c>
      <c r="X580">
        <v>14</v>
      </c>
      <c r="Y580">
        <v>16</v>
      </c>
      <c r="Z580">
        <v>12</v>
      </c>
      <c r="AA580">
        <v>22</v>
      </c>
      <c r="AB580">
        <v>5</v>
      </c>
      <c r="AC580">
        <v>2</v>
      </c>
      <c r="AD580">
        <v>4</v>
      </c>
      <c r="AE580">
        <v>1</v>
      </c>
      <c r="AF580">
        <v>17</v>
      </c>
      <c r="AG580">
        <v>19</v>
      </c>
      <c r="AH580">
        <v>7</v>
      </c>
      <c r="AI580">
        <v>18</v>
      </c>
      <c r="AJ580">
        <v>15</v>
      </c>
      <c r="AK580">
        <v>21</v>
      </c>
      <c r="AL580">
        <v>23</v>
      </c>
      <c r="AM580">
        <v>24</v>
      </c>
      <c r="AN580">
        <v>3</v>
      </c>
      <c r="AO580">
        <v>20</v>
      </c>
      <c r="AP580">
        <v>10</v>
      </c>
      <c r="AQ580">
        <v>13</v>
      </c>
      <c r="AR580">
        <v>8</v>
      </c>
      <c r="AS580">
        <v>6</v>
      </c>
    </row>
    <row r="581" spans="1:45" x14ac:dyDescent="0.25">
      <c r="A581">
        <v>3</v>
      </c>
      <c r="B581" t="s">
        <v>391</v>
      </c>
      <c r="C581">
        <v>1.4</v>
      </c>
      <c r="D581">
        <v>2</v>
      </c>
      <c r="E581" t="s">
        <v>396</v>
      </c>
      <c r="U581">
        <v>480</v>
      </c>
      <c r="V581">
        <v>10</v>
      </c>
      <c r="W581">
        <v>17</v>
      </c>
      <c r="X581">
        <v>20</v>
      </c>
      <c r="Y581">
        <v>14</v>
      </c>
      <c r="Z581">
        <v>15</v>
      </c>
      <c r="AA581">
        <v>22</v>
      </c>
      <c r="AB581">
        <v>7</v>
      </c>
      <c r="AC581">
        <v>2</v>
      </c>
      <c r="AD581">
        <v>4</v>
      </c>
      <c r="AE581">
        <v>1</v>
      </c>
      <c r="AF581">
        <v>9</v>
      </c>
      <c r="AG581">
        <v>16</v>
      </c>
      <c r="AH581">
        <v>12</v>
      </c>
      <c r="AI581">
        <v>13</v>
      </c>
      <c r="AJ581">
        <v>8</v>
      </c>
      <c r="AK581">
        <v>19</v>
      </c>
      <c r="AL581">
        <v>24</v>
      </c>
      <c r="AM581">
        <v>23</v>
      </c>
      <c r="AN581">
        <v>3</v>
      </c>
      <c r="AO581">
        <v>21</v>
      </c>
      <c r="AP581">
        <v>11</v>
      </c>
      <c r="AQ581">
        <v>18</v>
      </c>
      <c r="AR581">
        <v>6</v>
      </c>
      <c r="AS581">
        <v>5</v>
      </c>
    </row>
    <row r="582" spans="1:45" x14ac:dyDescent="0.25">
      <c r="A582">
        <v>3</v>
      </c>
      <c r="B582" t="s">
        <v>387</v>
      </c>
      <c r="C582">
        <v>0.7</v>
      </c>
      <c r="D582">
        <v>1.1000000000000001</v>
      </c>
      <c r="E582" t="s">
        <v>381</v>
      </c>
      <c r="U582">
        <v>481</v>
      </c>
      <c r="V582">
        <v>16</v>
      </c>
      <c r="W582">
        <v>8</v>
      </c>
      <c r="X582">
        <v>17</v>
      </c>
      <c r="Y582">
        <v>18</v>
      </c>
      <c r="Z582">
        <v>13</v>
      </c>
      <c r="AA582">
        <v>19</v>
      </c>
      <c r="AB582">
        <v>5</v>
      </c>
      <c r="AC582">
        <v>2</v>
      </c>
      <c r="AD582">
        <v>3</v>
      </c>
      <c r="AE582">
        <v>1</v>
      </c>
      <c r="AF582">
        <v>11</v>
      </c>
      <c r="AG582">
        <v>20</v>
      </c>
      <c r="AH582">
        <v>10</v>
      </c>
      <c r="AI582">
        <v>15</v>
      </c>
      <c r="AJ582">
        <v>12</v>
      </c>
      <c r="AK582">
        <v>22</v>
      </c>
      <c r="AL582">
        <v>23</v>
      </c>
      <c r="AM582">
        <v>24</v>
      </c>
      <c r="AN582">
        <v>6</v>
      </c>
      <c r="AO582">
        <v>21</v>
      </c>
      <c r="AP582">
        <v>7</v>
      </c>
      <c r="AQ582">
        <v>14</v>
      </c>
      <c r="AR582">
        <v>9</v>
      </c>
      <c r="AS582">
        <v>4</v>
      </c>
    </row>
    <row r="583" spans="1:45" x14ac:dyDescent="0.25">
      <c r="A583">
        <v>3</v>
      </c>
      <c r="B583" t="s">
        <v>397</v>
      </c>
      <c r="C583">
        <v>0.9</v>
      </c>
      <c r="D583">
        <v>0.7</v>
      </c>
      <c r="E583" t="s">
        <v>400</v>
      </c>
      <c r="U583">
        <v>482</v>
      </c>
      <c r="V583">
        <v>9</v>
      </c>
      <c r="W583">
        <v>10</v>
      </c>
      <c r="X583">
        <v>13</v>
      </c>
      <c r="Y583">
        <v>14</v>
      </c>
      <c r="Z583">
        <v>15</v>
      </c>
      <c r="AA583">
        <v>22</v>
      </c>
      <c r="AB583">
        <v>5</v>
      </c>
      <c r="AC583">
        <v>2</v>
      </c>
      <c r="AD583">
        <v>4</v>
      </c>
      <c r="AE583">
        <v>1</v>
      </c>
      <c r="AF583">
        <v>8</v>
      </c>
      <c r="AG583">
        <v>20</v>
      </c>
      <c r="AH583">
        <v>11</v>
      </c>
      <c r="AI583">
        <v>16</v>
      </c>
      <c r="AJ583">
        <v>18</v>
      </c>
      <c r="AK583">
        <v>19</v>
      </c>
      <c r="AL583">
        <v>24</v>
      </c>
      <c r="AM583">
        <v>23</v>
      </c>
      <c r="AN583">
        <v>3</v>
      </c>
      <c r="AO583">
        <v>21</v>
      </c>
      <c r="AP583">
        <v>12</v>
      </c>
      <c r="AQ583">
        <v>17</v>
      </c>
      <c r="AR583">
        <v>6</v>
      </c>
      <c r="AS583">
        <v>7</v>
      </c>
    </row>
    <row r="584" spans="1:45" x14ac:dyDescent="0.25">
      <c r="A584">
        <v>3</v>
      </c>
      <c r="B584" t="s">
        <v>380</v>
      </c>
      <c r="C584">
        <v>0.8</v>
      </c>
      <c r="D584">
        <v>1.3</v>
      </c>
      <c r="E584" t="s">
        <v>378</v>
      </c>
      <c r="U584">
        <v>483</v>
      </c>
      <c r="V584">
        <v>14</v>
      </c>
      <c r="W584">
        <v>8</v>
      </c>
      <c r="X584">
        <v>16</v>
      </c>
      <c r="Y584">
        <v>18</v>
      </c>
      <c r="Z584">
        <v>13</v>
      </c>
      <c r="AA584">
        <v>20</v>
      </c>
      <c r="AB584">
        <v>7</v>
      </c>
      <c r="AC584">
        <v>2</v>
      </c>
      <c r="AD584">
        <v>3</v>
      </c>
      <c r="AE584">
        <v>1</v>
      </c>
      <c r="AF584">
        <v>11</v>
      </c>
      <c r="AG584">
        <v>19</v>
      </c>
      <c r="AH584">
        <v>6</v>
      </c>
      <c r="AI584">
        <v>15</v>
      </c>
      <c r="AJ584">
        <v>12</v>
      </c>
      <c r="AK584">
        <v>21</v>
      </c>
      <c r="AL584">
        <v>23</v>
      </c>
      <c r="AM584">
        <v>24</v>
      </c>
      <c r="AN584">
        <v>4</v>
      </c>
      <c r="AO584">
        <v>22</v>
      </c>
      <c r="AP584">
        <v>10</v>
      </c>
      <c r="AQ584">
        <v>17</v>
      </c>
      <c r="AR584">
        <v>5</v>
      </c>
      <c r="AS584">
        <v>9</v>
      </c>
    </row>
    <row r="585" spans="1:45" x14ac:dyDescent="0.25">
      <c r="A585">
        <v>3</v>
      </c>
      <c r="B585" t="s">
        <v>388</v>
      </c>
      <c r="C585">
        <v>2</v>
      </c>
      <c r="D585">
        <v>1.2</v>
      </c>
      <c r="E585" t="s">
        <v>383</v>
      </c>
      <c r="U585">
        <v>484</v>
      </c>
      <c r="V585">
        <v>13</v>
      </c>
      <c r="W585">
        <v>8</v>
      </c>
      <c r="X585">
        <v>19</v>
      </c>
      <c r="Y585">
        <v>7</v>
      </c>
      <c r="Z585">
        <v>12</v>
      </c>
      <c r="AA585">
        <v>18</v>
      </c>
      <c r="AB585">
        <v>6</v>
      </c>
      <c r="AC585">
        <v>2</v>
      </c>
      <c r="AD585">
        <v>4</v>
      </c>
      <c r="AE585">
        <v>1</v>
      </c>
      <c r="AF585">
        <v>15</v>
      </c>
      <c r="AG585">
        <v>16</v>
      </c>
      <c r="AH585">
        <v>10</v>
      </c>
      <c r="AI585">
        <v>21</v>
      </c>
      <c r="AJ585">
        <v>14</v>
      </c>
      <c r="AK585">
        <v>22</v>
      </c>
      <c r="AL585">
        <v>24</v>
      </c>
      <c r="AM585">
        <v>23</v>
      </c>
      <c r="AN585">
        <v>3</v>
      </c>
      <c r="AO585">
        <v>20</v>
      </c>
      <c r="AP585">
        <v>9</v>
      </c>
      <c r="AQ585">
        <v>17</v>
      </c>
      <c r="AR585">
        <v>11</v>
      </c>
      <c r="AS585">
        <v>5</v>
      </c>
    </row>
    <row r="586" spans="1:45" x14ac:dyDescent="0.25">
      <c r="A586">
        <v>3</v>
      </c>
      <c r="B586" t="s">
        <v>399</v>
      </c>
      <c r="C586">
        <v>0.7</v>
      </c>
      <c r="D586">
        <v>0.9</v>
      </c>
      <c r="E586" t="s">
        <v>382</v>
      </c>
      <c r="U586">
        <v>485</v>
      </c>
      <c r="V586">
        <v>13</v>
      </c>
      <c r="W586">
        <v>9</v>
      </c>
      <c r="X586">
        <v>15</v>
      </c>
      <c r="Y586">
        <v>17</v>
      </c>
      <c r="Z586">
        <v>8</v>
      </c>
      <c r="AA586">
        <v>20</v>
      </c>
      <c r="AB586">
        <v>5</v>
      </c>
      <c r="AC586">
        <v>2</v>
      </c>
      <c r="AD586">
        <v>3</v>
      </c>
      <c r="AE586">
        <v>1</v>
      </c>
      <c r="AF586">
        <v>12</v>
      </c>
      <c r="AG586">
        <v>19</v>
      </c>
      <c r="AH586">
        <v>18</v>
      </c>
      <c r="AI586">
        <v>7</v>
      </c>
      <c r="AJ586">
        <v>16</v>
      </c>
      <c r="AK586">
        <v>21</v>
      </c>
      <c r="AL586">
        <v>24</v>
      </c>
      <c r="AM586">
        <v>23</v>
      </c>
      <c r="AN586">
        <v>4</v>
      </c>
      <c r="AO586">
        <v>22</v>
      </c>
      <c r="AP586">
        <v>11</v>
      </c>
      <c r="AQ586">
        <v>14</v>
      </c>
      <c r="AR586">
        <v>10</v>
      </c>
      <c r="AS586">
        <v>6</v>
      </c>
    </row>
    <row r="587" spans="1:45" x14ac:dyDescent="0.25">
      <c r="A587">
        <v>3</v>
      </c>
      <c r="B587" t="s">
        <v>393</v>
      </c>
      <c r="C587">
        <v>0.9</v>
      </c>
      <c r="D587">
        <v>1.3</v>
      </c>
      <c r="E587" t="s">
        <v>385</v>
      </c>
      <c r="U587">
        <v>486</v>
      </c>
      <c r="V587">
        <v>15</v>
      </c>
      <c r="W587">
        <v>12</v>
      </c>
      <c r="X587">
        <v>19</v>
      </c>
      <c r="Y587">
        <v>10</v>
      </c>
      <c r="Z587">
        <v>14</v>
      </c>
      <c r="AA587">
        <v>20</v>
      </c>
      <c r="AB587">
        <v>3</v>
      </c>
      <c r="AC587">
        <v>2</v>
      </c>
      <c r="AD587">
        <v>5</v>
      </c>
      <c r="AE587">
        <v>1</v>
      </c>
      <c r="AF587">
        <v>11</v>
      </c>
      <c r="AG587">
        <v>17</v>
      </c>
      <c r="AH587">
        <v>9</v>
      </c>
      <c r="AI587">
        <v>18</v>
      </c>
      <c r="AJ587">
        <v>8</v>
      </c>
      <c r="AK587">
        <v>21</v>
      </c>
      <c r="AL587">
        <v>24</v>
      </c>
      <c r="AM587">
        <v>23</v>
      </c>
      <c r="AN587">
        <v>4</v>
      </c>
      <c r="AO587">
        <v>22</v>
      </c>
      <c r="AP587">
        <v>13</v>
      </c>
      <c r="AQ587">
        <v>16</v>
      </c>
      <c r="AR587">
        <v>6</v>
      </c>
      <c r="AS587">
        <v>7</v>
      </c>
    </row>
    <row r="588" spans="1:45" x14ac:dyDescent="0.25">
      <c r="A588">
        <v>3</v>
      </c>
      <c r="B588" t="s">
        <v>398</v>
      </c>
      <c r="C588">
        <v>1.4</v>
      </c>
      <c r="D588">
        <v>0.6</v>
      </c>
      <c r="E588" t="s">
        <v>394</v>
      </c>
      <c r="U588">
        <v>487</v>
      </c>
      <c r="V588">
        <v>19</v>
      </c>
      <c r="W588">
        <v>11</v>
      </c>
      <c r="X588">
        <v>14</v>
      </c>
      <c r="Y588">
        <v>13</v>
      </c>
      <c r="Z588">
        <v>15</v>
      </c>
      <c r="AA588">
        <v>22</v>
      </c>
      <c r="AB588">
        <v>5</v>
      </c>
      <c r="AC588">
        <v>2</v>
      </c>
      <c r="AD588">
        <v>3</v>
      </c>
      <c r="AE588">
        <v>1</v>
      </c>
      <c r="AF588">
        <v>8</v>
      </c>
      <c r="AG588">
        <v>21</v>
      </c>
      <c r="AH588">
        <v>12</v>
      </c>
      <c r="AI588">
        <v>9</v>
      </c>
      <c r="AJ588">
        <v>17</v>
      </c>
      <c r="AK588">
        <v>20</v>
      </c>
      <c r="AL588">
        <v>24</v>
      </c>
      <c r="AM588">
        <v>23</v>
      </c>
      <c r="AN588">
        <v>4</v>
      </c>
      <c r="AO588">
        <v>16</v>
      </c>
      <c r="AP588">
        <v>10</v>
      </c>
      <c r="AQ588">
        <v>18</v>
      </c>
      <c r="AR588">
        <v>7</v>
      </c>
      <c r="AS588">
        <v>6</v>
      </c>
    </row>
    <row r="589" spans="1:45" x14ac:dyDescent="0.25">
      <c r="A589">
        <v>3</v>
      </c>
      <c r="B589" t="s">
        <v>379</v>
      </c>
      <c r="C589">
        <v>1.6</v>
      </c>
      <c r="D589">
        <v>2.1</v>
      </c>
      <c r="E589" t="s">
        <v>384</v>
      </c>
      <c r="U589">
        <v>488</v>
      </c>
      <c r="V589">
        <v>22</v>
      </c>
      <c r="W589">
        <v>15</v>
      </c>
      <c r="X589">
        <v>9</v>
      </c>
      <c r="Y589">
        <v>11</v>
      </c>
      <c r="Z589">
        <v>10</v>
      </c>
      <c r="AA589">
        <v>20</v>
      </c>
      <c r="AB589">
        <v>8</v>
      </c>
      <c r="AC589">
        <v>1</v>
      </c>
      <c r="AD589">
        <v>3</v>
      </c>
      <c r="AE589">
        <v>2</v>
      </c>
      <c r="AF589">
        <v>14</v>
      </c>
      <c r="AG589">
        <v>18</v>
      </c>
      <c r="AH589">
        <v>16</v>
      </c>
      <c r="AI589">
        <v>13</v>
      </c>
      <c r="AJ589">
        <v>12</v>
      </c>
      <c r="AK589">
        <v>21</v>
      </c>
      <c r="AL589">
        <v>24</v>
      </c>
      <c r="AM589">
        <v>23</v>
      </c>
      <c r="AN589">
        <v>5</v>
      </c>
      <c r="AO589">
        <v>19</v>
      </c>
      <c r="AP589">
        <v>7</v>
      </c>
      <c r="AQ589">
        <v>17</v>
      </c>
      <c r="AR589">
        <v>6</v>
      </c>
      <c r="AS589">
        <v>4</v>
      </c>
    </row>
    <row r="590" spans="1:45" x14ac:dyDescent="0.25">
      <c r="A590">
        <v>3</v>
      </c>
      <c r="B590" t="s">
        <v>395</v>
      </c>
      <c r="C590">
        <v>0.5</v>
      </c>
      <c r="D590">
        <v>0.4</v>
      </c>
      <c r="E590" t="s">
        <v>392</v>
      </c>
      <c r="U590">
        <v>489</v>
      </c>
      <c r="V590">
        <v>16</v>
      </c>
      <c r="W590">
        <v>8</v>
      </c>
      <c r="X590">
        <v>12</v>
      </c>
      <c r="Y590">
        <v>15</v>
      </c>
      <c r="Z590">
        <v>17</v>
      </c>
      <c r="AA590">
        <v>19</v>
      </c>
      <c r="AB590">
        <v>9</v>
      </c>
      <c r="AC590">
        <v>2</v>
      </c>
      <c r="AD590">
        <v>3</v>
      </c>
      <c r="AE590">
        <v>1</v>
      </c>
      <c r="AF590">
        <v>10</v>
      </c>
      <c r="AG590">
        <v>20</v>
      </c>
      <c r="AH590">
        <v>11</v>
      </c>
      <c r="AI590">
        <v>18</v>
      </c>
      <c r="AJ590">
        <v>13</v>
      </c>
      <c r="AK590">
        <v>21</v>
      </c>
      <c r="AL590">
        <v>23</v>
      </c>
      <c r="AM590">
        <v>24</v>
      </c>
      <c r="AN590">
        <v>5</v>
      </c>
      <c r="AO590">
        <v>22</v>
      </c>
      <c r="AP590">
        <v>4</v>
      </c>
      <c r="AQ590">
        <v>14</v>
      </c>
      <c r="AR590">
        <v>6</v>
      </c>
      <c r="AS590">
        <v>7</v>
      </c>
    </row>
    <row r="591" spans="1:45" x14ac:dyDescent="0.25">
      <c r="A591">
        <v>3</v>
      </c>
      <c r="B591" t="s">
        <v>390</v>
      </c>
      <c r="C591">
        <v>1.7</v>
      </c>
      <c r="D591">
        <v>0.5</v>
      </c>
      <c r="E591" t="s">
        <v>389</v>
      </c>
      <c r="U591">
        <v>490</v>
      </c>
      <c r="V591">
        <v>19</v>
      </c>
      <c r="W591">
        <v>14</v>
      </c>
      <c r="X591">
        <v>8</v>
      </c>
      <c r="Y591">
        <v>11</v>
      </c>
      <c r="Z591">
        <v>9</v>
      </c>
      <c r="AA591">
        <v>22</v>
      </c>
      <c r="AB591">
        <v>5</v>
      </c>
      <c r="AC591">
        <v>2</v>
      </c>
      <c r="AD591">
        <v>6</v>
      </c>
      <c r="AE591">
        <v>1</v>
      </c>
      <c r="AF591">
        <v>16</v>
      </c>
      <c r="AG591">
        <v>17</v>
      </c>
      <c r="AH591">
        <v>12</v>
      </c>
      <c r="AI591">
        <v>13</v>
      </c>
      <c r="AJ591">
        <v>15</v>
      </c>
      <c r="AK591">
        <v>21</v>
      </c>
      <c r="AL591">
        <v>24</v>
      </c>
      <c r="AM591">
        <v>23</v>
      </c>
      <c r="AN591">
        <v>3</v>
      </c>
      <c r="AO591">
        <v>20</v>
      </c>
      <c r="AP591">
        <v>10</v>
      </c>
      <c r="AQ591">
        <v>18</v>
      </c>
      <c r="AR591">
        <v>7</v>
      </c>
      <c r="AS591">
        <v>4</v>
      </c>
    </row>
    <row r="592" spans="1:45" x14ac:dyDescent="0.25">
      <c r="A592">
        <v>4</v>
      </c>
      <c r="B592" t="s">
        <v>384</v>
      </c>
      <c r="C592">
        <v>1.5</v>
      </c>
      <c r="D592">
        <v>3.6</v>
      </c>
      <c r="E592" t="s">
        <v>380</v>
      </c>
      <c r="U592">
        <v>491</v>
      </c>
      <c r="V592">
        <v>12</v>
      </c>
      <c r="W592">
        <v>14</v>
      </c>
      <c r="X592">
        <v>8</v>
      </c>
      <c r="Y592">
        <v>11</v>
      </c>
      <c r="Z592">
        <v>15</v>
      </c>
      <c r="AA592">
        <v>17</v>
      </c>
      <c r="AB592">
        <v>5</v>
      </c>
      <c r="AC592">
        <v>2</v>
      </c>
      <c r="AD592">
        <v>3</v>
      </c>
      <c r="AE592">
        <v>1</v>
      </c>
      <c r="AF592">
        <v>13</v>
      </c>
      <c r="AG592">
        <v>22</v>
      </c>
      <c r="AH592">
        <v>16</v>
      </c>
      <c r="AI592">
        <v>19</v>
      </c>
      <c r="AJ592">
        <v>9</v>
      </c>
      <c r="AK592">
        <v>21</v>
      </c>
      <c r="AL592">
        <v>24</v>
      </c>
      <c r="AM592">
        <v>23</v>
      </c>
      <c r="AN592">
        <v>4</v>
      </c>
      <c r="AO592">
        <v>20</v>
      </c>
      <c r="AP592">
        <v>10</v>
      </c>
      <c r="AQ592">
        <v>18</v>
      </c>
      <c r="AR592">
        <v>7</v>
      </c>
      <c r="AS592">
        <v>6</v>
      </c>
    </row>
    <row r="593" spans="1:45" x14ac:dyDescent="0.25">
      <c r="A593">
        <v>4</v>
      </c>
      <c r="B593" t="s">
        <v>392</v>
      </c>
      <c r="C593">
        <v>0.6</v>
      </c>
      <c r="D593">
        <v>0.3</v>
      </c>
      <c r="E593" t="s">
        <v>399</v>
      </c>
      <c r="U593">
        <v>492</v>
      </c>
      <c r="V593">
        <v>11</v>
      </c>
      <c r="W593">
        <v>14</v>
      </c>
      <c r="X593">
        <v>10</v>
      </c>
      <c r="Y593">
        <v>15</v>
      </c>
      <c r="Z593">
        <v>17</v>
      </c>
      <c r="AA593">
        <v>22</v>
      </c>
      <c r="AB593">
        <v>5</v>
      </c>
      <c r="AC593">
        <v>2</v>
      </c>
      <c r="AD593">
        <v>3</v>
      </c>
      <c r="AE593">
        <v>1</v>
      </c>
      <c r="AF593">
        <v>9</v>
      </c>
      <c r="AG593">
        <v>18</v>
      </c>
      <c r="AH593">
        <v>13</v>
      </c>
      <c r="AI593">
        <v>16</v>
      </c>
      <c r="AJ593">
        <v>12</v>
      </c>
      <c r="AK593">
        <v>20</v>
      </c>
      <c r="AL593">
        <v>24</v>
      </c>
      <c r="AM593">
        <v>23</v>
      </c>
      <c r="AN593">
        <v>4</v>
      </c>
      <c r="AO593">
        <v>19</v>
      </c>
      <c r="AP593">
        <v>8</v>
      </c>
      <c r="AQ593">
        <v>21</v>
      </c>
      <c r="AR593">
        <v>7</v>
      </c>
      <c r="AS593">
        <v>6</v>
      </c>
    </row>
    <row r="594" spans="1:45" x14ac:dyDescent="0.25">
      <c r="A594">
        <v>4</v>
      </c>
      <c r="B594" t="s">
        <v>385</v>
      </c>
      <c r="C594">
        <v>2.4</v>
      </c>
      <c r="D594">
        <v>1.6</v>
      </c>
      <c r="E594" t="s">
        <v>386</v>
      </c>
      <c r="U594">
        <v>493</v>
      </c>
      <c r="V594">
        <v>15</v>
      </c>
      <c r="W594">
        <v>8</v>
      </c>
      <c r="X594">
        <v>9</v>
      </c>
      <c r="Y594">
        <v>14</v>
      </c>
      <c r="Z594">
        <v>11</v>
      </c>
      <c r="AA594">
        <v>20</v>
      </c>
      <c r="AB594">
        <v>5</v>
      </c>
      <c r="AC594">
        <v>2</v>
      </c>
      <c r="AD594">
        <v>4</v>
      </c>
      <c r="AE594">
        <v>1</v>
      </c>
      <c r="AF594">
        <v>10</v>
      </c>
      <c r="AG594">
        <v>21</v>
      </c>
      <c r="AH594">
        <v>18</v>
      </c>
      <c r="AI594">
        <v>16</v>
      </c>
      <c r="AJ594">
        <v>13</v>
      </c>
      <c r="AK594">
        <v>22</v>
      </c>
      <c r="AL594">
        <v>24</v>
      </c>
      <c r="AM594">
        <v>23</v>
      </c>
      <c r="AN594">
        <v>3</v>
      </c>
      <c r="AO594">
        <v>19</v>
      </c>
      <c r="AP594">
        <v>12</v>
      </c>
      <c r="AQ594">
        <v>17</v>
      </c>
      <c r="AR594">
        <v>7</v>
      </c>
      <c r="AS594">
        <v>6</v>
      </c>
    </row>
    <row r="595" spans="1:45" x14ac:dyDescent="0.25">
      <c r="A595">
        <v>4</v>
      </c>
      <c r="B595" t="s">
        <v>394</v>
      </c>
      <c r="C595">
        <v>0.6</v>
      </c>
      <c r="D595">
        <v>1.4</v>
      </c>
      <c r="E595" t="s">
        <v>387</v>
      </c>
      <c r="U595">
        <v>494</v>
      </c>
      <c r="V595">
        <v>9</v>
      </c>
      <c r="W595">
        <v>7</v>
      </c>
      <c r="X595">
        <v>13</v>
      </c>
      <c r="Y595" t="e">
        <v>#N/A</v>
      </c>
      <c r="Z595">
        <v>15</v>
      </c>
      <c r="AA595">
        <v>21</v>
      </c>
      <c r="AB595">
        <v>10</v>
      </c>
      <c r="AC595">
        <v>2</v>
      </c>
      <c r="AD595">
        <v>4</v>
      </c>
      <c r="AE595">
        <v>1</v>
      </c>
      <c r="AF595">
        <v>11</v>
      </c>
      <c r="AG595">
        <v>19</v>
      </c>
      <c r="AH595">
        <v>8</v>
      </c>
      <c r="AI595">
        <v>16</v>
      </c>
      <c r="AJ595">
        <v>17</v>
      </c>
      <c r="AK595">
        <v>22</v>
      </c>
      <c r="AL595">
        <v>24</v>
      </c>
      <c r="AM595">
        <v>23</v>
      </c>
      <c r="AN595">
        <v>3</v>
      </c>
      <c r="AO595">
        <v>20</v>
      </c>
      <c r="AP595">
        <v>6</v>
      </c>
      <c r="AQ595">
        <v>18</v>
      </c>
      <c r="AR595">
        <v>12</v>
      </c>
      <c r="AS595">
        <v>5</v>
      </c>
    </row>
    <row r="596" spans="1:45" x14ac:dyDescent="0.25">
      <c r="A596">
        <v>4</v>
      </c>
      <c r="B596" t="s">
        <v>383</v>
      </c>
      <c r="C596">
        <v>1</v>
      </c>
      <c r="D596">
        <v>2.5</v>
      </c>
      <c r="E596" t="s">
        <v>390</v>
      </c>
      <c r="U596">
        <v>495</v>
      </c>
      <c r="V596">
        <v>16</v>
      </c>
      <c r="W596">
        <v>14</v>
      </c>
      <c r="X596">
        <v>11</v>
      </c>
      <c r="Y596">
        <v>9</v>
      </c>
      <c r="Z596">
        <v>17</v>
      </c>
      <c r="AA596">
        <v>22</v>
      </c>
      <c r="AB596">
        <v>8</v>
      </c>
      <c r="AC596">
        <v>2</v>
      </c>
      <c r="AD596">
        <v>3</v>
      </c>
      <c r="AE596">
        <v>1</v>
      </c>
      <c r="AF596">
        <v>13</v>
      </c>
      <c r="AG596">
        <v>19</v>
      </c>
      <c r="AH596">
        <v>6</v>
      </c>
      <c r="AI596">
        <v>15</v>
      </c>
      <c r="AJ596">
        <v>10</v>
      </c>
      <c r="AK596">
        <v>20</v>
      </c>
      <c r="AL596">
        <v>23</v>
      </c>
      <c r="AM596">
        <v>24</v>
      </c>
      <c r="AN596">
        <v>4</v>
      </c>
      <c r="AO596">
        <v>21</v>
      </c>
      <c r="AP596">
        <v>5</v>
      </c>
      <c r="AQ596">
        <v>18</v>
      </c>
      <c r="AR596">
        <v>12</v>
      </c>
      <c r="AS596">
        <v>7</v>
      </c>
    </row>
    <row r="597" spans="1:45" x14ac:dyDescent="0.25">
      <c r="A597">
        <v>4</v>
      </c>
      <c r="B597" t="s">
        <v>381</v>
      </c>
      <c r="C597">
        <v>1.9</v>
      </c>
      <c r="D597">
        <v>0.8</v>
      </c>
      <c r="E597" t="s">
        <v>395</v>
      </c>
      <c r="U597">
        <v>496</v>
      </c>
      <c r="V597">
        <v>20</v>
      </c>
      <c r="W597">
        <v>10</v>
      </c>
      <c r="X597">
        <v>12</v>
      </c>
      <c r="Y597">
        <v>11</v>
      </c>
      <c r="Z597">
        <v>14</v>
      </c>
      <c r="AA597">
        <v>21</v>
      </c>
      <c r="AB597">
        <v>8</v>
      </c>
      <c r="AC597">
        <v>2</v>
      </c>
      <c r="AD597">
        <v>3</v>
      </c>
      <c r="AE597">
        <v>1</v>
      </c>
      <c r="AF597">
        <v>9</v>
      </c>
      <c r="AG597">
        <v>16</v>
      </c>
      <c r="AH597">
        <v>13</v>
      </c>
      <c r="AI597">
        <v>18</v>
      </c>
      <c r="AJ597">
        <v>17</v>
      </c>
      <c r="AK597">
        <v>22</v>
      </c>
      <c r="AL597">
        <v>24</v>
      </c>
      <c r="AM597">
        <v>23</v>
      </c>
      <c r="AN597">
        <v>4</v>
      </c>
      <c r="AO597">
        <v>19</v>
      </c>
      <c r="AP597">
        <v>7</v>
      </c>
      <c r="AQ597">
        <v>15</v>
      </c>
      <c r="AR597">
        <v>6</v>
      </c>
      <c r="AS597">
        <v>5</v>
      </c>
    </row>
    <row r="598" spans="1:45" x14ac:dyDescent="0.25">
      <c r="A598">
        <v>4</v>
      </c>
      <c r="B598" t="s">
        <v>382</v>
      </c>
      <c r="C598">
        <v>1.6</v>
      </c>
      <c r="D598">
        <v>0.7</v>
      </c>
      <c r="E598" t="s">
        <v>398</v>
      </c>
      <c r="U598">
        <v>497</v>
      </c>
      <c r="V598">
        <v>11</v>
      </c>
      <c r="W598">
        <v>12</v>
      </c>
      <c r="X598">
        <v>15</v>
      </c>
      <c r="Y598">
        <v>9</v>
      </c>
      <c r="Z598">
        <v>18</v>
      </c>
      <c r="AA598">
        <v>21</v>
      </c>
      <c r="AB598">
        <v>7</v>
      </c>
      <c r="AC598">
        <v>3</v>
      </c>
      <c r="AD598">
        <v>4</v>
      </c>
      <c r="AE598">
        <v>1</v>
      </c>
      <c r="AF598">
        <v>10</v>
      </c>
      <c r="AG598">
        <v>20</v>
      </c>
      <c r="AH598">
        <v>16</v>
      </c>
      <c r="AI598">
        <v>17</v>
      </c>
      <c r="AJ598">
        <v>13</v>
      </c>
      <c r="AK598">
        <v>22</v>
      </c>
      <c r="AL598">
        <v>24</v>
      </c>
      <c r="AM598">
        <v>23</v>
      </c>
      <c r="AN598">
        <v>2</v>
      </c>
      <c r="AO598">
        <v>19</v>
      </c>
      <c r="AP598">
        <v>5</v>
      </c>
      <c r="AQ598">
        <v>14</v>
      </c>
      <c r="AR598">
        <v>6</v>
      </c>
      <c r="AS598">
        <v>8</v>
      </c>
    </row>
    <row r="599" spans="1:45" x14ac:dyDescent="0.25">
      <c r="A599">
        <v>4</v>
      </c>
      <c r="B599" t="s">
        <v>378</v>
      </c>
      <c r="C599">
        <v>2.2000000000000002</v>
      </c>
      <c r="D599">
        <v>1.6</v>
      </c>
      <c r="E599" t="s">
        <v>391</v>
      </c>
      <c r="U599">
        <v>498</v>
      </c>
      <c r="V599">
        <v>18</v>
      </c>
      <c r="W599">
        <v>9</v>
      </c>
      <c r="X599">
        <v>14</v>
      </c>
      <c r="Y599">
        <v>8</v>
      </c>
      <c r="Z599">
        <v>13</v>
      </c>
      <c r="AA599">
        <v>21</v>
      </c>
      <c r="AB599">
        <v>4</v>
      </c>
      <c r="AC599">
        <v>2</v>
      </c>
      <c r="AD599">
        <v>3</v>
      </c>
      <c r="AE599">
        <v>1</v>
      </c>
      <c r="AF599">
        <v>10</v>
      </c>
      <c r="AG599">
        <v>20</v>
      </c>
      <c r="AH599">
        <v>12</v>
      </c>
      <c r="AI599">
        <v>15</v>
      </c>
      <c r="AJ599">
        <v>17</v>
      </c>
      <c r="AK599">
        <v>22</v>
      </c>
      <c r="AL599">
        <v>24</v>
      </c>
      <c r="AM599">
        <v>23</v>
      </c>
      <c r="AN599">
        <v>5</v>
      </c>
      <c r="AO599">
        <v>19</v>
      </c>
      <c r="AP599">
        <v>6</v>
      </c>
      <c r="AQ599">
        <v>16</v>
      </c>
      <c r="AR599">
        <v>11</v>
      </c>
      <c r="AS599">
        <v>7</v>
      </c>
    </row>
    <row r="600" spans="1:45" x14ac:dyDescent="0.25">
      <c r="A600">
        <v>4</v>
      </c>
      <c r="B600" t="s">
        <v>389</v>
      </c>
      <c r="C600">
        <v>1</v>
      </c>
      <c r="D600">
        <v>1.6</v>
      </c>
      <c r="E600" t="s">
        <v>397</v>
      </c>
      <c r="U600">
        <v>499</v>
      </c>
      <c r="V600">
        <v>22</v>
      </c>
      <c r="W600">
        <v>9</v>
      </c>
      <c r="X600">
        <v>15</v>
      </c>
      <c r="Y600">
        <v>11</v>
      </c>
      <c r="Z600">
        <v>10</v>
      </c>
      <c r="AA600">
        <v>21</v>
      </c>
      <c r="AB600">
        <v>6</v>
      </c>
      <c r="AC600">
        <v>3</v>
      </c>
      <c r="AD600">
        <v>2</v>
      </c>
      <c r="AE600">
        <v>1</v>
      </c>
      <c r="AF600">
        <v>7</v>
      </c>
      <c r="AG600">
        <v>20</v>
      </c>
      <c r="AH600">
        <v>19</v>
      </c>
      <c r="AI600">
        <v>16</v>
      </c>
      <c r="AJ600">
        <v>14</v>
      </c>
      <c r="AK600">
        <v>18</v>
      </c>
      <c r="AL600">
        <v>24</v>
      </c>
      <c r="AM600">
        <v>23</v>
      </c>
      <c r="AN600">
        <v>4</v>
      </c>
      <c r="AO600">
        <v>13</v>
      </c>
      <c r="AP600">
        <v>8</v>
      </c>
      <c r="AQ600" t="e">
        <v>#N/A</v>
      </c>
      <c r="AR600">
        <v>12</v>
      </c>
      <c r="AS600">
        <v>5</v>
      </c>
    </row>
    <row r="601" spans="1:45" x14ac:dyDescent="0.25">
      <c r="A601">
        <v>4</v>
      </c>
      <c r="B601" t="s">
        <v>401</v>
      </c>
      <c r="C601">
        <v>0.6</v>
      </c>
      <c r="D601">
        <v>1.8</v>
      </c>
      <c r="E601" t="s">
        <v>388</v>
      </c>
      <c r="U601">
        <v>500</v>
      </c>
      <c r="V601">
        <v>18</v>
      </c>
      <c r="W601">
        <v>13</v>
      </c>
      <c r="X601">
        <v>15</v>
      </c>
      <c r="Y601">
        <v>16</v>
      </c>
      <c r="Z601">
        <v>14</v>
      </c>
      <c r="AA601">
        <v>20</v>
      </c>
      <c r="AB601">
        <v>7</v>
      </c>
      <c r="AC601">
        <v>4</v>
      </c>
      <c r="AD601">
        <v>2</v>
      </c>
      <c r="AE601">
        <v>1</v>
      </c>
      <c r="AF601">
        <v>11</v>
      </c>
      <c r="AG601">
        <v>17</v>
      </c>
      <c r="AH601">
        <v>12</v>
      </c>
      <c r="AI601">
        <v>10</v>
      </c>
      <c r="AJ601">
        <v>8</v>
      </c>
      <c r="AK601">
        <v>22</v>
      </c>
      <c r="AL601">
        <v>24</v>
      </c>
      <c r="AM601">
        <v>23</v>
      </c>
      <c r="AN601">
        <v>3</v>
      </c>
      <c r="AO601">
        <v>19</v>
      </c>
      <c r="AP601">
        <v>9</v>
      </c>
      <c r="AQ601">
        <v>21</v>
      </c>
      <c r="AR601">
        <v>6</v>
      </c>
      <c r="AS601">
        <v>5</v>
      </c>
    </row>
    <row r="602" spans="1:45" x14ac:dyDescent="0.25">
      <c r="A602">
        <v>4</v>
      </c>
      <c r="B602" t="s">
        <v>396</v>
      </c>
      <c r="C602">
        <v>0.4</v>
      </c>
      <c r="D602">
        <v>0.6</v>
      </c>
      <c r="E602" t="s">
        <v>393</v>
      </c>
      <c r="U602">
        <v>501</v>
      </c>
      <c r="V602">
        <v>15</v>
      </c>
      <c r="W602">
        <v>9</v>
      </c>
      <c r="X602">
        <v>10</v>
      </c>
      <c r="Y602">
        <v>13</v>
      </c>
      <c r="Z602">
        <v>12</v>
      </c>
      <c r="AA602">
        <v>22</v>
      </c>
      <c r="AB602">
        <v>7</v>
      </c>
      <c r="AC602">
        <v>2</v>
      </c>
      <c r="AD602">
        <v>3</v>
      </c>
      <c r="AE602">
        <v>1</v>
      </c>
      <c r="AF602">
        <v>20</v>
      </c>
      <c r="AG602">
        <v>19</v>
      </c>
      <c r="AH602">
        <v>14</v>
      </c>
      <c r="AI602">
        <v>17</v>
      </c>
      <c r="AJ602">
        <v>11</v>
      </c>
      <c r="AK602">
        <v>18</v>
      </c>
      <c r="AL602">
        <v>23</v>
      </c>
      <c r="AM602">
        <v>24</v>
      </c>
      <c r="AN602">
        <v>4</v>
      </c>
      <c r="AO602">
        <v>21</v>
      </c>
      <c r="AP602">
        <v>8</v>
      </c>
      <c r="AQ602">
        <v>16</v>
      </c>
      <c r="AR602">
        <v>6</v>
      </c>
      <c r="AS602">
        <v>5</v>
      </c>
    </row>
    <row r="603" spans="1:45" x14ac:dyDescent="0.25">
      <c r="A603">
        <v>4</v>
      </c>
      <c r="B603" t="s">
        <v>400</v>
      </c>
      <c r="C603">
        <v>1.4</v>
      </c>
      <c r="D603">
        <v>0.4</v>
      </c>
      <c r="E603" t="s">
        <v>379</v>
      </c>
      <c r="U603">
        <v>502</v>
      </c>
      <c r="V603">
        <v>19</v>
      </c>
      <c r="W603">
        <v>12</v>
      </c>
      <c r="X603">
        <v>14</v>
      </c>
      <c r="Y603">
        <v>16</v>
      </c>
      <c r="Z603">
        <v>13</v>
      </c>
      <c r="AA603">
        <v>21</v>
      </c>
      <c r="AB603">
        <v>6</v>
      </c>
      <c r="AC603">
        <v>2</v>
      </c>
      <c r="AD603">
        <v>3</v>
      </c>
      <c r="AE603">
        <v>1</v>
      </c>
      <c r="AF603">
        <v>15</v>
      </c>
      <c r="AG603">
        <v>17</v>
      </c>
      <c r="AH603">
        <v>5</v>
      </c>
      <c r="AI603">
        <v>10</v>
      </c>
      <c r="AJ603">
        <v>11</v>
      </c>
      <c r="AK603">
        <v>22</v>
      </c>
      <c r="AL603">
        <v>24</v>
      </c>
      <c r="AM603">
        <v>23</v>
      </c>
      <c r="AN603">
        <v>4</v>
      </c>
      <c r="AO603">
        <v>18</v>
      </c>
      <c r="AP603">
        <v>8</v>
      </c>
      <c r="AQ603">
        <v>20</v>
      </c>
      <c r="AR603">
        <v>9</v>
      </c>
      <c r="AS603">
        <v>7</v>
      </c>
    </row>
    <row r="604" spans="1:45" x14ac:dyDescent="0.25">
      <c r="A604">
        <v>5</v>
      </c>
      <c r="B604" t="s">
        <v>378</v>
      </c>
      <c r="C604">
        <v>1.7</v>
      </c>
      <c r="D604">
        <v>0.5</v>
      </c>
      <c r="E604" t="s">
        <v>389</v>
      </c>
      <c r="U604">
        <v>503</v>
      </c>
      <c r="V604">
        <v>15</v>
      </c>
      <c r="W604">
        <v>10</v>
      </c>
      <c r="X604">
        <v>16</v>
      </c>
      <c r="Y604">
        <v>11</v>
      </c>
      <c r="Z604">
        <v>13</v>
      </c>
      <c r="AA604">
        <v>23</v>
      </c>
      <c r="AB604">
        <v>6</v>
      </c>
      <c r="AC604">
        <v>2</v>
      </c>
      <c r="AD604">
        <v>3</v>
      </c>
      <c r="AE604">
        <v>1</v>
      </c>
      <c r="AF604">
        <v>7</v>
      </c>
      <c r="AG604">
        <v>19</v>
      </c>
      <c r="AH604">
        <v>9</v>
      </c>
      <c r="AI604">
        <v>18</v>
      </c>
      <c r="AJ604">
        <v>12</v>
      </c>
      <c r="AK604">
        <v>21</v>
      </c>
      <c r="AL604">
        <v>24</v>
      </c>
      <c r="AM604">
        <v>20</v>
      </c>
      <c r="AN604">
        <v>4</v>
      </c>
      <c r="AO604">
        <v>22</v>
      </c>
      <c r="AP604">
        <v>8</v>
      </c>
      <c r="AQ604">
        <v>17</v>
      </c>
      <c r="AR604">
        <v>14</v>
      </c>
      <c r="AS604">
        <v>5</v>
      </c>
    </row>
    <row r="605" spans="1:45" x14ac:dyDescent="0.25">
      <c r="A605">
        <v>5</v>
      </c>
      <c r="B605" t="s">
        <v>399</v>
      </c>
      <c r="C605">
        <v>1.4</v>
      </c>
      <c r="D605">
        <v>2.2999999999999998</v>
      </c>
      <c r="E605" t="s">
        <v>380</v>
      </c>
      <c r="U605">
        <v>504</v>
      </c>
      <c r="V605">
        <v>15</v>
      </c>
      <c r="W605">
        <v>10</v>
      </c>
      <c r="X605">
        <v>11</v>
      </c>
      <c r="Y605">
        <v>7</v>
      </c>
      <c r="Z605">
        <v>17</v>
      </c>
      <c r="AA605">
        <v>21</v>
      </c>
      <c r="AB605">
        <v>6</v>
      </c>
      <c r="AC605">
        <v>2</v>
      </c>
      <c r="AD605">
        <v>3</v>
      </c>
      <c r="AE605">
        <v>1</v>
      </c>
      <c r="AF605">
        <v>13</v>
      </c>
      <c r="AG605">
        <v>19</v>
      </c>
      <c r="AH605">
        <v>16</v>
      </c>
      <c r="AI605">
        <v>20</v>
      </c>
      <c r="AJ605">
        <v>8</v>
      </c>
      <c r="AK605">
        <v>18</v>
      </c>
      <c r="AL605">
        <v>23</v>
      </c>
      <c r="AM605">
        <v>24</v>
      </c>
      <c r="AN605">
        <v>4</v>
      </c>
      <c r="AO605">
        <v>22</v>
      </c>
      <c r="AP605">
        <v>12</v>
      </c>
      <c r="AQ605">
        <v>14</v>
      </c>
      <c r="AR605">
        <v>9</v>
      </c>
      <c r="AS605">
        <v>5</v>
      </c>
    </row>
    <row r="606" spans="1:45" x14ac:dyDescent="0.25">
      <c r="A606">
        <v>5</v>
      </c>
      <c r="B606" t="s">
        <v>398</v>
      </c>
      <c r="C606">
        <v>1.9</v>
      </c>
      <c r="D606">
        <v>0.8</v>
      </c>
      <c r="E606" t="s">
        <v>396</v>
      </c>
      <c r="U606">
        <v>505</v>
      </c>
      <c r="V606">
        <v>19</v>
      </c>
      <c r="W606">
        <v>10</v>
      </c>
      <c r="X606">
        <v>18</v>
      </c>
      <c r="Y606">
        <v>11</v>
      </c>
      <c r="Z606">
        <v>12</v>
      </c>
      <c r="AA606">
        <v>20</v>
      </c>
      <c r="AB606">
        <v>6</v>
      </c>
      <c r="AC606">
        <v>2</v>
      </c>
      <c r="AD606">
        <v>3</v>
      </c>
      <c r="AE606">
        <v>1</v>
      </c>
      <c r="AF606">
        <v>13</v>
      </c>
      <c r="AG606">
        <v>16</v>
      </c>
      <c r="AH606">
        <v>15</v>
      </c>
      <c r="AI606">
        <v>14</v>
      </c>
      <c r="AJ606">
        <v>8</v>
      </c>
      <c r="AK606">
        <v>22</v>
      </c>
      <c r="AL606">
        <v>24</v>
      </c>
      <c r="AM606">
        <v>23</v>
      </c>
      <c r="AN606">
        <v>5</v>
      </c>
      <c r="AO606">
        <v>21</v>
      </c>
      <c r="AP606">
        <v>9</v>
      </c>
      <c r="AQ606">
        <v>17</v>
      </c>
      <c r="AR606">
        <v>7</v>
      </c>
      <c r="AS606">
        <v>4</v>
      </c>
    </row>
    <row r="607" spans="1:45" x14ac:dyDescent="0.25">
      <c r="A607">
        <v>5</v>
      </c>
      <c r="B607" t="s">
        <v>382</v>
      </c>
      <c r="C607">
        <v>2.2000000000000002</v>
      </c>
      <c r="D607">
        <v>1.4</v>
      </c>
      <c r="E607" t="s">
        <v>400</v>
      </c>
      <c r="U607">
        <v>506</v>
      </c>
      <c r="V607">
        <v>17</v>
      </c>
      <c r="W607">
        <v>9</v>
      </c>
      <c r="X607">
        <v>12</v>
      </c>
      <c r="Y607">
        <v>11</v>
      </c>
      <c r="Z607">
        <v>15</v>
      </c>
      <c r="AA607">
        <v>22</v>
      </c>
      <c r="AB607">
        <v>6</v>
      </c>
      <c r="AC607">
        <v>2</v>
      </c>
      <c r="AD607">
        <v>7</v>
      </c>
      <c r="AE607">
        <v>1</v>
      </c>
      <c r="AF607">
        <v>13</v>
      </c>
      <c r="AG607">
        <v>21</v>
      </c>
      <c r="AH607">
        <v>10</v>
      </c>
      <c r="AI607">
        <v>19</v>
      </c>
      <c r="AJ607">
        <v>16</v>
      </c>
      <c r="AK607">
        <v>20</v>
      </c>
      <c r="AL607">
        <v>24</v>
      </c>
      <c r="AM607">
        <v>23</v>
      </c>
      <c r="AN607">
        <v>3</v>
      </c>
      <c r="AO607">
        <v>18</v>
      </c>
      <c r="AP607">
        <v>8</v>
      </c>
      <c r="AQ607">
        <v>14</v>
      </c>
      <c r="AR607">
        <v>5</v>
      </c>
      <c r="AS607">
        <v>4</v>
      </c>
    </row>
    <row r="608" spans="1:45" x14ac:dyDescent="0.25">
      <c r="A608">
        <v>5</v>
      </c>
      <c r="B608" t="s">
        <v>394</v>
      </c>
      <c r="C608">
        <v>0.6</v>
      </c>
      <c r="D608">
        <v>1.5</v>
      </c>
      <c r="E608" t="s">
        <v>390</v>
      </c>
      <c r="U608">
        <v>507</v>
      </c>
      <c r="V608">
        <v>17</v>
      </c>
      <c r="W608">
        <v>15</v>
      </c>
      <c r="X608">
        <v>12</v>
      </c>
      <c r="Y608">
        <v>11</v>
      </c>
      <c r="Z608">
        <v>14</v>
      </c>
      <c r="AA608">
        <v>22</v>
      </c>
      <c r="AB608">
        <v>6</v>
      </c>
      <c r="AC608">
        <v>2</v>
      </c>
      <c r="AD608">
        <v>3</v>
      </c>
      <c r="AE608">
        <v>1</v>
      </c>
      <c r="AF608">
        <v>9</v>
      </c>
      <c r="AG608">
        <v>21</v>
      </c>
      <c r="AH608">
        <v>13</v>
      </c>
      <c r="AI608">
        <v>19</v>
      </c>
      <c r="AJ608">
        <v>10</v>
      </c>
      <c r="AK608">
        <v>20</v>
      </c>
      <c r="AL608">
        <v>23</v>
      </c>
      <c r="AM608">
        <v>24</v>
      </c>
      <c r="AN608">
        <v>4</v>
      </c>
      <c r="AO608">
        <v>18</v>
      </c>
      <c r="AP608">
        <v>7</v>
      </c>
      <c r="AQ608">
        <v>16</v>
      </c>
      <c r="AR608">
        <v>8</v>
      </c>
      <c r="AS608">
        <v>5</v>
      </c>
    </row>
    <row r="609" spans="1:45" x14ac:dyDescent="0.25">
      <c r="A609">
        <v>5</v>
      </c>
      <c r="B609" t="s">
        <v>385</v>
      </c>
      <c r="C609">
        <v>2.7</v>
      </c>
      <c r="D609">
        <v>2.1</v>
      </c>
      <c r="E609" t="s">
        <v>381</v>
      </c>
      <c r="U609">
        <v>508</v>
      </c>
      <c r="V609">
        <v>17</v>
      </c>
      <c r="W609">
        <v>14</v>
      </c>
      <c r="X609">
        <v>10</v>
      </c>
      <c r="Y609">
        <v>16</v>
      </c>
      <c r="Z609">
        <v>11</v>
      </c>
      <c r="AA609">
        <v>22</v>
      </c>
      <c r="AB609">
        <v>6</v>
      </c>
      <c r="AC609">
        <v>2</v>
      </c>
      <c r="AD609">
        <v>4</v>
      </c>
      <c r="AE609">
        <v>1</v>
      </c>
      <c r="AF609">
        <v>13</v>
      </c>
      <c r="AG609">
        <v>19</v>
      </c>
      <c r="AH609">
        <v>12</v>
      </c>
      <c r="AI609">
        <v>15</v>
      </c>
      <c r="AJ609">
        <v>7</v>
      </c>
      <c r="AK609">
        <v>20</v>
      </c>
      <c r="AL609">
        <v>24</v>
      </c>
      <c r="AM609">
        <v>23</v>
      </c>
      <c r="AN609">
        <v>3</v>
      </c>
      <c r="AO609">
        <v>21</v>
      </c>
      <c r="AP609">
        <v>9</v>
      </c>
      <c r="AQ609">
        <v>18</v>
      </c>
      <c r="AR609">
        <v>8</v>
      </c>
      <c r="AS609">
        <v>5</v>
      </c>
    </row>
    <row r="610" spans="1:45" x14ac:dyDescent="0.25">
      <c r="A610">
        <v>5</v>
      </c>
      <c r="B610" t="s">
        <v>387</v>
      </c>
      <c r="C610">
        <v>1.2</v>
      </c>
      <c r="D610">
        <v>0.3</v>
      </c>
      <c r="E610" t="s">
        <v>384</v>
      </c>
      <c r="U610">
        <v>509</v>
      </c>
      <c r="V610">
        <v>14</v>
      </c>
      <c r="W610">
        <v>5</v>
      </c>
      <c r="X610">
        <v>13</v>
      </c>
      <c r="Y610">
        <v>10</v>
      </c>
      <c r="Z610">
        <v>19</v>
      </c>
      <c r="AA610">
        <v>22</v>
      </c>
      <c r="AB610">
        <v>12</v>
      </c>
      <c r="AC610">
        <v>3</v>
      </c>
      <c r="AD610">
        <v>2</v>
      </c>
      <c r="AE610">
        <v>1</v>
      </c>
      <c r="AF610">
        <v>6</v>
      </c>
      <c r="AG610">
        <v>15</v>
      </c>
      <c r="AH610">
        <v>7</v>
      </c>
      <c r="AI610">
        <v>18</v>
      </c>
      <c r="AJ610">
        <v>16</v>
      </c>
      <c r="AK610">
        <v>21</v>
      </c>
      <c r="AL610">
        <v>24</v>
      </c>
      <c r="AM610">
        <v>23</v>
      </c>
      <c r="AN610">
        <v>4</v>
      </c>
      <c r="AO610">
        <v>20</v>
      </c>
      <c r="AP610">
        <v>11</v>
      </c>
      <c r="AQ610">
        <v>17</v>
      </c>
      <c r="AR610">
        <v>8</v>
      </c>
      <c r="AS610">
        <v>9</v>
      </c>
    </row>
    <row r="611" spans="1:45" x14ac:dyDescent="0.25">
      <c r="A611">
        <v>5</v>
      </c>
      <c r="B611" t="s">
        <v>391</v>
      </c>
      <c r="C611">
        <v>1.3</v>
      </c>
      <c r="D611">
        <v>1.8</v>
      </c>
      <c r="E611" t="s">
        <v>379</v>
      </c>
      <c r="U611">
        <v>510</v>
      </c>
      <c r="V611">
        <v>15</v>
      </c>
      <c r="W611">
        <v>14</v>
      </c>
      <c r="X611">
        <v>8</v>
      </c>
      <c r="Y611">
        <v>12</v>
      </c>
      <c r="Z611">
        <v>18</v>
      </c>
      <c r="AA611">
        <v>21</v>
      </c>
      <c r="AB611">
        <v>7</v>
      </c>
      <c r="AC611">
        <v>2</v>
      </c>
      <c r="AD611">
        <v>3</v>
      </c>
      <c r="AE611">
        <v>1</v>
      </c>
      <c r="AF611">
        <v>9</v>
      </c>
      <c r="AG611">
        <v>22</v>
      </c>
      <c r="AH611">
        <v>13</v>
      </c>
      <c r="AI611">
        <v>16</v>
      </c>
      <c r="AJ611">
        <v>11</v>
      </c>
      <c r="AK611">
        <v>19</v>
      </c>
      <c r="AL611">
        <v>24</v>
      </c>
      <c r="AM611">
        <v>23</v>
      </c>
      <c r="AN611">
        <v>4</v>
      </c>
      <c r="AO611">
        <v>20</v>
      </c>
      <c r="AP611">
        <v>5</v>
      </c>
      <c r="AQ611">
        <v>17</v>
      </c>
      <c r="AR611">
        <v>10</v>
      </c>
      <c r="AS611">
        <v>6</v>
      </c>
    </row>
    <row r="612" spans="1:45" x14ac:dyDescent="0.25">
      <c r="A612">
        <v>5</v>
      </c>
      <c r="B612" t="s">
        <v>401</v>
      </c>
      <c r="C612">
        <v>1.1000000000000001</v>
      </c>
      <c r="D612">
        <v>0.9</v>
      </c>
      <c r="E612" t="s">
        <v>383</v>
      </c>
      <c r="U612">
        <v>511</v>
      </c>
      <c r="V612">
        <v>20</v>
      </c>
      <c r="W612">
        <v>9</v>
      </c>
      <c r="X612">
        <v>10</v>
      </c>
      <c r="Y612">
        <v>16</v>
      </c>
      <c r="Z612">
        <v>14</v>
      </c>
      <c r="AA612">
        <v>24</v>
      </c>
      <c r="AB612">
        <v>4</v>
      </c>
      <c r="AC612">
        <v>2</v>
      </c>
      <c r="AD612">
        <v>3</v>
      </c>
      <c r="AE612">
        <v>1</v>
      </c>
      <c r="AF612">
        <v>12</v>
      </c>
      <c r="AG612">
        <v>19</v>
      </c>
      <c r="AH612">
        <v>7</v>
      </c>
      <c r="AI612">
        <v>17</v>
      </c>
      <c r="AJ612">
        <v>13</v>
      </c>
      <c r="AK612">
        <v>23</v>
      </c>
      <c r="AL612">
        <v>22</v>
      </c>
      <c r="AM612">
        <v>21</v>
      </c>
      <c r="AN612">
        <v>6</v>
      </c>
      <c r="AO612">
        <v>18</v>
      </c>
      <c r="AP612">
        <v>8</v>
      </c>
      <c r="AQ612">
        <v>15</v>
      </c>
      <c r="AR612">
        <v>11</v>
      </c>
      <c r="AS612">
        <v>5</v>
      </c>
    </row>
    <row r="613" spans="1:45" x14ac:dyDescent="0.25">
      <c r="A613">
        <v>5</v>
      </c>
      <c r="B613" t="s">
        <v>397</v>
      </c>
      <c r="C613">
        <v>1.4</v>
      </c>
      <c r="D613">
        <v>1.9</v>
      </c>
      <c r="E613" t="s">
        <v>392</v>
      </c>
      <c r="U613">
        <v>512</v>
      </c>
      <c r="V613">
        <v>20</v>
      </c>
      <c r="W613">
        <v>14</v>
      </c>
      <c r="X613">
        <v>11</v>
      </c>
      <c r="Y613">
        <v>10</v>
      </c>
      <c r="Z613">
        <v>12</v>
      </c>
      <c r="AA613">
        <v>19</v>
      </c>
      <c r="AB613">
        <v>7</v>
      </c>
      <c r="AC613">
        <v>2</v>
      </c>
      <c r="AD613">
        <v>3</v>
      </c>
      <c r="AE613">
        <v>1</v>
      </c>
      <c r="AF613">
        <v>8</v>
      </c>
      <c r="AG613">
        <v>21</v>
      </c>
      <c r="AH613">
        <v>17</v>
      </c>
      <c r="AI613">
        <v>13</v>
      </c>
      <c r="AJ613">
        <v>15</v>
      </c>
      <c r="AK613">
        <v>22</v>
      </c>
      <c r="AL613">
        <v>23</v>
      </c>
      <c r="AM613">
        <v>24</v>
      </c>
      <c r="AN613">
        <v>5</v>
      </c>
      <c r="AO613">
        <v>18</v>
      </c>
      <c r="AP613">
        <v>9</v>
      </c>
      <c r="AQ613">
        <v>16</v>
      </c>
      <c r="AR613">
        <v>6</v>
      </c>
      <c r="AS613">
        <v>4</v>
      </c>
    </row>
    <row r="614" spans="1:45" x14ac:dyDescent="0.25">
      <c r="A614">
        <v>5</v>
      </c>
      <c r="B614" t="s">
        <v>388</v>
      </c>
      <c r="C614">
        <v>1.5</v>
      </c>
      <c r="D614">
        <v>0.7</v>
      </c>
      <c r="E614" t="s">
        <v>393</v>
      </c>
      <c r="U614">
        <v>513</v>
      </c>
      <c r="V614">
        <v>15</v>
      </c>
      <c r="W614">
        <v>10</v>
      </c>
      <c r="X614">
        <v>9</v>
      </c>
      <c r="Y614">
        <v>7</v>
      </c>
      <c r="Z614">
        <v>13</v>
      </c>
      <c r="AA614">
        <v>21</v>
      </c>
      <c r="AB614">
        <v>5</v>
      </c>
      <c r="AC614">
        <v>2</v>
      </c>
      <c r="AD614">
        <v>3</v>
      </c>
      <c r="AE614">
        <v>1</v>
      </c>
      <c r="AF614">
        <v>8</v>
      </c>
      <c r="AG614">
        <v>22</v>
      </c>
      <c r="AH614">
        <v>14</v>
      </c>
      <c r="AI614">
        <v>16</v>
      </c>
      <c r="AJ614">
        <v>17</v>
      </c>
      <c r="AK614">
        <v>19</v>
      </c>
      <c r="AL614">
        <v>24</v>
      </c>
      <c r="AM614">
        <v>23</v>
      </c>
      <c r="AN614">
        <v>4</v>
      </c>
      <c r="AO614">
        <v>20</v>
      </c>
      <c r="AP614">
        <v>12</v>
      </c>
      <c r="AQ614">
        <v>18</v>
      </c>
      <c r="AR614">
        <v>11</v>
      </c>
      <c r="AS614">
        <v>6</v>
      </c>
    </row>
    <row r="615" spans="1:45" x14ac:dyDescent="0.25">
      <c r="A615">
        <v>5</v>
      </c>
      <c r="B615" t="s">
        <v>386</v>
      </c>
      <c r="C615">
        <v>1.2</v>
      </c>
      <c r="D615">
        <v>0.9</v>
      </c>
      <c r="E615" t="s">
        <v>395</v>
      </c>
      <c r="U615">
        <v>514</v>
      </c>
      <c r="V615">
        <v>15</v>
      </c>
      <c r="W615">
        <v>14</v>
      </c>
      <c r="X615">
        <v>8</v>
      </c>
      <c r="Y615">
        <v>13</v>
      </c>
      <c r="Z615">
        <v>18</v>
      </c>
      <c r="AA615">
        <v>21</v>
      </c>
      <c r="AB615">
        <v>6</v>
      </c>
      <c r="AC615">
        <v>3</v>
      </c>
      <c r="AD615">
        <v>2</v>
      </c>
      <c r="AE615">
        <v>1</v>
      </c>
      <c r="AF615">
        <v>12</v>
      </c>
      <c r="AG615">
        <v>19</v>
      </c>
      <c r="AH615">
        <v>10</v>
      </c>
      <c r="AI615">
        <v>17</v>
      </c>
      <c r="AJ615">
        <v>11</v>
      </c>
      <c r="AK615">
        <v>20</v>
      </c>
      <c r="AL615">
        <v>22</v>
      </c>
      <c r="AM615">
        <v>23</v>
      </c>
      <c r="AN615">
        <v>4</v>
      </c>
      <c r="AO615">
        <v>24</v>
      </c>
      <c r="AP615">
        <v>5</v>
      </c>
      <c r="AQ615">
        <v>16</v>
      </c>
      <c r="AR615">
        <v>9</v>
      </c>
      <c r="AS615">
        <v>7</v>
      </c>
    </row>
    <row r="616" spans="1:45" x14ac:dyDescent="0.25">
      <c r="A616">
        <v>6</v>
      </c>
      <c r="B616" t="s">
        <v>384</v>
      </c>
      <c r="C616">
        <v>1.5</v>
      </c>
      <c r="D616">
        <v>0.6</v>
      </c>
      <c r="E616" t="s">
        <v>382</v>
      </c>
      <c r="U616">
        <v>515</v>
      </c>
      <c r="V616">
        <v>13</v>
      </c>
      <c r="W616">
        <v>14</v>
      </c>
      <c r="X616">
        <v>15</v>
      </c>
      <c r="Y616">
        <v>8</v>
      </c>
      <c r="Z616">
        <v>18</v>
      </c>
      <c r="AA616">
        <v>16</v>
      </c>
      <c r="AB616">
        <v>5</v>
      </c>
      <c r="AC616">
        <v>3</v>
      </c>
      <c r="AD616">
        <v>4</v>
      </c>
      <c r="AE616">
        <v>1</v>
      </c>
      <c r="AF616">
        <v>9</v>
      </c>
      <c r="AG616">
        <v>20</v>
      </c>
      <c r="AH616">
        <v>10</v>
      </c>
      <c r="AI616">
        <v>17</v>
      </c>
      <c r="AJ616">
        <v>12</v>
      </c>
      <c r="AK616">
        <v>21</v>
      </c>
      <c r="AL616">
        <v>24</v>
      </c>
      <c r="AM616">
        <v>23</v>
      </c>
      <c r="AN616">
        <v>2</v>
      </c>
      <c r="AO616">
        <v>22</v>
      </c>
      <c r="AP616">
        <v>11</v>
      </c>
      <c r="AQ616">
        <v>19</v>
      </c>
      <c r="AR616">
        <v>6</v>
      </c>
      <c r="AS616">
        <v>7</v>
      </c>
    </row>
    <row r="617" spans="1:45" x14ac:dyDescent="0.25">
      <c r="A617">
        <v>6</v>
      </c>
      <c r="B617" t="s">
        <v>396</v>
      </c>
      <c r="C617">
        <v>1.6</v>
      </c>
      <c r="D617">
        <v>4.0999999999999996</v>
      </c>
      <c r="E617" t="s">
        <v>387</v>
      </c>
      <c r="U617">
        <v>516</v>
      </c>
      <c r="V617">
        <v>13</v>
      </c>
      <c r="W617">
        <v>10</v>
      </c>
      <c r="X617">
        <v>8</v>
      </c>
      <c r="Y617">
        <v>9</v>
      </c>
      <c r="Z617">
        <v>17</v>
      </c>
      <c r="AA617">
        <v>22</v>
      </c>
      <c r="AB617">
        <v>5</v>
      </c>
      <c r="AC617">
        <v>2</v>
      </c>
      <c r="AD617">
        <v>3</v>
      </c>
      <c r="AE617">
        <v>1</v>
      </c>
      <c r="AF617">
        <v>12</v>
      </c>
      <c r="AG617">
        <v>19</v>
      </c>
      <c r="AH617">
        <v>14</v>
      </c>
      <c r="AI617">
        <v>18</v>
      </c>
      <c r="AJ617">
        <v>16</v>
      </c>
      <c r="AK617">
        <v>21</v>
      </c>
      <c r="AL617">
        <v>23</v>
      </c>
      <c r="AM617">
        <v>24</v>
      </c>
      <c r="AN617">
        <v>4</v>
      </c>
      <c r="AO617">
        <v>20</v>
      </c>
      <c r="AP617">
        <v>7</v>
      </c>
      <c r="AQ617">
        <v>15</v>
      </c>
      <c r="AR617">
        <v>11</v>
      </c>
      <c r="AS617">
        <v>6</v>
      </c>
    </row>
    <row r="618" spans="1:45" x14ac:dyDescent="0.25">
      <c r="A618">
        <v>6</v>
      </c>
      <c r="B618" t="s">
        <v>383</v>
      </c>
      <c r="C618">
        <v>2.1</v>
      </c>
      <c r="D618">
        <v>0.4</v>
      </c>
      <c r="E618" t="s">
        <v>394</v>
      </c>
      <c r="U618">
        <v>517</v>
      </c>
      <c r="V618">
        <v>17</v>
      </c>
      <c r="W618">
        <v>11</v>
      </c>
      <c r="X618">
        <v>8</v>
      </c>
      <c r="Y618">
        <v>9</v>
      </c>
      <c r="Z618">
        <v>18</v>
      </c>
      <c r="AA618">
        <v>22</v>
      </c>
      <c r="AB618">
        <v>6</v>
      </c>
      <c r="AC618">
        <v>2</v>
      </c>
      <c r="AD618">
        <v>4</v>
      </c>
      <c r="AE618">
        <v>1</v>
      </c>
      <c r="AF618">
        <v>10</v>
      </c>
      <c r="AG618">
        <v>15</v>
      </c>
      <c r="AH618">
        <v>13</v>
      </c>
      <c r="AI618">
        <v>16</v>
      </c>
      <c r="AJ618">
        <v>14</v>
      </c>
      <c r="AK618">
        <v>20</v>
      </c>
      <c r="AL618">
        <v>24</v>
      </c>
      <c r="AM618">
        <v>21</v>
      </c>
      <c r="AN618">
        <v>3</v>
      </c>
      <c r="AO618">
        <v>23</v>
      </c>
      <c r="AP618">
        <v>7</v>
      </c>
      <c r="AQ618">
        <v>19</v>
      </c>
      <c r="AR618">
        <v>12</v>
      </c>
      <c r="AS618">
        <v>5</v>
      </c>
    </row>
    <row r="619" spans="1:45" x14ac:dyDescent="0.25">
      <c r="A619">
        <v>6</v>
      </c>
      <c r="B619" t="s">
        <v>379</v>
      </c>
      <c r="C619">
        <v>2.9</v>
      </c>
      <c r="D619">
        <v>2.5</v>
      </c>
      <c r="E619" t="s">
        <v>388</v>
      </c>
      <c r="U619">
        <v>518</v>
      </c>
      <c r="V619">
        <v>19</v>
      </c>
      <c r="W619">
        <v>13</v>
      </c>
      <c r="X619">
        <v>9</v>
      </c>
      <c r="Y619">
        <v>14</v>
      </c>
      <c r="Z619">
        <v>16</v>
      </c>
      <c r="AA619">
        <v>21</v>
      </c>
      <c r="AB619">
        <v>7</v>
      </c>
      <c r="AC619">
        <v>3</v>
      </c>
      <c r="AD619">
        <v>2</v>
      </c>
      <c r="AE619">
        <v>1</v>
      </c>
      <c r="AF619">
        <v>10</v>
      </c>
      <c r="AG619">
        <v>20</v>
      </c>
      <c r="AH619">
        <v>12</v>
      </c>
      <c r="AI619">
        <v>11</v>
      </c>
      <c r="AJ619">
        <v>15</v>
      </c>
      <c r="AK619">
        <v>22</v>
      </c>
      <c r="AL619">
        <v>24</v>
      </c>
      <c r="AM619">
        <v>23</v>
      </c>
      <c r="AN619">
        <v>4</v>
      </c>
      <c r="AO619">
        <v>18</v>
      </c>
      <c r="AP619">
        <v>8</v>
      </c>
      <c r="AQ619">
        <v>17</v>
      </c>
      <c r="AR619">
        <v>6</v>
      </c>
      <c r="AS619">
        <v>5</v>
      </c>
    </row>
    <row r="620" spans="1:45" x14ac:dyDescent="0.25">
      <c r="A620">
        <v>6</v>
      </c>
      <c r="B620" t="s">
        <v>392</v>
      </c>
      <c r="C620">
        <v>1.7</v>
      </c>
      <c r="D620">
        <v>1.8</v>
      </c>
      <c r="E620" t="s">
        <v>391</v>
      </c>
      <c r="U620">
        <v>519</v>
      </c>
      <c r="V620">
        <v>16</v>
      </c>
      <c r="W620">
        <v>7</v>
      </c>
      <c r="X620">
        <v>15</v>
      </c>
      <c r="Y620">
        <v>14</v>
      </c>
      <c r="Z620">
        <v>18</v>
      </c>
      <c r="AA620">
        <v>22</v>
      </c>
      <c r="AB620">
        <v>5</v>
      </c>
      <c r="AC620">
        <v>2</v>
      </c>
      <c r="AD620">
        <v>4</v>
      </c>
      <c r="AE620">
        <v>1</v>
      </c>
      <c r="AF620">
        <v>8</v>
      </c>
      <c r="AG620">
        <v>19</v>
      </c>
      <c r="AH620">
        <v>9</v>
      </c>
      <c r="AI620">
        <v>17</v>
      </c>
      <c r="AJ620">
        <v>11</v>
      </c>
      <c r="AK620">
        <v>21</v>
      </c>
      <c r="AL620">
        <v>24</v>
      </c>
      <c r="AM620">
        <v>23</v>
      </c>
      <c r="AN620">
        <v>3</v>
      </c>
      <c r="AO620">
        <v>20</v>
      </c>
      <c r="AP620">
        <v>6</v>
      </c>
      <c r="AQ620">
        <v>13</v>
      </c>
      <c r="AR620">
        <v>12</v>
      </c>
      <c r="AS620">
        <v>10</v>
      </c>
    </row>
    <row r="621" spans="1:45" x14ac:dyDescent="0.25">
      <c r="A621">
        <v>6</v>
      </c>
      <c r="B621" t="s">
        <v>380</v>
      </c>
      <c r="C621">
        <v>0.8</v>
      </c>
      <c r="D621">
        <v>0.7</v>
      </c>
      <c r="E621" t="s">
        <v>401</v>
      </c>
      <c r="U621">
        <v>520</v>
      </c>
      <c r="V621">
        <v>15</v>
      </c>
      <c r="W621">
        <v>10</v>
      </c>
      <c r="X621">
        <v>12</v>
      </c>
      <c r="Y621">
        <v>11</v>
      </c>
      <c r="Z621">
        <v>19</v>
      </c>
      <c r="AA621">
        <v>22</v>
      </c>
      <c r="AB621">
        <v>6</v>
      </c>
      <c r="AC621">
        <v>2</v>
      </c>
      <c r="AD621">
        <v>3</v>
      </c>
      <c r="AE621">
        <v>1</v>
      </c>
      <c r="AF621">
        <v>9</v>
      </c>
      <c r="AG621">
        <v>20</v>
      </c>
      <c r="AH621">
        <v>14</v>
      </c>
      <c r="AI621">
        <v>16</v>
      </c>
      <c r="AJ621">
        <v>13</v>
      </c>
      <c r="AK621">
        <v>17</v>
      </c>
      <c r="AL621">
        <v>24</v>
      </c>
      <c r="AM621">
        <v>23</v>
      </c>
      <c r="AN621">
        <v>4</v>
      </c>
      <c r="AO621">
        <v>21</v>
      </c>
      <c r="AP621">
        <v>8</v>
      </c>
      <c r="AQ621">
        <v>18</v>
      </c>
      <c r="AR621">
        <v>7</v>
      </c>
      <c r="AS621">
        <v>5</v>
      </c>
    </row>
    <row r="622" spans="1:45" x14ac:dyDescent="0.25">
      <c r="A622">
        <v>6</v>
      </c>
      <c r="B622" t="s">
        <v>395</v>
      </c>
      <c r="C622">
        <v>0.5</v>
      </c>
      <c r="D622">
        <v>1.8</v>
      </c>
      <c r="E622" t="s">
        <v>385</v>
      </c>
      <c r="U622">
        <v>521</v>
      </c>
      <c r="V622">
        <v>16</v>
      </c>
      <c r="W622">
        <v>6</v>
      </c>
      <c r="X622">
        <v>17</v>
      </c>
      <c r="Y622">
        <v>13</v>
      </c>
      <c r="Z622">
        <v>12</v>
      </c>
      <c r="AA622">
        <v>22</v>
      </c>
      <c r="AB622">
        <v>5</v>
      </c>
      <c r="AC622">
        <v>3</v>
      </c>
      <c r="AD622">
        <v>2</v>
      </c>
      <c r="AE622">
        <v>1</v>
      </c>
      <c r="AF622">
        <v>10</v>
      </c>
      <c r="AG622">
        <v>20</v>
      </c>
      <c r="AH622">
        <v>15</v>
      </c>
      <c r="AI622">
        <v>8</v>
      </c>
      <c r="AJ622">
        <v>14</v>
      </c>
      <c r="AK622">
        <v>21</v>
      </c>
      <c r="AL622">
        <v>24</v>
      </c>
      <c r="AM622">
        <v>23</v>
      </c>
      <c r="AN622">
        <v>4</v>
      </c>
      <c r="AO622">
        <v>19</v>
      </c>
      <c r="AP622">
        <v>11</v>
      </c>
      <c r="AQ622">
        <v>18</v>
      </c>
      <c r="AR622">
        <v>7</v>
      </c>
      <c r="AS622">
        <v>9</v>
      </c>
    </row>
    <row r="623" spans="1:45" x14ac:dyDescent="0.25">
      <c r="A623">
        <v>6</v>
      </c>
      <c r="B623" t="s">
        <v>400</v>
      </c>
      <c r="C623">
        <v>0.4</v>
      </c>
      <c r="D623">
        <v>0.8</v>
      </c>
      <c r="E623" t="s">
        <v>378</v>
      </c>
      <c r="U623">
        <v>522</v>
      </c>
      <c r="V623">
        <v>18</v>
      </c>
      <c r="W623">
        <v>10</v>
      </c>
      <c r="X623">
        <v>15</v>
      </c>
      <c r="Y623">
        <v>16</v>
      </c>
      <c r="Z623">
        <v>12</v>
      </c>
      <c r="AA623">
        <v>22</v>
      </c>
      <c r="AB623">
        <v>5</v>
      </c>
      <c r="AC623">
        <v>2</v>
      </c>
      <c r="AD623">
        <v>3</v>
      </c>
      <c r="AE623">
        <v>1</v>
      </c>
      <c r="AF623">
        <v>8</v>
      </c>
      <c r="AG623">
        <v>21</v>
      </c>
      <c r="AH623">
        <v>13</v>
      </c>
      <c r="AI623">
        <v>17</v>
      </c>
      <c r="AJ623">
        <v>14</v>
      </c>
      <c r="AK623">
        <v>20</v>
      </c>
      <c r="AL623">
        <v>24</v>
      </c>
      <c r="AM623">
        <v>23</v>
      </c>
      <c r="AN623">
        <v>4</v>
      </c>
      <c r="AO623">
        <v>11</v>
      </c>
      <c r="AP623">
        <v>9</v>
      </c>
      <c r="AQ623">
        <v>19</v>
      </c>
      <c r="AR623">
        <v>7</v>
      </c>
      <c r="AS623">
        <v>6</v>
      </c>
    </row>
    <row r="624" spans="1:45" x14ac:dyDescent="0.25">
      <c r="A624">
        <v>6</v>
      </c>
      <c r="B624" t="s">
        <v>390</v>
      </c>
      <c r="C624">
        <v>1.2</v>
      </c>
      <c r="D624">
        <v>1.2</v>
      </c>
      <c r="E624" t="s">
        <v>397</v>
      </c>
      <c r="U624">
        <v>523</v>
      </c>
      <c r="V624">
        <v>19</v>
      </c>
      <c r="W624">
        <v>7</v>
      </c>
      <c r="X624">
        <v>8</v>
      </c>
      <c r="Y624">
        <v>15</v>
      </c>
      <c r="Z624">
        <v>12</v>
      </c>
      <c r="AA624">
        <v>22</v>
      </c>
      <c r="AB624">
        <v>6</v>
      </c>
      <c r="AC624">
        <v>2</v>
      </c>
      <c r="AD624">
        <v>3</v>
      </c>
      <c r="AE624">
        <v>1</v>
      </c>
      <c r="AF624">
        <v>16</v>
      </c>
      <c r="AG624">
        <v>18</v>
      </c>
      <c r="AH624">
        <v>17</v>
      </c>
      <c r="AI624">
        <v>14</v>
      </c>
      <c r="AJ624">
        <v>13</v>
      </c>
      <c r="AK624">
        <v>21</v>
      </c>
      <c r="AL624">
        <v>24</v>
      </c>
      <c r="AM624">
        <v>23</v>
      </c>
      <c r="AN624">
        <v>4</v>
      </c>
      <c r="AO624">
        <v>20</v>
      </c>
      <c r="AP624">
        <v>10</v>
      </c>
      <c r="AQ624">
        <v>11</v>
      </c>
      <c r="AR624">
        <v>9</v>
      </c>
      <c r="AS624">
        <v>5</v>
      </c>
    </row>
    <row r="625" spans="1:45" x14ac:dyDescent="0.25">
      <c r="A625">
        <v>6</v>
      </c>
      <c r="B625" t="s">
        <v>393</v>
      </c>
      <c r="C625">
        <v>0.3</v>
      </c>
      <c r="D625">
        <v>2.8</v>
      </c>
      <c r="E625" t="s">
        <v>398</v>
      </c>
      <c r="U625">
        <v>524</v>
      </c>
      <c r="V625">
        <v>19</v>
      </c>
      <c r="W625">
        <v>7</v>
      </c>
      <c r="X625">
        <v>17</v>
      </c>
      <c r="Y625">
        <v>13</v>
      </c>
      <c r="Z625">
        <v>12</v>
      </c>
      <c r="AA625">
        <v>21</v>
      </c>
      <c r="AB625">
        <v>4</v>
      </c>
      <c r="AC625">
        <v>2</v>
      </c>
      <c r="AD625">
        <v>5</v>
      </c>
      <c r="AE625">
        <v>1</v>
      </c>
      <c r="AF625">
        <v>10</v>
      </c>
      <c r="AG625">
        <v>18</v>
      </c>
      <c r="AH625">
        <v>11</v>
      </c>
      <c r="AI625">
        <v>16</v>
      </c>
      <c r="AJ625">
        <v>20</v>
      </c>
      <c r="AK625">
        <v>22</v>
      </c>
      <c r="AL625">
        <v>24</v>
      </c>
      <c r="AM625">
        <v>23</v>
      </c>
      <c r="AN625">
        <v>3</v>
      </c>
      <c r="AO625">
        <v>15</v>
      </c>
      <c r="AP625">
        <v>8</v>
      </c>
      <c r="AQ625">
        <v>14</v>
      </c>
      <c r="AR625">
        <v>9</v>
      </c>
      <c r="AS625">
        <v>6</v>
      </c>
    </row>
    <row r="626" spans="1:45" x14ac:dyDescent="0.25">
      <c r="A626">
        <v>6</v>
      </c>
      <c r="B626" t="s">
        <v>381</v>
      </c>
      <c r="C626">
        <v>1.5</v>
      </c>
      <c r="D626">
        <v>0.6</v>
      </c>
      <c r="E626" t="s">
        <v>399</v>
      </c>
      <c r="U626">
        <v>525</v>
      </c>
      <c r="V626">
        <v>17</v>
      </c>
      <c r="W626">
        <v>9</v>
      </c>
      <c r="X626">
        <v>16</v>
      </c>
      <c r="Y626">
        <v>8</v>
      </c>
      <c r="Z626">
        <v>18</v>
      </c>
      <c r="AA626">
        <v>22</v>
      </c>
      <c r="AB626">
        <v>6</v>
      </c>
      <c r="AC626">
        <v>2</v>
      </c>
      <c r="AD626">
        <v>3</v>
      </c>
      <c r="AE626">
        <v>1</v>
      </c>
      <c r="AF626">
        <v>13</v>
      </c>
      <c r="AG626">
        <v>19</v>
      </c>
      <c r="AH626">
        <v>11</v>
      </c>
      <c r="AI626">
        <v>14</v>
      </c>
      <c r="AJ626">
        <v>10</v>
      </c>
      <c r="AK626">
        <v>21</v>
      </c>
      <c r="AL626">
        <v>24</v>
      </c>
      <c r="AM626">
        <v>23</v>
      </c>
      <c r="AN626">
        <v>5</v>
      </c>
      <c r="AO626">
        <v>20</v>
      </c>
      <c r="AP626">
        <v>4</v>
      </c>
      <c r="AQ626">
        <v>15</v>
      </c>
      <c r="AR626">
        <v>12</v>
      </c>
      <c r="AS626">
        <v>7</v>
      </c>
    </row>
    <row r="627" spans="1:45" x14ac:dyDescent="0.25">
      <c r="A627">
        <v>6</v>
      </c>
      <c r="B627" t="s">
        <v>389</v>
      </c>
      <c r="C627">
        <v>0.4</v>
      </c>
      <c r="D627">
        <v>2.2999999999999998</v>
      </c>
      <c r="E627" t="s">
        <v>386</v>
      </c>
      <c r="U627">
        <v>526</v>
      </c>
      <c r="V627">
        <v>18</v>
      </c>
      <c r="W627">
        <v>12</v>
      </c>
      <c r="X627">
        <v>9</v>
      </c>
      <c r="Y627">
        <v>7</v>
      </c>
      <c r="Z627">
        <v>15</v>
      </c>
      <c r="AA627">
        <v>22</v>
      </c>
      <c r="AB627">
        <v>5</v>
      </c>
      <c r="AC627">
        <v>1</v>
      </c>
      <c r="AD627">
        <v>6</v>
      </c>
      <c r="AE627">
        <v>2</v>
      </c>
      <c r="AF627">
        <v>16</v>
      </c>
      <c r="AG627">
        <v>19</v>
      </c>
      <c r="AH627">
        <v>13</v>
      </c>
      <c r="AI627">
        <v>20</v>
      </c>
      <c r="AJ627">
        <v>14</v>
      </c>
      <c r="AK627">
        <v>21</v>
      </c>
      <c r="AL627">
        <v>23</v>
      </c>
      <c r="AM627">
        <v>24</v>
      </c>
      <c r="AN627">
        <v>3</v>
      </c>
      <c r="AO627">
        <v>17</v>
      </c>
      <c r="AP627">
        <v>11</v>
      </c>
      <c r="AQ627">
        <v>10</v>
      </c>
      <c r="AR627">
        <v>8</v>
      </c>
      <c r="AS627">
        <v>4</v>
      </c>
    </row>
    <row r="628" spans="1:45" x14ac:dyDescent="0.25">
      <c r="A628">
        <v>7</v>
      </c>
      <c r="B628" t="s">
        <v>380</v>
      </c>
      <c r="C628">
        <v>1.6</v>
      </c>
      <c r="D628">
        <v>0.6</v>
      </c>
      <c r="E628" t="s">
        <v>391</v>
      </c>
      <c r="U628">
        <v>527</v>
      </c>
      <c r="V628">
        <v>17</v>
      </c>
      <c r="W628">
        <v>11</v>
      </c>
      <c r="X628">
        <v>15</v>
      </c>
      <c r="Y628">
        <v>13</v>
      </c>
      <c r="Z628">
        <v>16</v>
      </c>
      <c r="AA628">
        <v>21</v>
      </c>
      <c r="AB628">
        <v>6</v>
      </c>
      <c r="AC628">
        <v>2</v>
      </c>
      <c r="AD628">
        <v>3</v>
      </c>
      <c r="AE628">
        <v>1</v>
      </c>
      <c r="AF628">
        <v>8</v>
      </c>
      <c r="AG628">
        <v>18</v>
      </c>
      <c r="AH628">
        <v>9</v>
      </c>
      <c r="AI628">
        <v>20</v>
      </c>
      <c r="AJ628">
        <v>14</v>
      </c>
      <c r="AK628">
        <v>23</v>
      </c>
      <c r="AL628">
        <v>24</v>
      </c>
      <c r="AM628">
        <v>22</v>
      </c>
      <c r="AN628">
        <v>4</v>
      </c>
      <c r="AO628">
        <v>19</v>
      </c>
      <c r="AP628">
        <v>7</v>
      </c>
      <c r="AQ628">
        <v>10</v>
      </c>
      <c r="AR628">
        <v>12</v>
      </c>
      <c r="AS628">
        <v>5</v>
      </c>
    </row>
    <row r="629" spans="1:45" x14ac:dyDescent="0.25">
      <c r="A629">
        <v>7</v>
      </c>
      <c r="B629" t="s">
        <v>396</v>
      </c>
      <c r="C629">
        <v>0.8</v>
      </c>
      <c r="D629">
        <v>0.7</v>
      </c>
      <c r="E629" t="s">
        <v>385</v>
      </c>
      <c r="U629">
        <v>528</v>
      </c>
      <c r="V629">
        <v>14</v>
      </c>
      <c r="W629">
        <v>12</v>
      </c>
      <c r="X629">
        <v>17</v>
      </c>
      <c r="Y629">
        <v>18</v>
      </c>
      <c r="Z629">
        <v>10</v>
      </c>
      <c r="AA629">
        <v>20</v>
      </c>
      <c r="AB629">
        <v>13</v>
      </c>
      <c r="AC629">
        <v>2</v>
      </c>
      <c r="AD629">
        <v>3</v>
      </c>
      <c r="AE629">
        <v>1</v>
      </c>
      <c r="AF629">
        <v>16</v>
      </c>
      <c r="AG629">
        <v>15</v>
      </c>
      <c r="AH629">
        <v>8</v>
      </c>
      <c r="AI629">
        <v>11</v>
      </c>
      <c r="AJ629">
        <v>9</v>
      </c>
      <c r="AK629">
        <v>23</v>
      </c>
      <c r="AL629">
        <v>22</v>
      </c>
      <c r="AM629">
        <v>24</v>
      </c>
      <c r="AN629">
        <v>6</v>
      </c>
      <c r="AO629">
        <v>21</v>
      </c>
      <c r="AP629">
        <v>7</v>
      </c>
      <c r="AQ629">
        <v>19</v>
      </c>
      <c r="AR629">
        <v>4</v>
      </c>
      <c r="AS629">
        <v>5</v>
      </c>
    </row>
    <row r="630" spans="1:45" x14ac:dyDescent="0.25">
      <c r="A630">
        <v>7</v>
      </c>
      <c r="B630" t="s">
        <v>381</v>
      </c>
      <c r="C630">
        <v>0.6</v>
      </c>
      <c r="D630">
        <v>0.9</v>
      </c>
      <c r="E630" t="s">
        <v>382</v>
      </c>
      <c r="U630">
        <v>529</v>
      </c>
      <c r="V630">
        <v>15</v>
      </c>
      <c r="W630">
        <v>10</v>
      </c>
      <c r="X630">
        <v>17</v>
      </c>
      <c r="Y630">
        <v>13</v>
      </c>
      <c r="Z630">
        <v>12</v>
      </c>
      <c r="AA630">
        <v>18</v>
      </c>
      <c r="AB630">
        <v>5</v>
      </c>
      <c r="AC630">
        <v>2</v>
      </c>
      <c r="AD630">
        <v>3</v>
      </c>
      <c r="AE630">
        <v>1</v>
      </c>
      <c r="AF630">
        <v>14</v>
      </c>
      <c r="AG630">
        <v>22</v>
      </c>
      <c r="AH630">
        <v>8</v>
      </c>
      <c r="AI630">
        <v>16</v>
      </c>
      <c r="AJ630">
        <v>11</v>
      </c>
      <c r="AK630">
        <v>20</v>
      </c>
      <c r="AL630">
        <v>24</v>
      </c>
      <c r="AM630">
        <v>23</v>
      </c>
      <c r="AN630">
        <v>4</v>
      </c>
      <c r="AO630">
        <v>19</v>
      </c>
      <c r="AP630">
        <v>9</v>
      </c>
      <c r="AQ630">
        <v>21</v>
      </c>
      <c r="AR630">
        <v>6</v>
      </c>
      <c r="AS630">
        <v>7</v>
      </c>
    </row>
    <row r="631" spans="1:45" x14ac:dyDescent="0.25">
      <c r="A631">
        <v>7</v>
      </c>
      <c r="B631" t="s">
        <v>393</v>
      </c>
      <c r="C631">
        <v>1</v>
      </c>
      <c r="D631">
        <v>0.6</v>
      </c>
      <c r="E631" t="s">
        <v>399</v>
      </c>
      <c r="U631">
        <v>530</v>
      </c>
      <c r="V631">
        <v>16</v>
      </c>
      <c r="W631">
        <v>9</v>
      </c>
      <c r="X631">
        <v>11</v>
      </c>
      <c r="Y631">
        <v>10</v>
      </c>
      <c r="Z631">
        <v>14</v>
      </c>
      <c r="AA631">
        <v>19</v>
      </c>
      <c r="AB631">
        <v>4</v>
      </c>
      <c r="AC631">
        <v>2</v>
      </c>
      <c r="AD631">
        <v>3</v>
      </c>
      <c r="AE631">
        <v>1</v>
      </c>
      <c r="AF631">
        <v>8</v>
      </c>
      <c r="AG631">
        <v>21</v>
      </c>
      <c r="AH631">
        <v>17</v>
      </c>
      <c r="AI631">
        <v>18</v>
      </c>
      <c r="AJ631">
        <v>13</v>
      </c>
      <c r="AK631">
        <v>22</v>
      </c>
      <c r="AL631">
        <v>24</v>
      </c>
      <c r="AM631">
        <v>23</v>
      </c>
      <c r="AN631">
        <v>5</v>
      </c>
      <c r="AO631">
        <v>20</v>
      </c>
      <c r="AP631">
        <v>7</v>
      </c>
      <c r="AQ631">
        <v>15</v>
      </c>
      <c r="AR631">
        <v>12</v>
      </c>
      <c r="AS631">
        <v>6</v>
      </c>
    </row>
    <row r="632" spans="1:45" x14ac:dyDescent="0.25">
      <c r="A632">
        <v>7</v>
      </c>
      <c r="B632" t="s">
        <v>392</v>
      </c>
      <c r="C632">
        <v>0.6</v>
      </c>
      <c r="D632">
        <v>1.1000000000000001</v>
      </c>
      <c r="E632" t="s">
        <v>378</v>
      </c>
      <c r="U632">
        <v>531</v>
      </c>
      <c r="V632">
        <v>19</v>
      </c>
      <c r="W632">
        <v>7</v>
      </c>
      <c r="X632">
        <v>16</v>
      </c>
      <c r="Y632">
        <v>11</v>
      </c>
      <c r="Z632">
        <v>15</v>
      </c>
      <c r="AA632">
        <v>20</v>
      </c>
      <c r="AB632">
        <v>6</v>
      </c>
      <c r="AC632">
        <v>2</v>
      </c>
      <c r="AD632">
        <v>3</v>
      </c>
      <c r="AE632">
        <v>1</v>
      </c>
      <c r="AF632">
        <v>8</v>
      </c>
      <c r="AG632">
        <v>21</v>
      </c>
      <c r="AH632">
        <v>14</v>
      </c>
      <c r="AI632">
        <v>13</v>
      </c>
      <c r="AJ632">
        <v>12</v>
      </c>
      <c r="AK632">
        <v>22</v>
      </c>
      <c r="AL632">
        <v>24</v>
      </c>
      <c r="AM632">
        <v>23</v>
      </c>
      <c r="AN632">
        <v>4</v>
      </c>
      <c r="AO632">
        <v>18</v>
      </c>
      <c r="AP632">
        <v>10</v>
      </c>
      <c r="AQ632">
        <v>17</v>
      </c>
      <c r="AR632">
        <v>9</v>
      </c>
      <c r="AS632">
        <v>5</v>
      </c>
    </row>
    <row r="633" spans="1:45" x14ac:dyDescent="0.25">
      <c r="A633">
        <v>7</v>
      </c>
      <c r="B633" t="s">
        <v>395</v>
      </c>
      <c r="C633">
        <v>1.3</v>
      </c>
      <c r="D633">
        <v>0.7</v>
      </c>
      <c r="E633" t="s">
        <v>388</v>
      </c>
      <c r="U633">
        <v>532</v>
      </c>
      <c r="V633">
        <v>18</v>
      </c>
      <c r="W633">
        <v>11</v>
      </c>
      <c r="X633">
        <v>13</v>
      </c>
      <c r="Y633">
        <v>14</v>
      </c>
      <c r="Z633">
        <v>12</v>
      </c>
      <c r="AA633">
        <v>21</v>
      </c>
      <c r="AB633">
        <v>5</v>
      </c>
      <c r="AC633">
        <v>2</v>
      </c>
      <c r="AD633">
        <v>4</v>
      </c>
      <c r="AE633">
        <v>1</v>
      </c>
      <c r="AF633">
        <v>10</v>
      </c>
      <c r="AG633">
        <v>19</v>
      </c>
      <c r="AH633">
        <v>6</v>
      </c>
      <c r="AI633">
        <v>17</v>
      </c>
      <c r="AJ633">
        <v>15</v>
      </c>
      <c r="AK633">
        <v>20</v>
      </c>
      <c r="AL633">
        <v>23</v>
      </c>
      <c r="AM633">
        <v>24</v>
      </c>
      <c r="AN633">
        <v>3</v>
      </c>
      <c r="AO633">
        <v>22</v>
      </c>
      <c r="AP633">
        <v>7</v>
      </c>
      <c r="AQ633">
        <v>16</v>
      </c>
      <c r="AR633">
        <v>9</v>
      </c>
      <c r="AS633">
        <v>8</v>
      </c>
    </row>
    <row r="634" spans="1:45" x14ac:dyDescent="0.25">
      <c r="A634">
        <v>7</v>
      </c>
      <c r="B634" t="s">
        <v>384</v>
      </c>
      <c r="C634">
        <v>1.3</v>
      </c>
      <c r="D634">
        <v>1.5</v>
      </c>
      <c r="E634" t="s">
        <v>386</v>
      </c>
      <c r="U634">
        <v>533</v>
      </c>
      <c r="V634">
        <v>18</v>
      </c>
      <c r="W634">
        <v>10</v>
      </c>
      <c r="X634">
        <v>12</v>
      </c>
      <c r="Y634">
        <v>16</v>
      </c>
      <c r="Z634">
        <v>14</v>
      </c>
      <c r="AA634">
        <v>20</v>
      </c>
      <c r="AB634">
        <v>5</v>
      </c>
      <c r="AC634">
        <v>2</v>
      </c>
      <c r="AD634">
        <v>3</v>
      </c>
      <c r="AE634">
        <v>1</v>
      </c>
      <c r="AF634">
        <v>6</v>
      </c>
      <c r="AG634">
        <v>19</v>
      </c>
      <c r="AH634">
        <v>8</v>
      </c>
      <c r="AI634">
        <v>13</v>
      </c>
      <c r="AJ634">
        <v>17</v>
      </c>
      <c r="AK634">
        <v>22</v>
      </c>
      <c r="AL634">
        <v>23</v>
      </c>
      <c r="AM634">
        <v>24</v>
      </c>
      <c r="AN634">
        <v>4</v>
      </c>
      <c r="AO634">
        <v>21</v>
      </c>
      <c r="AP634">
        <v>9</v>
      </c>
      <c r="AQ634">
        <v>15</v>
      </c>
      <c r="AR634">
        <v>7</v>
      </c>
      <c r="AS634">
        <v>11</v>
      </c>
    </row>
    <row r="635" spans="1:45" x14ac:dyDescent="0.25">
      <c r="A635">
        <v>7</v>
      </c>
      <c r="B635" t="s">
        <v>400</v>
      </c>
      <c r="C635">
        <v>0.9</v>
      </c>
      <c r="D635">
        <v>0.6</v>
      </c>
      <c r="E635" t="s">
        <v>401</v>
      </c>
      <c r="U635">
        <v>534</v>
      </c>
      <c r="V635">
        <v>13</v>
      </c>
      <c r="W635">
        <v>5</v>
      </c>
      <c r="X635">
        <v>14</v>
      </c>
      <c r="Y635">
        <v>9</v>
      </c>
      <c r="Z635">
        <v>19</v>
      </c>
      <c r="AA635">
        <v>21</v>
      </c>
      <c r="AB635">
        <v>4</v>
      </c>
      <c r="AC635">
        <v>2</v>
      </c>
      <c r="AD635">
        <v>7</v>
      </c>
      <c r="AE635">
        <v>1</v>
      </c>
      <c r="AF635">
        <v>12</v>
      </c>
      <c r="AG635">
        <v>18</v>
      </c>
      <c r="AH635">
        <v>8</v>
      </c>
      <c r="AI635">
        <v>17</v>
      </c>
      <c r="AJ635">
        <v>15</v>
      </c>
      <c r="AK635">
        <v>22</v>
      </c>
      <c r="AL635">
        <v>24</v>
      </c>
      <c r="AM635">
        <v>23</v>
      </c>
      <c r="AN635">
        <v>3</v>
      </c>
      <c r="AO635">
        <v>20</v>
      </c>
      <c r="AP635">
        <v>10</v>
      </c>
      <c r="AQ635">
        <v>16</v>
      </c>
      <c r="AR635">
        <v>11</v>
      </c>
      <c r="AS635">
        <v>6</v>
      </c>
    </row>
    <row r="636" spans="1:45" x14ac:dyDescent="0.25">
      <c r="A636">
        <v>7</v>
      </c>
      <c r="B636" t="s">
        <v>383</v>
      </c>
      <c r="C636">
        <v>1</v>
      </c>
      <c r="D636">
        <v>2.2999999999999998</v>
      </c>
      <c r="E636" t="s">
        <v>397</v>
      </c>
      <c r="U636">
        <v>535</v>
      </c>
      <c r="V636">
        <v>19</v>
      </c>
      <c r="W636">
        <v>12</v>
      </c>
      <c r="X636">
        <v>13</v>
      </c>
      <c r="Y636">
        <v>9</v>
      </c>
      <c r="Z636">
        <v>8</v>
      </c>
      <c r="AA636">
        <v>23</v>
      </c>
      <c r="AB636">
        <v>6</v>
      </c>
      <c r="AC636">
        <v>2</v>
      </c>
      <c r="AD636">
        <v>4</v>
      </c>
      <c r="AE636">
        <v>1</v>
      </c>
      <c r="AF636">
        <v>11</v>
      </c>
      <c r="AG636">
        <v>17</v>
      </c>
      <c r="AH636">
        <v>10</v>
      </c>
      <c r="AI636">
        <v>15</v>
      </c>
      <c r="AJ636">
        <v>18</v>
      </c>
      <c r="AK636">
        <v>21</v>
      </c>
      <c r="AL636">
        <v>22</v>
      </c>
      <c r="AM636">
        <v>24</v>
      </c>
      <c r="AN636">
        <v>3</v>
      </c>
      <c r="AO636">
        <v>20</v>
      </c>
      <c r="AP636">
        <v>7</v>
      </c>
      <c r="AQ636">
        <v>16</v>
      </c>
      <c r="AR636">
        <v>14</v>
      </c>
      <c r="AS636">
        <v>5</v>
      </c>
    </row>
    <row r="637" spans="1:45" x14ac:dyDescent="0.25">
      <c r="A637">
        <v>7</v>
      </c>
      <c r="B637" t="s">
        <v>379</v>
      </c>
      <c r="C637">
        <v>2.8</v>
      </c>
      <c r="D637">
        <v>1.6</v>
      </c>
      <c r="E637" t="s">
        <v>398</v>
      </c>
      <c r="U637">
        <v>536</v>
      </c>
      <c r="V637">
        <v>12</v>
      </c>
      <c r="W637">
        <v>13</v>
      </c>
      <c r="X637">
        <v>18</v>
      </c>
      <c r="Y637">
        <v>14</v>
      </c>
      <c r="Z637">
        <v>15</v>
      </c>
      <c r="AA637">
        <v>20</v>
      </c>
      <c r="AB637">
        <v>5</v>
      </c>
      <c r="AC637">
        <v>2</v>
      </c>
      <c r="AD637">
        <v>4</v>
      </c>
      <c r="AE637">
        <v>1</v>
      </c>
      <c r="AF637">
        <v>11</v>
      </c>
      <c r="AG637">
        <v>19</v>
      </c>
      <c r="AH637">
        <v>16</v>
      </c>
      <c r="AI637">
        <v>17</v>
      </c>
      <c r="AJ637">
        <v>10</v>
      </c>
      <c r="AK637">
        <v>22</v>
      </c>
      <c r="AL637">
        <v>24</v>
      </c>
      <c r="AM637">
        <v>23</v>
      </c>
      <c r="AN637">
        <v>3</v>
      </c>
      <c r="AO637">
        <v>21</v>
      </c>
      <c r="AP637">
        <v>8</v>
      </c>
      <c r="AQ637">
        <v>9</v>
      </c>
      <c r="AR637">
        <v>6</v>
      </c>
      <c r="AS637">
        <v>7</v>
      </c>
    </row>
    <row r="638" spans="1:45" x14ac:dyDescent="0.25">
      <c r="A638">
        <v>7</v>
      </c>
      <c r="B638" t="s">
        <v>389</v>
      </c>
      <c r="C638">
        <v>1.5</v>
      </c>
      <c r="D638">
        <v>0.4</v>
      </c>
      <c r="E638" t="s">
        <v>394</v>
      </c>
      <c r="U638">
        <v>537</v>
      </c>
      <c r="V638">
        <v>15</v>
      </c>
      <c r="W638">
        <v>12</v>
      </c>
      <c r="X638">
        <v>8</v>
      </c>
      <c r="Y638">
        <v>11</v>
      </c>
      <c r="Z638">
        <v>18</v>
      </c>
      <c r="AA638">
        <v>21</v>
      </c>
      <c r="AB638">
        <v>7</v>
      </c>
      <c r="AC638">
        <v>3</v>
      </c>
      <c r="AD638">
        <v>2</v>
      </c>
      <c r="AE638">
        <v>1</v>
      </c>
      <c r="AF638">
        <v>9</v>
      </c>
      <c r="AG638">
        <v>19</v>
      </c>
      <c r="AH638">
        <v>13</v>
      </c>
      <c r="AI638">
        <v>16</v>
      </c>
      <c r="AJ638">
        <v>10</v>
      </c>
      <c r="AK638">
        <v>22</v>
      </c>
      <c r="AL638">
        <v>24</v>
      </c>
      <c r="AM638">
        <v>23</v>
      </c>
      <c r="AN638">
        <v>4</v>
      </c>
      <c r="AO638">
        <v>17</v>
      </c>
      <c r="AP638">
        <v>14</v>
      </c>
      <c r="AQ638">
        <v>20</v>
      </c>
      <c r="AR638">
        <v>5</v>
      </c>
      <c r="AS638">
        <v>6</v>
      </c>
    </row>
    <row r="639" spans="1:45" x14ac:dyDescent="0.25">
      <c r="A639">
        <v>7</v>
      </c>
      <c r="B639" t="s">
        <v>390</v>
      </c>
      <c r="C639">
        <v>0.9</v>
      </c>
      <c r="D639">
        <v>2.2999999999999998</v>
      </c>
      <c r="E639" t="s">
        <v>387</v>
      </c>
      <c r="U639">
        <v>538</v>
      </c>
      <c r="V639">
        <v>14</v>
      </c>
      <c r="W639">
        <v>9</v>
      </c>
      <c r="X639">
        <v>16</v>
      </c>
      <c r="Y639">
        <v>13</v>
      </c>
      <c r="Z639">
        <v>11</v>
      </c>
      <c r="AA639">
        <v>21</v>
      </c>
      <c r="AB639">
        <v>6</v>
      </c>
      <c r="AC639">
        <v>2</v>
      </c>
      <c r="AD639">
        <v>3</v>
      </c>
      <c r="AE639">
        <v>1</v>
      </c>
      <c r="AF639">
        <v>12</v>
      </c>
      <c r="AG639">
        <v>15</v>
      </c>
      <c r="AH639">
        <v>20</v>
      </c>
      <c r="AI639">
        <v>19</v>
      </c>
      <c r="AJ639">
        <v>10</v>
      </c>
      <c r="AK639">
        <v>22</v>
      </c>
      <c r="AL639">
        <v>23</v>
      </c>
      <c r="AM639">
        <v>24</v>
      </c>
      <c r="AN639">
        <v>4</v>
      </c>
      <c r="AO639">
        <v>18</v>
      </c>
      <c r="AP639">
        <v>8</v>
      </c>
      <c r="AQ639">
        <v>17</v>
      </c>
      <c r="AR639">
        <v>7</v>
      </c>
      <c r="AS639">
        <v>5</v>
      </c>
    </row>
    <row r="640" spans="1:45" x14ac:dyDescent="0.25">
      <c r="A640">
        <v>8</v>
      </c>
      <c r="B640" t="s">
        <v>378</v>
      </c>
      <c r="C640">
        <v>1.1000000000000001</v>
      </c>
      <c r="D640">
        <v>1</v>
      </c>
      <c r="E640" t="s">
        <v>393</v>
      </c>
      <c r="U640">
        <v>539</v>
      </c>
      <c r="V640">
        <v>18</v>
      </c>
      <c r="W640">
        <v>7</v>
      </c>
      <c r="X640">
        <v>20</v>
      </c>
      <c r="Y640">
        <v>10</v>
      </c>
      <c r="Z640">
        <v>13</v>
      </c>
      <c r="AA640">
        <v>17</v>
      </c>
      <c r="AB640">
        <v>6</v>
      </c>
      <c r="AC640">
        <v>2</v>
      </c>
      <c r="AD640">
        <v>5</v>
      </c>
      <c r="AE640">
        <v>1</v>
      </c>
      <c r="AF640">
        <v>11</v>
      </c>
      <c r="AG640">
        <v>19</v>
      </c>
      <c r="AH640">
        <v>15</v>
      </c>
      <c r="AI640">
        <v>14</v>
      </c>
      <c r="AJ640">
        <v>12</v>
      </c>
      <c r="AK640">
        <v>22</v>
      </c>
      <c r="AL640">
        <v>23</v>
      </c>
      <c r="AM640">
        <v>24</v>
      </c>
      <c r="AN640">
        <v>4</v>
      </c>
      <c r="AO640">
        <v>21</v>
      </c>
      <c r="AP640">
        <v>9</v>
      </c>
      <c r="AQ640">
        <v>16</v>
      </c>
      <c r="AR640">
        <v>8</v>
      </c>
      <c r="AS640">
        <v>3</v>
      </c>
    </row>
    <row r="641" spans="1:45" x14ac:dyDescent="0.25">
      <c r="A641">
        <v>8</v>
      </c>
      <c r="B641" t="s">
        <v>391</v>
      </c>
      <c r="C641">
        <v>3.2</v>
      </c>
      <c r="D641">
        <v>1.9</v>
      </c>
      <c r="E641" t="s">
        <v>390</v>
      </c>
      <c r="U641">
        <v>540</v>
      </c>
      <c r="V641">
        <v>17</v>
      </c>
      <c r="W641">
        <v>7</v>
      </c>
      <c r="X641">
        <v>8</v>
      </c>
      <c r="Y641">
        <v>10</v>
      </c>
      <c r="Z641">
        <v>14</v>
      </c>
      <c r="AA641">
        <v>22</v>
      </c>
      <c r="AB641">
        <v>5</v>
      </c>
      <c r="AC641">
        <v>2</v>
      </c>
      <c r="AD641">
        <v>4</v>
      </c>
      <c r="AE641">
        <v>1</v>
      </c>
      <c r="AF641">
        <v>11</v>
      </c>
      <c r="AG641">
        <v>18</v>
      </c>
      <c r="AH641">
        <v>16</v>
      </c>
      <c r="AI641">
        <v>15</v>
      </c>
      <c r="AJ641">
        <v>12</v>
      </c>
      <c r="AK641">
        <v>21</v>
      </c>
      <c r="AL641">
        <v>23</v>
      </c>
      <c r="AM641">
        <v>24</v>
      </c>
      <c r="AN641">
        <v>3</v>
      </c>
      <c r="AO641">
        <v>20</v>
      </c>
      <c r="AP641">
        <v>9</v>
      </c>
      <c r="AQ641">
        <v>19</v>
      </c>
      <c r="AR641">
        <v>13</v>
      </c>
      <c r="AS641">
        <v>6</v>
      </c>
    </row>
    <row r="642" spans="1:45" x14ac:dyDescent="0.25">
      <c r="A642">
        <v>8</v>
      </c>
      <c r="B642" t="s">
        <v>388</v>
      </c>
      <c r="C642">
        <v>3</v>
      </c>
      <c r="D642">
        <v>1.4</v>
      </c>
      <c r="E642" t="s">
        <v>396</v>
      </c>
      <c r="U642">
        <v>541</v>
      </c>
      <c r="V642">
        <v>21</v>
      </c>
      <c r="W642">
        <v>8</v>
      </c>
      <c r="X642">
        <v>12</v>
      </c>
      <c r="Y642">
        <v>14</v>
      </c>
      <c r="Z642">
        <v>16</v>
      </c>
      <c r="AA642">
        <v>20</v>
      </c>
      <c r="AB642">
        <v>5</v>
      </c>
      <c r="AC642">
        <v>2</v>
      </c>
      <c r="AD642">
        <v>3</v>
      </c>
      <c r="AE642">
        <v>1</v>
      </c>
      <c r="AF642">
        <v>9</v>
      </c>
      <c r="AG642">
        <v>19</v>
      </c>
      <c r="AH642">
        <v>15</v>
      </c>
      <c r="AI642">
        <v>17</v>
      </c>
      <c r="AJ642">
        <v>11</v>
      </c>
      <c r="AK642">
        <v>23</v>
      </c>
      <c r="AL642">
        <v>24</v>
      </c>
      <c r="AM642">
        <v>22</v>
      </c>
      <c r="AN642">
        <v>6</v>
      </c>
      <c r="AO642">
        <v>13</v>
      </c>
      <c r="AP642">
        <v>7</v>
      </c>
      <c r="AQ642">
        <v>18</v>
      </c>
      <c r="AR642">
        <v>10</v>
      </c>
      <c r="AS642">
        <v>4</v>
      </c>
    </row>
    <row r="643" spans="1:45" x14ac:dyDescent="0.25">
      <c r="A643">
        <v>8</v>
      </c>
      <c r="B643" t="s">
        <v>401</v>
      </c>
      <c r="C643">
        <v>1.4</v>
      </c>
      <c r="D643">
        <v>1</v>
      </c>
      <c r="E643" t="s">
        <v>389</v>
      </c>
      <c r="U643">
        <v>542</v>
      </c>
      <c r="V643">
        <v>19</v>
      </c>
      <c r="W643">
        <v>9</v>
      </c>
      <c r="X643">
        <v>14</v>
      </c>
      <c r="Y643">
        <v>13</v>
      </c>
      <c r="Z643">
        <v>11</v>
      </c>
      <c r="AA643">
        <v>22</v>
      </c>
      <c r="AB643">
        <v>7</v>
      </c>
      <c r="AC643">
        <v>3</v>
      </c>
      <c r="AD643">
        <v>2</v>
      </c>
      <c r="AE643">
        <v>1</v>
      </c>
      <c r="AF643">
        <v>8</v>
      </c>
      <c r="AG643">
        <v>20</v>
      </c>
      <c r="AH643">
        <v>5</v>
      </c>
      <c r="AI643">
        <v>15</v>
      </c>
      <c r="AJ643">
        <v>17</v>
      </c>
      <c r="AK643">
        <v>21</v>
      </c>
      <c r="AL643">
        <v>24</v>
      </c>
      <c r="AM643">
        <v>23</v>
      </c>
      <c r="AN643">
        <v>4</v>
      </c>
      <c r="AO643">
        <v>16</v>
      </c>
      <c r="AP643" t="e">
        <v>#N/A</v>
      </c>
      <c r="AQ643">
        <v>18</v>
      </c>
      <c r="AR643">
        <v>10</v>
      </c>
      <c r="AS643">
        <v>6</v>
      </c>
    </row>
    <row r="644" spans="1:45" x14ac:dyDescent="0.25">
      <c r="A644">
        <v>8</v>
      </c>
      <c r="B644" t="s">
        <v>387</v>
      </c>
      <c r="C644">
        <v>2.2999999999999998</v>
      </c>
      <c r="D644">
        <v>0.3</v>
      </c>
      <c r="E644" t="s">
        <v>380</v>
      </c>
      <c r="U644">
        <v>543</v>
      </c>
      <c r="V644">
        <v>15</v>
      </c>
      <c r="W644">
        <v>8</v>
      </c>
      <c r="X644">
        <v>12</v>
      </c>
      <c r="Y644">
        <v>13</v>
      </c>
      <c r="Z644">
        <v>19</v>
      </c>
      <c r="AA644">
        <v>20</v>
      </c>
      <c r="AB644">
        <v>6</v>
      </c>
      <c r="AC644">
        <v>2</v>
      </c>
      <c r="AD644">
        <v>4</v>
      </c>
      <c r="AE644">
        <v>1</v>
      </c>
      <c r="AF644">
        <v>11</v>
      </c>
      <c r="AG644">
        <v>14</v>
      </c>
      <c r="AH644">
        <v>7</v>
      </c>
      <c r="AI644">
        <v>17</v>
      </c>
      <c r="AJ644">
        <v>18</v>
      </c>
      <c r="AK644">
        <v>22</v>
      </c>
      <c r="AL644">
        <v>23</v>
      </c>
      <c r="AM644">
        <v>24</v>
      </c>
      <c r="AN644">
        <v>3</v>
      </c>
      <c r="AO644">
        <v>21</v>
      </c>
      <c r="AP644">
        <v>5</v>
      </c>
      <c r="AQ644">
        <v>16</v>
      </c>
      <c r="AR644">
        <v>10</v>
      </c>
      <c r="AS644">
        <v>9</v>
      </c>
    </row>
    <row r="645" spans="1:45" x14ac:dyDescent="0.25">
      <c r="A645">
        <v>8</v>
      </c>
      <c r="B645" t="s">
        <v>399</v>
      </c>
      <c r="C645">
        <v>2</v>
      </c>
      <c r="D645">
        <v>0.7</v>
      </c>
      <c r="E645" t="s">
        <v>395</v>
      </c>
      <c r="U645">
        <v>544</v>
      </c>
      <c r="V645">
        <v>10</v>
      </c>
      <c r="W645">
        <v>9</v>
      </c>
      <c r="X645">
        <v>17</v>
      </c>
      <c r="Y645">
        <v>15</v>
      </c>
      <c r="Z645">
        <v>16</v>
      </c>
      <c r="AA645">
        <v>20</v>
      </c>
      <c r="AB645">
        <v>5</v>
      </c>
      <c r="AC645">
        <v>2</v>
      </c>
      <c r="AD645">
        <v>3</v>
      </c>
      <c r="AE645">
        <v>1</v>
      </c>
      <c r="AF645">
        <v>13</v>
      </c>
      <c r="AG645">
        <v>19</v>
      </c>
      <c r="AH645">
        <v>7</v>
      </c>
      <c r="AI645">
        <v>14</v>
      </c>
      <c r="AJ645">
        <v>12</v>
      </c>
      <c r="AK645">
        <v>22</v>
      </c>
      <c r="AL645">
        <v>24</v>
      </c>
      <c r="AM645">
        <v>23</v>
      </c>
      <c r="AN645">
        <v>4</v>
      </c>
      <c r="AO645">
        <v>21</v>
      </c>
      <c r="AP645">
        <v>11</v>
      </c>
      <c r="AQ645">
        <v>18</v>
      </c>
      <c r="AR645">
        <v>6</v>
      </c>
      <c r="AS645">
        <v>8</v>
      </c>
    </row>
    <row r="646" spans="1:45" x14ac:dyDescent="0.25">
      <c r="A646">
        <v>8</v>
      </c>
      <c r="B646" t="s">
        <v>394</v>
      </c>
      <c r="C646">
        <v>0.1</v>
      </c>
      <c r="D646">
        <v>1.8</v>
      </c>
      <c r="E646" t="s">
        <v>392</v>
      </c>
      <c r="U646">
        <v>545</v>
      </c>
      <c r="V646">
        <v>18</v>
      </c>
      <c r="W646">
        <v>8</v>
      </c>
      <c r="X646">
        <v>10</v>
      </c>
      <c r="Y646">
        <v>13</v>
      </c>
      <c r="Z646">
        <v>15</v>
      </c>
      <c r="AA646">
        <v>21</v>
      </c>
      <c r="AB646">
        <v>6</v>
      </c>
      <c r="AC646">
        <v>2</v>
      </c>
      <c r="AD646">
        <v>4</v>
      </c>
      <c r="AE646">
        <v>1</v>
      </c>
      <c r="AF646">
        <v>7</v>
      </c>
      <c r="AG646">
        <v>17</v>
      </c>
      <c r="AH646">
        <v>14</v>
      </c>
      <c r="AI646">
        <v>16</v>
      </c>
      <c r="AJ646">
        <v>12</v>
      </c>
      <c r="AK646">
        <v>22</v>
      </c>
      <c r="AL646">
        <v>24</v>
      </c>
      <c r="AM646">
        <v>23</v>
      </c>
      <c r="AN646">
        <v>3</v>
      </c>
      <c r="AO646">
        <v>20</v>
      </c>
      <c r="AP646">
        <v>9</v>
      </c>
      <c r="AQ646">
        <v>19</v>
      </c>
      <c r="AR646">
        <v>11</v>
      </c>
      <c r="AS646">
        <v>5</v>
      </c>
    </row>
    <row r="647" spans="1:45" x14ac:dyDescent="0.25">
      <c r="A647">
        <v>8</v>
      </c>
      <c r="B647" t="s">
        <v>386</v>
      </c>
      <c r="C647">
        <v>2.6</v>
      </c>
      <c r="D647">
        <v>0.2</v>
      </c>
      <c r="E647" t="s">
        <v>400</v>
      </c>
      <c r="U647">
        <v>546</v>
      </c>
      <c r="V647">
        <v>16</v>
      </c>
      <c r="W647">
        <v>11</v>
      </c>
      <c r="X647">
        <v>17</v>
      </c>
      <c r="Y647">
        <v>10</v>
      </c>
      <c r="Z647">
        <v>12</v>
      </c>
      <c r="AA647">
        <v>20</v>
      </c>
      <c r="AB647">
        <v>6</v>
      </c>
      <c r="AC647">
        <v>2</v>
      </c>
      <c r="AD647">
        <v>4</v>
      </c>
      <c r="AE647">
        <v>1</v>
      </c>
      <c r="AF647">
        <v>13</v>
      </c>
      <c r="AG647">
        <v>18</v>
      </c>
      <c r="AH647">
        <v>14</v>
      </c>
      <c r="AI647">
        <v>19</v>
      </c>
      <c r="AJ647">
        <v>8</v>
      </c>
      <c r="AK647">
        <v>22</v>
      </c>
      <c r="AL647">
        <v>23</v>
      </c>
      <c r="AM647">
        <v>24</v>
      </c>
      <c r="AN647">
        <v>3</v>
      </c>
      <c r="AO647">
        <v>21</v>
      </c>
      <c r="AP647">
        <v>7</v>
      </c>
      <c r="AQ647">
        <v>15</v>
      </c>
      <c r="AR647">
        <v>9</v>
      </c>
      <c r="AS647">
        <v>5</v>
      </c>
    </row>
    <row r="648" spans="1:45" x14ac:dyDescent="0.25">
      <c r="A648">
        <v>8</v>
      </c>
      <c r="B648" t="s">
        <v>385</v>
      </c>
      <c r="C648">
        <v>2.9</v>
      </c>
      <c r="D648">
        <v>0.9</v>
      </c>
      <c r="E648" t="s">
        <v>379</v>
      </c>
      <c r="U648">
        <v>547</v>
      </c>
      <c r="V648">
        <v>17</v>
      </c>
      <c r="W648">
        <v>10</v>
      </c>
      <c r="X648">
        <v>9</v>
      </c>
      <c r="Y648">
        <v>16</v>
      </c>
      <c r="Z648">
        <v>13</v>
      </c>
      <c r="AA648">
        <v>22</v>
      </c>
      <c r="AB648">
        <v>6</v>
      </c>
      <c r="AC648">
        <v>3</v>
      </c>
      <c r="AD648">
        <v>4</v>
      </c>
      <c r="AE648">
        <v>1</v>
      </c>
      <c r="AF648">
        <v>11</v>
      </c>
      <c r="AG648">
        <v>20</v>
      </c>
      <c r="AH648">
        <v>12</v>
      </c>
      <c r="AI648">
        <v>18</v>
      </c>
      <c r="AJ648">
        <v>14</v>
      </c>
      <c r="AK648">
        <v>21</v>
      </c>
      <c r="AL648">
        <v>23</v>
      </c>
      <c r="AM648">
        <v>24</v>
      </c>
      <c r="AN648">
        <v>2</v>
      </c>
      <c r="AO648">
        <v>19</v>
      </c>
      <c r="AP648">
        <v>7</v>
      </c>
      <c r="AQ648">
        <v>15</v>
      </c>
      <c r="AR648">
        <v>8</v>
      </c>
      <c r="AS648">
        <v>5</v>
      </c>
    </row>
    <row r="649" spans="1:45" x14ac:dyDescent="0.25">
      <c r="A649">
        <v>8</v>
      </c>
      <c r="B649" t="s">
        <v>397</v>
      </c>
      <c r="C649">
        <v>0.6</v>
      </c>
      <c r="D649">
        <v>1.3</v>
      </c>
      <c r="E649" t="s">
        <v>384</v>
      </c>
      <c r="U649">
        <v>548</v>
      </c>
      <c r="V649">
        <v>15</v>
      </c>
      <c r="W649">
        <v>10</v>
      </c>
      <c r="X649">
        <v>17</v>
      </c>
      <c r="Y649">
        <v>11</v>
      </c>
      <c r="Z649">
        <v>14</v>
      </c>
      <c r="AA649">
        <v>21</v>
      </c>
      <c r="AB649">
        <v>5</v>
      </c>
      <c r="AC649">
        <v>2</v>
      </c>
      <c r="AD649">
        <v>3</v>
      </c>
      <c r="AE649">
        <v>1</v>
      </c>
      <c r="AF649">
        <v>13</v>
      </c>
      <c r="AG649">
        <v>16</v>
      </c>
      <c r="AH649">
        <v>9</v>
      </c>
      <c r="AI649">
        <v>18</v>
      </c>
      <c r="AJ649">
        <v>12</v>
      </c>
      <c r="AK649">
        <v>22</v>
      </c>
      <c r="AL649">
        <v>24</v>
      </c>
      <c r="AM649">
        <v>23</v>
      </c>
      <c r="AN649">
        <v>4</v>
      </c>
      <c r="AO649">
        <v>20</v>
      </c>
      <c r="AP649">
        <v>8</v>
      </c>
      <c r="AQ649">
        <v>19</v>
      </c>
      <c r="AR649">
        <v>6</v>
      </c>
      <c r="AS649">
        <v>7</v>
      </c>
    </row>
    <row r="650" spans="1:45" x14ac:dyDescent="0.25">
      <c r="A650">
        <v>8</v>
      </c>
      <c r="B650" t="s">
        <v>398</v>
      </c>
      <c r="C650">
        <v>1.2</v>
      </c>
      <c r="D650">
        <v>1.7</v>
      </c>
      <c r="E650" t="s">
        <v>381</v>
      </c>
      <c r="U650">
        <v>549</v>
      </c>
      <c r="V650">
        <v>18</v>
      </c>
      <c r="W650">
        <v>7</v>
      </c>
      <c r="X650">
        <v>10</v>
      </c>
      <c r="Y650">
        <v>8</v>
      </c>
      <c r="Z650">
        <v>9</v>
      </c>
      <c r="AA650">
        <v>22</v>
      </c>
      <c r="AB650">
        <v>5</v>
      </c>
      <c r="AC650">
        <v>2</v>
      </c>
      <c r="AD650">
        <v>3</v>
      </c>
      <c r="AE650">
        <v>1</v>
      </c>
      <c r="AF650">
        <v>13</v>
      </c>
      <c r="AG650">
        <v>20</v>
      </c>
      <c r="AH650">
        <v>11</v>
      </c>
      <c r="AI650">
        <v>16</v>
      </c>
      <c r="AJ650">
        <v>15</v>
      </c>
      <c r="AK650" t="e">
        <v>#N/A</v>
      </c>
      <c r="AL650">
        <v>23</v>
      </c>
      <c r="AM650">
        <v>24</v>
      </c>
      <c r="AN650">
        <v>4</v>
      </c>
      <c r="AO650">
        <v>19</v>
      </c>
      <c r="AP650">
        <v>14</v>
      </c>
      <c r="AQ650">
        <v>17</v>
      </c>
      <c r="AR650">
        <v>12</v>
      </c>
      <c r="AS650">
        <v>6</v>
      </c>
    </row>
    <row r="651" spans="1:45" x14ac:dyDescent="0.25">
      <c r="A651">
        <v>8</v>
      </c>
      <c r="B651" t="s">
        <v>382</v>
      </c>
      <c r="C651">
        <v>2</v>
      </c>
      <c r="D651">
        <v>0.7</v>
      </c>
      <c r="E651" t="s">
        <v>383</v>
      </c>
      <c r="U651">
        <v>550</v>
      </c>
      <c r="V651">
        <v>15</v>
      </c>
      <c r="W651">
        <v>9</v>
      </c>
      <c r="X651">
        <v>13</v>
      </c>
      <c r="Y651">
        <v>8</v>
      </c>
      <c r="Z651">
        <v>16</v>
      </c>
      <c r="AA651">
        <v>22</v>
      </c>
      <c r="AB651">
        <v>7</v>
      </c>
      <c r="AC651">
        <v>2</v>
      </c>
      <c r="AD651">
        <v>3</v>
      </c>
      <c r="AE651">
        <v>1</v>
      </c>
      <c r="AF651">
        <v>10</v>
      </c>
      <c r="AG651">
        <v>17</v>
      </c>
      <c r="AH651">
        <v>11</v>
      </c>
      <c r="AI651">
        <v>18</v>
      </c>
      <c r="AJ651">
        <v>12</v>
      </c>
      <c r="AK651">
        <v>19</v>
      </c>
      <c r="AL651">
        <v>23</v>
      </c>
      <c r="AM651">
        <v>24</v>
      </c>
      <c r="AN651">
        <v>4</v>
      </c>
      <c r="AO651">
        <v>21</v>
      </c>
      <c r="AP651">
        <v>5</v>
      </c>
      <c r="AQ651">
        <v>20</v>
      </c>
      <c r="AR651">
        <v>14</v>
      </c>
      <c r="AS651">
        <v>6</v>
      </c>
    </row>
    <row r="652" spans="1:45" x14ac:dyDescent="0.25">
      <c r="A652">
        <v>9</v>
      </c>
      <c r="B652" t="s">
        <v>395</v>
      </c>
      <c r="C652">
        <v>0.5</v>
      </c>
      <c r="D652">
        <v>1.6</v>
      </c>
      <c r="E652" t="s">
        <v>398</v>
      </c>
      <c r="U652">
        <v>551</v>
      </c>
      <c r="V652">
        <v>20</v>
      </c>
      <c r="W652">
        <v>13</v>
      </c>
      <c r="X652">
        <v>16</v>
      </c>
      <c r="Y652">
        <v>8</v>
      </c>
      <c r="Z652">
        <v>14</v>
      </c>
      <c r="AA652">
        <v>21</v>
      </c>
      <c r="AB652">
        <v>5</v>
      </c>
      <c r="AC652">
        <v>2</v>
      </c>
      <c r="AD652">
        <v>3</v>
      </c>
      <c r="AE652">
        <v>1</v>
      </c>
      <c r="AF652">
        <v>10</v>
      </c>
      <c r="AG652">
        <v>18</v>
      </c>
      <c r="AH652">
        <v>11</v>
      </c>
      <c r="AI652">
        <v>15</v>
      </c>
      <c r="AJ652">
        <v>12</v>
      </c>
      <c r="AK652">
        <v>22</v>
      </c>
      <c r="AL652">
        <v>24</v>
      </c>
      <c r="AM652">
        <v>23</v>
      </c>
      <c r="AN652">
        <v>4</v>
      </c>
      <c r="AO652">
        <v>19</v>
      </c>
      <c r="AP652">
        <v>9</v>
      </c>
      <c r="AQ652">
        <v>17</v>
      </c>
      <c r="AR652">
        <v>6</v>
      </c>
      <c r="AS652">
        <v>7</v>
      </c>
    </row>
    <row r="653" spans="1:45" x14ac:dyDescent="0.25">
      <c r="A653">
        <v>9</v>
      </c>
      <c r="B653" t="s">
        <v>396</v>
      </c>
      <c r="C653">
        <v>1.5</v>
      </c>
      <c r="D653">
        <v>0.9</v>
      </c>
      <c r="E653" t="s">
        <v>386</v>
      </c>
      <c r="U653">
        <v>552</v>
      </c>
      <c r="V653">
        <v>15</v>
      </c>
      <c r="W653">
        <v>6</v>
      </c>
      <c r="X653">
        <v>14</v>
      </c>
      <c r="Y653">
        <v>12</v>
      </c>
      <c r="Z653">
        <v>16</v>
      </c>
      <c r="AA653">
        <v>20</v>
      </c>
      <c r="AB653">
        <v>7</v>
      </c>
      <c r="AC653">
        <v>2</v>
      </c>
      <c r="AD653">
        <v>4</v>
      </c>
      <c r="AE653">
        <v>1</v>
      </c>
      <c r="AF653">
        <v>10</v>
      </c>
      <c r="AG653">
        <v>19</v>
      </c>
      <c r="AH653">
        <v>17</v>
      </c>
      <c r="AI653">
        <v>18</v>
      </c>
      <c r="AJ653">
        <v>11</v>
      </c>
      <c r="AK653">
        <v>21</v>
      </c>
      <c r="AL653">
        <v>23</v>
      </c>
      <c r="AM653">
        <v>24</v>
      </c>
      <c r="AN653">
        <v>3</v>
      </c>
      <c r="AO653">
        <v>22</v>
      </c>
      <c r="AP653">
        <v>8</v>
      </c>
      <c r="AQ653">
        <v>9</v>
      </c>
      <c r="AR653">
        <v>5</v>
      </c>
      <c r="AS653">
        <v>13</v>
      </c>
    </row>
    <row r="654" spans="1:45" x14ac:dyDescent="0.25">
      <c r="A654">
        <v>9</v>
      </c>
      <c r="B654" t="s">
        <v>400</v>
      </c>
      <c r="C654">
        <v>1.3</v>
      </c>
      <c r="D654">
        <v>1.3</v>
      </c>
      <c r="E654" t="s">
        <v>388</v>
      </c>
      <c r="U654">
        <v>553</v>
      </c>
      <c r="V654">
        <v>21</v>
      </c>
      <c r="W654">
        <v>5</v>
      </c>
      <c r="X654">
        <v>11</v>
      </c>
      <c r="Y654">
        <v>15</v>
      </c>
      <c r="Z654">
        <v>9</v>
      </c>
      <c r="AA654">
        <v>19</v>
      </c>
      <c r="AB654">
        <v>10</v>
      </c>
      <c r="AC654">
        <v>2</v>
      </c>
      <c r="AD654">
        <v>4</v>
      </c>
      <c r="AE654">
        <v>1</v>
      </c>
      <c r="AF654">
        <v>17</v>
      </c>
      <c r="AG654">
        <v>18</v>
      </c>
      <c r="AH654">
        <v>16</v>
      </c>
      <c r="AI654">
        <v>12</v>
      </c>
      <c r="AJ654">
        <v>14</v>
      </c>
      <c r="AK654">
        <v>22</v>
      </c>
      <c r="AL654">
        <v>23</v>
      </c>
      <c r="AM654">
        <v>24</v>
      </c>
      <c r="AN654">
        <v>3</v>
      </c>
      <c r="AO654">
        <v>20</v>
      </c>
      <c r="AP654">
        <v>8</v>
      </c>
      <c r="AQ654">
        <v>13</v>
      </c>
      <c r="AR654">
        <v>6</v>
      </c>
      <c r="AS654">
        <v>7</v>
      </c>
    </row>
    <row r="655" spans="1:45" x14ac:dyDescent="0.25">
      <c r="A655">
        <v>9</v>
      </c>
      <c r="B655" t="s">
        <v>390</v>
      </c>
      <c r="C655">
        <v>1.3</v>
      </c>
      <c r="D655">
        <v>1.1000000000000001</v>
      </c>
      <c r="E655" t="s">
        <v>378</v>
      </c>
      <c r="U655">
        <v>554</v>
      </c>
      <c r="V655">
        <v>14</v>
      </c>
      <c r="W655">
        <v>15</v>
      </c>
      <c r="X655">
        <v>13</v>
      </c>
      <c r="Y655">
        <v>9</v>
      </c>
      <c r="Z655">
        <v>10</v>
      </c>
      <c r="AA655">
        <v>20</v>
      </c>
      <c r="AB655">
        <v>5</v>
      </c>
      <c r="AC655">
        <v>2</v>
      </c>
      <c r="AD655">
        <v>3</v>
      </c>
      <c r="AE655">
        <v>1</v>
      </c>
      <c r="AF655">
        <v>7</v>
      </c>
      <c r="AG655">
        <v>18</v>
      </c>
      <c r="AH655">
        <v>11</v>
      </c>
      <c r="AI655">
        <v>17</v>
      </c>
      <c r="AJ655">
        <v>16</v>
      </c>
      <c r="AK655">
        <v>21</v>
      </c>
      <c r="AL655">
        <v>24</v>
      </c>
      <c r="AM655">
        <v>23</v>
      </c>
      <c r="AN655">
        <v>4</v>
      </c>
      <c r="AO655" t="e">
        <v>#N/A</v>
      </c>
      <c r="AP655">
        <v>12</v>
      </c>
      <c r="AQ655">
        <v>19</v>
      </c>
      <c r="AR655">
        <v>6</v>
      </c>
      <c r="AS655">
        <v>8</v>
      </c>
    </row>
    <row r="656" spans="1:45" x14ac:dyDescent="0.25">
      <c r="A656">
        <v>9</v>
      </c>
      <c r="B656" t="s">
        <v>383</v>
      </c>
      <c r="C656">
        <v>1.2</v>
      </c>
      <c r="D656">
        <v>1.3</v>
      </c>
      <c r="E656" t="s">
        <v>385</v>
      </c>
      <c r="U656">
        <v>555</v>
      </c>
      <c r="V656">
        <v>11</v>
      </c>
      <c r="W656">
        <v>13</v>
      </c>
      <c r="X656">
        <v>14</v>
      </c>
      <c r="Y656">
        <v>12</v>
      </c>
      <c r="Z656">
        <v>16</v>
      </c>
      <c r="AA656">
        <v>18</v>
      </c>
      <c r="AB656">
        <v>4</v>
      </c>
      <c r="AC656">
        <v>2</v>
      </c>
      <c r="AD656">
        <v>3</v>
      </c>
      <c r="AE656">
        <v>1</v>
      </c>
      <c r="AF656">
        <v>9</v>
      </c>
      <c r="AG656">
        <v>17</v>
      </c>
      <c r="AH656">
        <v>8</v>
      </c>
      <c r="AI656">
        <v>19</v>
      </c>
      <c r="AJ656">
        <v>15</v>
      </c>
      <c r="AK656">
        <v>22</v>
      </c>
      <c r="AL656">
        <v>24</v>
      </c>
      <c r="AM656">
        <v>23</v>
      </c>
      <c r="AN656">
        <v>5</v>
      </c>
      <c r="AO656">
        <v>21</v>
      </c>
      <c r="AP656">
        <v>7</v>
      </c>
      <c r="AQ656">
        <v>20</v>
      </c>
      <c r="AR656">
        <v>10</v>
      </c>
      <c r="AS656">
        <v>6</v>
      </c>
    </row>
    <row r="657" spans="1:45" x14ac:dyDescent="0.25">
      <c r="A657">
        <v>9</v>
      </c>
      <c r="B657" t="s">
        <v>381</v>
      </c>
      <c r="C657">
        <v>1.2</v>
      </c>
      <c r="D657">
        <v>0.6</v>
      </c>
      <c r="E657" t="s">
        <v>394</v>
      </c>
      <c r="U657">
        <v>556</v>
      </c>
      <c r="V657">
        <v>17</v>
      </c>
      <c r="W657">
        <v>11</v>
      </c>
      <c r="X657">
        <v>7</v>
      </c>
      <c r="Y657">
        <v>15</v>
      </c>
      <c r="Z657">
        <v>13</v>
      </c>
      <c r="AA657">
        <v>19</v>
      </c>
      <c r="AB657">
        <v>8</v>
      </c>
      <c r="AC657">
        <v>2</v>
      </c>
      <c r="AD657">
        <v>4</v>
      </c>
      <c r="AE657">
        <v>1</v>
      </c>
      <c r="AF657">
        <v>10</v>
      </c>
      <c r="AG657">
        <v>21</v>
      </c>
      <c r="AH657">
        <v>16</v>
      </c>
      <c r="AI657">
        <v>12</v>
      </c>
      <c r="AJ657">
        <v>14</v>
      </c>
      <c r="AK657">
        <v>20</v>
      </c>
      <c r="AL657">
        <v>24</v>
      </c>
      <c r="AM657">
        <v>23</v>
      </c>
      <c r="AN657">
        <v>3</v>
      </c>
      <c r="AO657">
        <v>22</v>
      </c>
      <c r="AP657">
        <v>6</v>
      </c>
      <c r="AQ657">
        <v>18</v>
      </c>
      <c r="AR657">
        <v>9</v>
      </c>
      <c r="AS657">
        <v>5</v>
      </c>
    </row>
    <row r="658" spans="1:45" x14ac:dyDescent="0.25">
      <c r="A658">
        <v>9</v>
      </c>
      <c r="B658" t="s">
        <v>392</v>
      </c>
      <c r="C658">
        <v>0.4</v>
      </c>
      <c r="D658">
        <v>1.5</v>
      </c>
      <c r="E658" t="s">
        <v>401</v>
      </c>
      <c r="U658">
        <v>557</v>
      </c>
      <c r="V658">
        <v>14</v>
      </c>
      <c r="W658">
        <v>10</v>
      </c>
      <c r="X658">
        <v>19</v>
      </c>
      <c r="Y658">
        <v>9</v>
      </c>
      <c r="Z658">
        <v>15</v>
      </c>
      <c r="AA658">
        <v>20</v>
      </c>
      <c r="AB658">
        <v>5</v>
      </c>
      <c r="AC658">
        <v>2</v>
      </c>
      <c r="AD658">
        <v>4</v>
      </c>
      <c r="AE658">
        <v>1</v>
      </c>
      <c r="AF658">
        <v>11</v>
      </c>
      <c r="AG658">
        <v>21</v>
      </c>
      <c r="AH658">
        <v>8</v>
      </c>
      <c r="AI658">
        <v>16</v>
      </c>
      <c r="AJ658">
        <v>12</v>
      </c>
      <c r="AK658">
        <v>22</v>
      </c>
      <c r="AL658">
        <v>24</v>
      </c>
      <c r="AM658">
        <v>23</v>
      </c>
      <c r="AN658">
        <v>3</v>
      </c>
      <c r="AO658">
        <v>13</v>
      </c>
      <c r="AP658">
        <v>17</v>
      </c>
      <c r="AQ658">
        <v>18</v>
      </c>
      <c r="AR658">
        <v>6</v>
      </c>
      <c r="AS658">
        <v>7</v>
      </c>
    </row>
    <row r="659" spans="1:45" x14ac:dyDescent="0.25">
      <c r="A659">
        <v>9</v>
      </c>
      <c r="B659" t="s">
        <v>393</v>
      </c>
      <c r="C659">
        <v>1</v>
      </c>
      <c r="D659">
        <v>1.5</v>
      </c>
      <c r="E659" t="s">
        <v>382</v>
      </c>
      <c r="U659">
        <v>558</v>
      </c>
      <c r="V659">
        <v>14</v>
      </c>
      <c r="W659">
        <v>13</v>
      </c>
      <c r="X659">
        <v>8</v>
      </c>
      <c r="Y659">
        <v>11</v>
      </c>
      <c r="Z659">
        <v>15</v>
      </c>
      <c r="AA659">
        <v>21</v>
      </c>
      <c r="AB659">
        <v>6</v>
      </c>
      <c r="AC659">
        <v>2</v>
      </c>
      <c r="AD659">
        <v>4</v>
      </c>
      <c r="AE659">
        <v>1</v>
      </c>
      <c r="AF659">
        <v>12</v>
      </c>
      <c r="AG659">
        <v>19</v>
      </c>
      <c r="AH659">
        <v>16</v>
      </c>
      <c r="AI659">
        <v>18</v>
      </c>
      <c r="AJ659">
        <v>9</v>
      </c>
      <c r="AK659">
        <v>20</v>
      </c>
      <c r="AL659">
        <v>24</v>
      </c>
      <c r="AM659">
        <v>23</v>
      </c>
      <c r="AN659">
        <v>5</v>
      </c>
      <c r="AO659">
        <v>22</v>
      </c>
      <c r="AP659">
        <v>10</v>
      </c>
      <c r="AQ659">
        <v>17</v>
      </c>
      <c r="AR659">
        <v>7</v>
      </c>
      <c r="AS659">
        <v>3</v>
      </c>
    </row>
    <row r="660" spans="1:45" x14ac:dyDescent="0.25">
      <c r="A660">
        <v>9</v>
      </c>
      <c r="B660" t="s">
        <v>389</v>
      </c>
      <c r="C660">
        <v>1.5</v>
      </c>
      <c r="D660">
        <v>1.2</v>
      </c>
      <c r="E660" t="s">
        <v>399</v>
      </c>
      <c r="U660">
        <v>559</v>
      </c>
      <c r="V660">
        <v>15</v>
      </c>
      <c r="W660">
        <v>7</v>
      </c>
      <c r="X660">
        <v>11</v>
      </c>
      <c r="Y660">
        <v>16</v>
      </c>
      <c r="Z660">
        <v>14</v>
      </c>
      <c r="AA660">
        <v>22</v>
      </c>
      <c r="AB660">
        <v>8</v>
      </c>
      <c r="AC660">
        <v>2</v>
      </c>
      <c r="AD660">
        <v>3</v>
      </c>
      <c r="AE660">
        <v>1</v>
      </c>
      <c r="AF660">
        <v>18</v>
      </c>
      <c r="AG660">
        <v>20</v>
      </c>
      <c r="AH660">
        <v>6</v>
      </c>
      <c r="AI660">
        <v>13</v>
      </c>
      <c r="AJ660">
        <v>12</v>
      </c>
      <c r="AK660">
        <v>19</v>
      </c>
      <c r="AL660">
        <v>24</v>
      </c>
      <c r="AM660">
        <v>23</v>
      </c>
      <c r="AN660">
        <v>4</v>
      </c>
      <c r="AO660">
        <v>21</v>
      </c>
      <c r="AP660">
        <v>9</v>
      </c>
      <c r="AQ660">
        <v>17</v>
      </c>
      <c r="AR660">
        <v>10</v>
      </c>
      <c r="AS660">
        <v>5</v>
      </c>
    </row>
    <row r="661" spans="1:45" x14ac:dyDescent="0.25">
      <c r="A661">
        <v>9</v>
      </c>
      <c r="B661" t="s">
        <v>380</v>
      </c>
      <c r="C661">
        <v>1.3</v>
      </c>
      <c r="D661">
        <v>1</v>
      </c>
      <c r="E661" t="s">
        <v>397</v>
      </c>
      <c r="U661">
        <v>560</v>
      </c>
      <c r="V661">
        <v>15</v>
      </c>
      <c r="W661">
        <v>16</v>
      </c>
      <c r="X661">
        <v>18</v>
      </c>
      <c r="Y661">
        <v>12</v>
      </c>
      <c r="Z661">
        <v>11</v>
      </c>
      <c r="AA661">
        <v>20</v>
      </c>
      <c r="AB661">
        <v>5</v>
      </c>
      <c r="AC661">
        <v>2</v>
      </c>
      <c r="AD661">
        <v>3</v>
      </c>
      <c r="AE661">
        <v>1</v>
      </c>
      <c r="AF661">
        <v>8</v>
      </c>
      <c r="AG661">
        <v>19</v>
      </c>
      <c r="AH661">
        <v>10</v>
      </c>
      <c r="AI661">
        <v>14</v>
      </c>
      <c r="AJ661">
        <v>13</v>
      </c>
      <c r="AK661">
        <v>21</v>
      </c>
      <c r="AL661">
        <v>24</v>
      </c>
      <c r="AM661">
        <v>23</v>
      </c>
      <c r="AN661">
        <v>4</v>
      </c>
      <c r="AO661">
        <v>22</v>
      </c>
      <c r="AP661">
        <v>7</v>
      </c>
      <c r="AQ661">
        <v>17</v>
      </c>
      <c r="AR661">
        <v>9</v>
      </c>
      <c r="AS661">
        <v>6</v>
      </c>
    </row>
    <row r="662" spans="1:45" x14ac:dyDescent="0.25">
      <c r="A662">
        <v>9</v>
      </c>
      <c r="B662" t="s">
        <v>384</v>
      </c>
      <c r="C662">
        <v>1.7</v>
      </c>
      <c r="D662">
        <v>0.8</v>
      </c>
      <c r="E662" t="s">
        <v>391</v>
      </c>
      <c r="U662">
        <v>561</v>
      </c>
      <c r="V662">
        <v>14</v>
      </c>
      <c r="W662">
        <v>13</v>
      </c>
      <c r="X662">
        <v>18</v>
      </c>
      <c r="Y662">
        <v>11</v>
      </c>
      <c r="Z662">
        <v>8</v>
      </c>
      <c r="AA662">
        <v>22</v>
      </c>
      <c r="AB662">
        <v>4</v>
      </c>
      <c r="AC662">
        <v>2</v>
      </c>
      <c r="AD662">
        <v>5</v>
      </c>
      <c r="AE662">
        <v>1</v>
      </c>
      <c r="AF662">
        <v>7</v>
      </c>
      <c r="AG662">
        <v>19</v>
      </c>
      <c r="AH662">
        <v>12</v>
      </c>
      <c r="AI662">
        <v>17</v>
      </c>
      <c r="AJ662">
        <v>15</v>
      </c>
      <c r="AK662">
        <v>20</v>
      </c>
      <c r="AL662">
        <v>23</v>
      </c>
      <c r="AM662">
        <v>24</v>
      </c>
      <c r="AN662">
        <v>3</v>
      </c>
      <c r="AO662">
        <v>21</v>
      </c>
      <c r="AP662">
        <v>9</v>
      </c>
      <c r="AQ662">
        <v>16</v>
      </c>
      <c r="AR662">
        <v>10</v>
      </c>
      <c r="AS662">
        <v>6</v>
      </c>
    </row>
    <row r="663" spans="1:45" x14ac:dyDescent="0.25">
      <c r="A663">
        <v>9</v>
      </c>
      <c r="B663" t="s">
        <v>379</v>
      </c>
      <c r="C663">
        <v>1.4</v>
      </c>
      <c r="D663">
        <v>1.8</v>
      </c>
      <c r="E663" t="s">
        <v>387</v>
      </c>
      <c r="U663">
        <v>562</v>
      </c>
      <c r="V663">
        <v>19</v>
      </c>
      <c r="W663">
        <v>13</v>
      </c>
      <c r="X663">
        <v>14</v>
      </c>
      <c r="Y663">
        <v>12</v>
      </c>
      <c r="Z663">
        <v>8</v>
      </c>
      <c r="AA663">
        <v>22</v>
      </c>
      <c r="AB663">
        <v>4</v>
      </c>
      <c r="AC663">
        <v>2</v>
      </c>
      <c r="AD663">
        <v>3</v>
      </c>
      <c r="AE663">
        <v>1</v>
      </c>
      <c r="AF663">
        <v>17</v>
      </c>
      <c r="AG663">
        <v>20</v>
      </c>
      <c r="AH663">
        <v>11</v>
      </c>
      <c r="AI663">
        <v>15</v>
      </c>
      <c r="AJ663">
        <v>16</v>
      </c>
      <c r="AK663">
        <v>21</v>
      </c>
      <c r="AL663">
        <v>23</v>
      </c>
      <c r="AM663">
        <v>24</v>
      </c>
      <c r="AN663">
        <v>5</v>
      </c>
      <c r="AO663">
        <v>18</v>
      </c>
      <c r="AP663">
        <v>7</v>
      </c>
      <c r="AQ663">
        <v>10</v>
      </c>
      <c r="AR663">
        <v>9</v>
      </c>
      <c r="AS663">
        <v>6</v>
      </c>
    </row>
    <row r="664" spans="1:45" x14ac:dyDescent="0.25">
      <c r="A664">
        <v>10</v>
      </c>
      <c r="B664" t="s">
        <v>378</v>
      </c>
      <c r="C664">
        <v>1.7</v>
      </c>
      <c r="D664">
        <v>2.1</v>
      </c>
      <c r="E664" t="s">
        <v>383</v>
      </c>
      <c r="U664">
        <v>563</v>
      </c>
      <c r="V664">
        <v>16</v>
      </c>
      <c r="W664">
        <v>10</v>
      </c>
      <c r="X664">
        <v>13</v>
      </c>
      <c r="Y664">
        <v>8</v>
      </c>
      <c r="Z664">
        <v>17</v>
      </c>
      <c r="AA664">
        <v>22</v>
      </c>
      <c r="AB664">
        <v>5</v>
      </c>
      <c r="AC664">
        <v>2</v>
      </c>
      <c r="AD664">
        <v>4</v>
      </c>
      <c r="AE664">
        <v>1</v>
      </c>
      <c r="AF664">
        <v>14</v>
      </c>
      <c r="AG664">
        <v>18</v>
      </c>
      <c r="AH664">
        <v>15</v>
      </c>
      <c r="AI664">
        <v>12</v>
      </c>
      <c r="AJ664">
        <v>11</v>
      </c>
      <c r="AK664">
        <v>21</v>
      </c>
      <c r="AL664">
        <v>24</v>
      </c>
      <c r="AM664">
        <v>23</v>
      </c>
      <c r="AN664">
        <v>3</v>
      </c>
      <c r="AO664">
        <v>20</v>
      </c>
      <c r="AP664">
        <v>9</v>
      </c>
      <c r="AQ664">
        <v>19</v>
      </c>
      <c r="AR664">
        <v>7</v>
      </c>
      <c r="AS664">
        <v>6</v>
      </c>
    </row>
    <row r="665" spans="1:45" x14ac:dyDescent="0.25">
      <c r="A665">
        <v>10</v>
      </c>
      <c r="B665" t="s">
        <v>388</v>
      </c>
      <c r="C665">
        <v>2.2000000000000002</v>
      </c>
      <c r="D665">
        <v>0.6</v>
      </c>
      <c r="E665" t="s">
        <v>381</v>
      </c>
      <c r="U665">
        <v>564</v>
      </c>
      <c r="V665">
        <v>17</v>
      </c>
      <c r="W665">
        <v>11</v>
      </c>
      <c r="X665">
        <v>13</v>
      </c>
      <c r="Y665">
        <v>18</v>
      </c>
      <c r="Z665">
        <v>12</v>
      </c>
      <c r="AA665">
        <v>19</v>
      </c>
      <c r="AB665">
        <v>5</v>
      </c>
      <c r="AC665">
        <v>2</v>
      </c>
      <c r="AD665">
        <v>3</v>
      </c>
      <c r="AE665">
        <v>1</v>
      </c>
      <c r="AF665">
        <v>14</v>
      </c>
      <c r="AG665">
        <v>20</v>
      </c>
      <c r="AH665">
        <v>9</v>
      </c>
      <c r="AI665">
        <v>16</v>
      </c>
      <c r="AJ665">
        <v>7</v>
      </c>
      <c r="AK665">
        <v>21</v>
      </c>
      <c r="AL665">
        <v>24</v>
      </c>
      <c r="AM665">
        <v>22</v>
      </c>
      <c r="AN665">
        <v>4</v>
      </c>
      <c r="AO665">
        <v>23</v>
      </c>
      <c r="AP665">
        <v>10</v>
      </c>
      <c r="AQ665">
        <v>15</v>
      </c>
      <c r="AR665">
        <v>8</v>
      </c>
      <c r="AS665">
        <v>6</v>
      </c>
    </row>
    <row r="666" spans="1:45" x14ac:dyDescent="0.25">
      <c r="A666">
        <v>10</v>
      </c>
      <c r="B666" t="s">
        <v>391</v>
      </c>
      <c r="C666">
        <v>0.8</v>
      </c>
      <c r="D666">
        <v>1.1000000000000001</v>
      </c>
      <c r="E666" t="s">
        <v>389</v>
      </c>
      <c r="U666">
        <v>565</v>
      </c>
      <c r="V666">
        <v>15</v>
      </c>
      <c r="W666">
        <v>9</v>
      </c>
      <c r="X666">
        <v>14</v>
      </c>
      <c r="Y666">
        <v>11</v>
      </c>
      <c r="Z666">
        <v>16</v>
      </c>
      <c r="AA666">
        <v>22</v>
      </c>
      <c r="AB666">
        <v>7</v>
      </c>
      <c r="AC666">
        <v>2</v>
      </c>
      <c r="AD666">
        <v>3</v>
      </c>
      <c r="AE666">
        <v>1</v>
      </c>
      <c r="AF666">
        <v>13</v>
      </c>
      <c r="AG666">
        <v>18</v>
      </c>
      <c r="AH666">
        <v>10</v>
      </c>
      <c r="AI666">
        <v>19</v>
      </c>
      <c r="AJ666">
        <v>17</v>
      </c>
      <c r="AK666">
        <v>21</v>
      </c>
      <c r="AL666">
        <v>24</v>
      </c>
      <c r="AM666">
        <v>23</v>
      </c>
      <c r="AN666">
        <v>4</v>
      </c>
      <c r="AO666">
        <v>20</v>
      </c>
      <c r="AP666">
        <v>6</v>
      </c>
      <c r="AQ666">
        <v>12</v>
      </c>
      <c r="AR666">
        <v>8</v>
      </c>
      <c r="AS666">
        <v>5</v>
      </c>
    </row>
    <row r="667" spans="1:45" x14ac:dyDescent="0.25">
      <c r="A667">
        <v>10</v>
      </c>
      <c r="B667" t="s">
        <v>385</v>
      </c>
      <c r="C667">
        <v>1.2</v>
      </c>
      <c r="D667">
        <v>0.9</v>
      </c>
      <c r="E667" t="s">
        <v>384</v>
      </c>
      <c r="U667">
        <v>566</v>
      </c>
      <c r="V667">
        <v>15</v>
      </c>
      <c r="W667">
        <v>18</v>
      </c>
      <c r="X667">
        <v>10</v>
      </c>
      <c r="Y667">
        <v>8</v>
      </c>
      <c r="Z667">
        <v>13</v>
      </c>
      <c r="AA667">
        <v>20</v>
      </c>
      <c r="AB667">
        <v>5</v>
      </c>
      <c r="AC667">
        <v>2</v>
      </c>
      <c r="AD667">
        <v>4</v>
      </c>
      <c r="AE667">
        <v>1</v>
      </c>
      <c r="AF667">
        <v>16</v>
      </c>
      <c r="AG667">
        <v>19</v>
      </c>
      <c r="AH667">
        <v>12</v>
      </c>
      <c r="AI667">
        <v>14</v>
      </c>
      <c r="AJ667">
        <v>17</v>
      </c>
      <c r="AK667">
        <v>21</v>
      </c>
      <c r="AL667">
        <v>23</v>
      </c>
      <c r="AM667">
        <v>24</v>
      </c>
      <c r="AN667">
        <v>3</v>
      </c>
      <c r="AO667">
        <v>22</v>
      </c>
      <c r="AP667">
        <v>7</v>
      </c>
      <c r="AQ667">
        <v>11</v>
      </c>
      <c r="AR667">
        <v>9</v>
      </c>
      <c r="AS667">
        <v>6</v>
      </c>
    </row>
    <row r="668" spans="1:45" x14ac:dyDescent="0.25">
      <c r="A668">
        <v>10</v>
      </c>
      <c r="B668" t="s">
        <v>397</v>
      </c>
      <c r="C668">
        <v>0.7</v>
      </c>
      <c r="D668">
        <v>0.9</v>
      </c>
      <c r="E668" t="s">
        <v>396</v>
      </c>
      <c r="U668">
        <v>567</v>
      </c>
      <c r="V668">
        <v>15</v>
      </c>
      <c r="W668">
        <v>9</v>
      </c>
      <c r="X668">
        <v>17</v>
      </c>
      <c r="Y668">
        <v>13</v>
      </c>
      <c r="Z668">
        <v>14</v>
      </c>
      <c r="AA668">
        <v>20</v>
      </c>
      <c r="AB668">
        <v>5</v>
      </c>
      <c r="AC668">
        <v>2</v>
      </c>
      <c r="AD668">
        <v>4</v>
      </c>
      <c r="AE668">
        <v>1</v>
      </c>
      <c r="AF668">
        <v>7</v>
      </c>
      <c r="AG668">
        <v>19</v>
      </c>
      <c r="AH668">
        <v>10</v>
      </c>
      <c r="AI668">
        <v>18</v>
      </c>
      <c r="AJ668">
        <v>16</v>
      </c>
      <c r="AK668">
        <v>21</v>
      </c>
      <c r="AL668">
        <v>23</v>
      </c>
      <c r="AM668">
        <v>24</v>
      </c>
      <c r="AN668">
        <v>3</v>
      </c>
      <c r="AO668">
        <v>22</v>
      </c>
      <c r="AP668">
        <v>11</v>
      </c>
      <c r="AQ668">
        <v>12</v>
      </c>
      <c r="AR668">
        <v>8</v>
      </c>
      <c r="AS668">
        <v>6</v>
      </c>
    </row>
    <row r="669" spans="1:45" x14ac:dyDescent="0.25">
      <c r="A669">
        <v>10</v>
      </c>
      <c r="B669" t="s">
        <v>401</v>
      </c>
      <c r="C669">
        <v>1.2</v>
      </c>
      <c r="D669">
        <v>0.2</v>
      </c>
      <c r="E669" t="s">
        <v>395</v>
      </c>
      <c r="U669">
        <v>568</v>
      </c>
      <c r="V669">
        <v>18</v>
      </c>
      <c r="W669">
        <v>11</v>
      </c>
      <c r="X669">
        <v>12</v>
      </c>
      <c r="Y669">
        <v>13</v>
      </c>
      <c r="Z669">
        <v>16</v>
      </c>
      <c r="AA669">
        <v>20</v>
      </c>
      <c r="AB669">
        <v>6</v>
      </c>
      <c r="AC669">
        <v>1</v>
      </c>
      <c r="AD669">
        <v>3</v>
      </c>
      <c r="AE669">
        <v>2</v>
      </c>
      <c r="AF669">
        <v>9</v>
      </c>
      <c r="AG669">
        <v>19</v>
      </c>
      <c r="AH669">
        <v>10</v>
      </c>
      <c r="AI669">
        <v>14</v>
      </c>
      <c r="AJ669">
        <v>15</v>
      </c>
      <c r="AK669">
        <v>22</v>
      </c>
      <c r="AL669">
        <v>23</v>
      </c>
      <c r="AM669">
        <v>24</v>
      </c>
      <c r="AN669">
        <v>4</v>
      </c>
      <c r="AO669">
        <v>21</v>
      </c>
      <c r="AP669">
        <v>8</v>
      </c>
      <c r="AQ669">
        <v>17</v>
      </c>
      <c r="AR669">
        <v>7</v>
      </c>
      <c r="AS669">
        <v>5</v>
      </c>
    </row>
    <row r="670" spans="1:45" x14ac:dyDescent="0.25">
      <c r="A670">
        <v>10</v>
      </c>
      <c r="B670" t="s">
        <v>387</v>
      </c>
      <c r="C670">
        <v>1.5</v>
      </c>
      <c r="D670">
        <v>0.4</v>
      </c>
      <c r="E670" t="s">
        <v>392</v>
      </c>
      <c r="U670">
        <v>569</v>
      </c>
      <c r="V670">
        <v>11</v>
      </c>
      <c r="W670">
        <v>9</v>
      </c>
      <c r="X670">
        <v>17</v>
      </c>
      <c r="Y670">
        <v>13</v>
      </c>
      <c r="Z670">
        <v>12</v>
      </c>
      <c r="AA670">
        <v>20</v>
      </c>
      <c r="AB670">
        <v>5</v>
      </c>
      <c r="AC670">
        <v>3</v>
      </c>
      <c r="AD670">
        <v>2</v>
      </c>
      <c r="AE670">
        <v>1</v>
      </c>
      <c r="AF670">
        <v>10</v>
      </c>
      <c r="AG670">
        <v>15</v>
      </c>
      <c r="AH670">
        <v>18</v>
      </c>
      <c r="AI670">
        <v>19</v>
      </c>
      <c r="AJ670">
        <v>14</v>
      </c>
      <c r="AK670">
        <v>21</v>
      </c>
      <c r="AL670">
        <v>24</v>
      </c>
      <c r="AM670">
        <v>23</v>
      </c>
      <c r="AN670">
        <v>4</v>
      </c>
      <c r="AO670">
        <v>22</v>
      </c>
      <c r="AP670">
        <v>7</v>
      </c>
      <c r="AQ670">
        <v>16</v>
      </c>
      <c r="AR670">
        <v>6</v>
      </c>
      <c r="AS670">
        <v>8</v>
      </c>
    </row>
    <row r="671" spans="1:45" x14ac:dyDescent="0.25">
      <c r="A671">
        <v>10</v>
      </c>
      <c r="B671" t="s">
        <v>398</v>
      </c>
      <c r="C671">
        <v>1.2</v>
      </c>
      <c r="D671">
        <v>0.4</v>
      </c>
      <c r="E671" t="s">
        <v>400</v>
      </c>
      <c r="U671">
        <v>570</v>
      </c>
      <c r="V671">
        <v>19</v>
      </c>
      <c r="W671">
        <v>5</v>
      </c>
      <c r="X671">
        <v>10</v>
      </c>
      <c r="Y671">
        <v>11</v>
      </c>
      <c r="Z671">
        <v>17</v>
      </c>
      <c r="AA671">
        <v>21</v>
      </c>
      <c r="AB671">
        <v>9</v>
      </c>
      <c r="AC671">
        <v>2</v>
      </c>
      <c r="AD671">
        <v>3</v>
      </c>
      <c r="AE671">
        <v>1</v>
      </c>
      <c r="AF671">
        <v>15</v>
      </c>
      <c r="AG671">
        <v>14</v>
      </c>
      <c r="AH671">
        <v>12</v>
      </c>
      <c r="AI671">
        <v>13</v>
      </c>
      <c r="AJ671">
        <v>16</v>
      </c>
      <c r="AK671">
        <v>22</v>
      </c>
      <c r="AL671">
        <v>23</v>
      </c>
      <c r="AM671">
        <v>24</v>
      </c>
      <c r="AN671">
        <v>4</v>
      </c>
      <c r="AO671">
        <v>20</v>
      </c>
      <c r="AP671">
        <v>7</v>
      </c>
      <c r="AQ671">
        <v>18</v>
      </c>
      <c r="AR671">
        <v>6</v>
      </c>
      <c r="AS671">
        <v>8</v>
      </c>
    </row>
    <row r="672" spans="1:45" x14ac:dyDescent="0.25">
      <c r="A672">
        <v>10</v>
      </c>
      <c r="B672" t="s">
        <v>386</v>
      </c>
      <c r="C672">
        <v>2</v>
      </c>
      <c r="D672">
        <v>0.3</v>
      </c>
      <c r="E672" t="s">
        <v>393</v>
      </c>
      <c r="U672">
        <v>571</v>
      </c>
      <c r="V672">
        <v>17</v>
      </c>
      <c r="W672">
        <v>7</v>
      </c>
      <c r="X672">
        <v>14</v>
      </c>
      <c r="Y672">
        <v>13</v>
      </c>
      <c r="Z672">
        <v>12</v>
      </c>
      <c r="AA672">
        <v>21</v>
      </c>
      <c r="AB672">
        <v>5</v>
      </c>
      <c r="AC672">
        <v>2</v>
      </c>
      <c r="AD672">
        <v>3</v>
      </c>
      <c r="AE672">
        <v>1</v>
      </c>
      <c r="AF672">
        <v>16</v>
      </c>
      <c r="AG672">
        <v>18</v>
      </c>
      <c r="AH672">
        <v>10</v>
      </c>
      <c r="AI672">
        <v>9</v>
      </c>
      <c r="AJ672">
        <v>11</v>
      </c>
      <c r="AK672">
        <v>20</v>
      </c>
      <c r="AL672">
        <v>24</v>
      </c>
      <c r="AM672">
        <v>23</v>
      </c>
      <c r="AN672">
        <v>4</v>
      </c>
      <c r="AO672">
        <v>22</v>
      </c>
      <c r="AP672">
        <v>8</v>
      </c>
      <c r="AQ672">
        <v>19</v>
      </c>
      <c r="AR672">
        <v>15</v>
      </c>
      <c r="AS672">
        <v>6</v>
      </c>
    </row>
    <row r="673" spans="1:45" x14ac:dyDescent="0.25">
      <c r="A673">
        <v>10</v>
      </c>
      <c r="B673" t="s">
        <v>399</v>
      </c>
      <c r="C673">
        <v>2.5</v>
      </c>
      <c r="D673">
        <v>1.6</v>
      </c>
      <c r="E673" t="s">
        <v>390</v>
      </c>
      <c r="U673">
        <v>572</v>
      </c>
      <c r="V673">
        <v>18</v>
      </c>
      <c r="W673">
        <v>11</v>
      </c>
      <c r="X673">
        <v>15</v>
      </c>
      <c r="Y673">
        <v>9</v>
      </c>
      <c r="Z673">
        <v>14</v>
      </c>
      <c r="AA673">
        <v>20</v>
      </c>
      <c r="AB673">
        <v>5</v>
      </c>
      <c r="AC673">
        <v>3</v>
      </c>
      <c r="AD673">
        <v>2</v>
      </c>
      <c r="AE673">
        <v>1</v>
      </c>
      <c r="AF673">
        <v>6</v>
      </c>
      <c r="AG673">
        <v>21</v>
      </c>
      <c r="AH673">
        <v>10</v>
      </c>
      <c r="AI673">
        <v>17</v>
      </c>
      <c r="AJ673">
        <v>13</v>
      </c>
      <c r="AK673">
        <v>22</v>
      </c>
      <c r="AL673">
        <v>24</v>
      </c>
      <c r="AM673">
        <v>23</v>
      </c>
      <c r="AN673">
        <v>4</v>
      </c>
      <c r="AO673">
        <v>19</v>
      </c>
      <c r="AP673">
        <v>7</v>
      </c>
      <c r="AQ673">
        <v>16</v>
      </c>
      <c r="AR673">
        <v>12</v>
      </c>
      <c r="AS673">
        <v>8</v>
      </c>
    </row>
    <row r="674" spans="1:45" x14ac:dyDescent="0.25">
      <c r="A674">
        <v>10</v>
      </c>
      <c r="B674" t="s">
        <v>382</v>
      </c>
      <c r="C674">
        <v>1.2</v>
      </c>
      <c r="D674">
        <v>0.7</v>
      </c>
      <c r="E674" t="s">
        <v>379</v>
      </c>
      <c r="U674">
        <v>573</v>
      </c>
      <c r="V674">
        <v>16</v>
      </c>
      <c r="W674">
        <v>17</v>
      </c>
      <c r="X674">
        <v>13</v>
      </c>
      <c r="Y674">
        <v>15</v>
      </c>
      <c r="Z674">
        <v>8</v>
      </c>
      <c r="AA674">
        <v>21</v>
      </c>
      <c r="AB674">
        <v>3</v>
      </c>
      <c r="AC674">
        <v>2</v>
      </c>
      <c r="AD674">
        <v>5</v>
      </c>
      <c r="AE674">
        <v>1</v>
      </c>
      <c r="AF674">
        <v>10</v>
      </c>
      <c r="AG674">
        <v>12</v>
      </c>
      <c r="AH674">
        <v>14</v>
      </c>
      <c r="AI674">
        <v>19</v>
      </c>
      <c r="AJ674">
        <v>11</v>
      </c>
      <c r="AK674">
        <v>18</v>
      </c>
      <c r="AL674">
        <v>24</v>
      </c>
      <c r="AM674">
        <v>23</v>
      </c>
      <c r="AN674">
        <v>4</v>
      </c>
      <c r="AO674">
        <v>20</v>
      </c>
      <c r="AP674">
        <v>9</v>
      </c>
      <c r="AQ674">
        <v>22</v>
      </c>
      <c r="AR674">
        <v>7</v>
      </c>
      <c r="AS674">
        <v>6</v>
      </c>
    </row>
    <row r="675" spans="1:45" x14ac:dyDescent="0.25">
      <c r="A675">
        <v>10</v>
      </c>
      <c r="B675" t="s">
        <v>394</v>
      </c>
      <c r="C675">
        <v>1.3</v>
      </c>
      <c r="D675">
        <v>1.1000000000000001</v>
      </c>
      <c r="E675" t="s">
        <v>380</v>
      </c>
      <c r="U675">
        <v>574</v>
      </c>
      <c r="V675">
        <v>13</v>
      </c>
      <c r="W675">
        <v>14</v>
      </c>
      <c r="X675">
        <v>10</v>
      </c>
      <c r="Y675">
        <v>9</v>
      </c>
      <c r="Z675">
        <v>15</v>
      </c>
      <c r="AA675">
        <v>20</v>
      </c>
      <c r="AB675">
        <v>6</v>
      </c>
      <c r="AC675">
        <v>2</v>
      </c>
      <c r="AD675">
        <v>4</v>
      </c>
      <c r="AE675">
        <v>1</v>
      </c>
      <c r="AF675">
        <v>12</v>
      </c>
      <c r="AG675">
        <v>18</v>
      </c>
      <c r="AH675">
        <v>16</v>
      </c>
      <c r="AI675">
        <v>17</v>
      </c>
      <c r="AJ675">
        <v>7</v>
      </c>
      <c r="AK675">
        <v>22</v>
      </c>
      <c r="AL675">
        <v>24</v>
      </c>
      <c r="AM675">
        <v>23</v>
      </c>
      <c r="AN675">
        <v>3</v>
      </c>
      <c r="AO675">
        <v>21</v>
      </c>
      <c r="AP675">
        <v>11</v>
      </c>
      <c r="AQ675">
        <v>19</v>
      </c>
      <c r="AR675">
        <v>8</v>
      </c>
      <c r="AS675">
        <v>5</v>
      </c>
    </row>
    <row r="676" spans="1:45" x14ac:dyDescent="0.25">
      <c r="A676">
        <v>11</v>
      </c>
      <c r="B676" t="s">
        <v>378</v>
      </c>
      <c r="C676">
        <v>1.5</v>
      </c>
      <c r="D676">
        <v>1.2</v>
      </c>
      <c r="E676" t="s">
        <v>401</v>
      </c>
      <c r="U676">
        <v>575</v>
      </c>
      <c r="V676">
        <v>7</v>
      </c>
      <c r="W676">
        <v>16</v>
      </c>
      <c r="X676">
        <v>15</v>
      </c>
      <c r="Y676">
        <v>14</v>
      </c>
      <c r="Z676">
        <v>13</v>
      </c>
      <c r="AA676">
        <v>22</v>
      </c>
      <c r="AB676">
        <v>9</v>
      </c>
      <c r="AC676">
        <v>2</v>
      </c>
      <c r="AD676">
        <v>3</v>
      </c>
      <c r="AE676">
        <v>1</v>
      </c>
      <c r="AF676">
        <v>12</v>
      </c>
      <c r="AG676">
        <v>17</v>
      </c>
      <c r="AH676">
        <v>10</v>
      </c>
      <c r="AI676">
        <v>19</v>
      </c>
      <c r="AJ676">
        <v>11</v>
      </c>
      <c r="AK676">
        <v>20</v>
      </c>
      <c r="AL676">
        <v>23</v>
      </c>
      <c r="AM676">
        <v>24</v>
      </c>
      <c r="AN676">
        <v>4</v>
      </c>
      <c r="AO676">
        <v>21</v>
      </c>
      <c r="AP676">
        <v>6</v>
      </c>
      <c r="AQ676">
        <v>18</v>
      </c>
      <c r="AR676">
        <v>8</v>
      </c>
      <c r="AS676">
        <v>5</v>
      </c>
    </row>
    <row r="677" spans="1:45" x14ac:dyDescent="0.25">
      <c r="A677">
        <v>11</v>
      </c>
      <c r="B677" t="s">
        <v>398</v>
      </c>
      <c r="C677">
        <v>0.5</v>
      </c>
      <c r="D677">
        <v>2.4</v>
      </c>
      <c r="E677" t="s">
        <v>388</v>
      </c>
      <c r="U677">
        <v>576</v>
      </c>
      <c r="V677">
        <v>16</v>
      </c>
      <c r="W677">
        <v>11</v>
      </c>
      <c r="X677">
        <v>15</v>
      </c>
      <c r="Y677">
        <v>14</v>
      </c>
      <c r="Z677">
        <v>13</v>
      </c>
      <c r="AA677">
        <v>21</v>
      </c>
      <c r="AB677">
        <v>5</v>
      </c>
      <c r="AC677">
        <v>2</v>
      </c>
      <c r="AD677">
        <v>4</v>
      </c>
      <c r="AE677">
        <v>1</v>
      </c>
      <c r="AF677">
        <v>9</v>
      </c>
      <c r="AG677">
        <v>18</v>
      </c>
      <c r="AH677">
        <v>10</v>
      </c>
      <c r="AI677">
        <v>12</v>
      </c>
      <c r="AJ677">
        <v>19</v>
      </c>
      <c r="AK677">
        <v>22</v>
      </c>
      <c r="AL677">
        <v>23</v>
      </c>
      <c r="AM677">
        <v>24</v>
      </c>
      <c r="AN677">
        <v>3</v>
      </c>
      <c r="AO677">
        <v>20</v>
      </c>
      <c r="AP677">
        <v>8</v>
      </c>
      <c r="AQ677">
        <v>17</v>
      </c>
      <c r="AR677">
        <v>7</v>
      </c>
      <c r="AS677">
        <v>6</v>
      </c>
    </row>
    <row r="678" spans="1:45" x14ac:dyDescent="0.25">
      <c r="A678">
        <v>11</v>
      </c>
      <c r="B678" t="s">
        <v>396</v>
      </c>
      <c r="C678">
        <v>3.1</v>
      </c>
      <c r="D678">
        <v>0.1</v>
      </c>
      <c r="E678" t="s">
        <v>394</v>
      </c>
      <c r="U678">
        <v>577</v>
      </c>
      <c r="V678">
        <v>14</v>
      </c>
      <c r="W678">
        <v>11</v>
      </c>
      <c r="X678">
        <v>6</v>
      </c>
      <c r="Y678">
        <v>18</v>
      </c>
      <c r="Z678">
        <v>17</v>
      </c>
      <c r="AA678">
        <v>23</v>
      </c>
      <c r="AB678">
        <v>10</v>
      </c>
      <c r="AC678">
        <v>2</v>
      </c>
      <c r="AD678">
        <v>3</v>
      </c>
      <c r="AE678">
        <v>1</v>
      </c>
      <c r="AF678">
        <v>15</v>
      </c>
      <c r="AG678">
        <v>20</v>
      </c>
      <c r="AH678">
        <v>13</v>
      </c>
      <c r="AI678">
        <v>8</v>
      </c>
      <c r="AJ678">
        <v>12</v>
      </c>
      <c r="AK678">
        <v>19</v>
      </c>
      <c r="AL678">
        <v>24</v>
      </c>
      <c r="AM678">
        <v>22</v>
      </c>
      <c r="AN678">
        <v>4</v>
      </c>
      <c r="AO678">
        <v>21</v>
      </c>
      <c r="AP678">
        <v>7</v>
      </c>
      <c r="AQ678">
        <v>16</v>
      </c>
      <c r="AR678">
        <v>9</v>
      </c>
      <c r="AS678">
        <v>5</v>
      </c>
    </row>
    <row r="679" spans="1:45" x14ac:dyDescent="0.25">
      <c r="A679">
        <v>11</v>
      </c>
      <c r="B679" t="s">
        <v>387</v>
      </c>
      <c r="C679">
        <v>2.4</v>
      </c>
      <c r="D679">
        <v>0.2</v>
      </c>
      <c r="E679" t="s">
        <v>397</v>
      </c>
      <c r="U679">
        <v>578</v>
      </c>
      <c r="V679">
        <v>15</v>
      </c>
      <c r="W679">
        <v>12</v>
      </c>
      <c r="X679">
        <v>11</v>
      </c>
      <c r="Y679">
        <v>13</v>
      </c>
      <c r="Z679">
        <v>9</v>
      </c>
      <c r="AA679">
        <v>22</v>
      </c>
      <c r="AB679">
        <v>6</v>
      </c>
      <c r="AC679">
        <v>2</v>
      </c>
      <c r="AD679">
        <v>4</v>
      </c>
      <c r="AE679">
        <v>1</v>
      </c>
      <c r="AF679">
        <v>14</v>
      </c>
      <c r="AG679">
        <v>18</v>
      </c>
      <c r="AH679">
        <v>16</v>
      </c>
      <c r="AI679">
        <v>17</v>
      </c>
      <c r="AJ679">
        <v>10</v>
      </c>
      <c r="AK679">
        <v>21</v>
      </c>
      <c r="AL679">
        <v>23</v>
      </c>
      <c r="AM679">
        <v>24</v>
      </c>
      <c r="AN679">
        <v>3</v>
      </c>
      <c r="AO679">
        <v>20</v>
      </c>
      <c r="AP679">
        <v>7</v>
      </c>
      <c r="AQ679">
        <v>19</v>
      </c>
      <c r="AR679">
        <v>8</v>
      </c>
      <c r="AS679">
        <v>5</v>
      </c>
    </row>
    <row r="680" spans="1:45" x14ac:dyDescent="0.25">
      <c r="A680">
        <v>11</v>
      </c>
      <c r="B680" t="s">
        <v>386</v>
      </c>
      <c r="C680">
        <v>2.5</v>
      </c>
      <c r="D680">
        <v>0.5</v>
      </c>
      <c r="E680" t="s">
        <v>380</v>
      </c>
      <c r="U680">
        <v>579</v>
      </c>
      <c r="V680">
        <v>14</v>
      </c>
      <c r="W680">
        <v>8</v>
      </c>
      <c r="X680">
        <v>15</v>
      </c>
      <c r="Y680">
        <v>13</v>
      </c>
      <c r="Z680">
        <v>17</v>
      </c>
      <c r="AA680">
        <v>22</v>
      </c>
      <c r="AB680">
        <v>7</v>
      </c>
      <c r="AC680">
        <v>4</v>
      </c>
      <c r="AD680">
        <v>3</v>
      </c>
      <c r="AE680">
        <v>1</v>
      </c>
      <c r="AF680">
        <v>10</v>
      </c>
      <c r="AG680">
        <v>16</v>
      </c>
      <c r="AH680">
        <v>12</v>
      </c>
      <c r="AI680">
        <v>18</v>
      </c>
      <c r="AJ680">
        <v>9</v>
      </c>
      <c r="AK680">
        <v>21</v>
      </c>
      <c r="AL680">
        <v>23</v>
      </c>
      <c r="AM680">
        <v>24</v>
      </c>
      <c r="AN680">
        <v>2</v>
      </c>
      <c r="AO680">
        <v>19</v>
      </c>
      <c r="AP680">
        <v>11</v>
      </c>
      <c r="AQ680">
        <v>20</v>
      </c>
      <c r="AR680">
        <v>6</v>
      </c>
      <c r="AS680">
        <v>5</v>
      </c>
    </row>
    <row r="681" spans="1:45" x14ac:dyDescent="0.25">
      <c r="A681">
        <v>11</v>
      </c>
      <c r="B681" t="s">
        <v>385</v>
      </c>
      <c r="C681">
        <v>2.4</v>
      </c>
      <c r="D681">
        <v>0.3</v>
      </c>
      <c r="E681" t="s">
        <v>392</v>
      </c>
      <c r="U681">
        <v>580</v>
      </c>
      <c r="V681">
        <v>19</v>
      </c>
      <c r="W681">
        <v>18</v>
      </c>
      <c r="X681">
        <v>10</v>
      </c>
      <c r="Y681">
        <v>7</v>
      </c>
      <c r="Z681">
        <v>16</v>
      </c>
      <c r="AA681">
        <v>21</v>
      </c>
      <c r="AB681">
        <v>4</v>
      </c>
      <c r="AC681">
        <v>3</v>
      </c>
      <c r="AD681">
        <v>5</v>
      </c>
      <c r="AE681">
        <v>1</v>
      </c>
      <c r="AF681">
        <v>8</v>
      </c>
      <c r="AG681">
        <v>17</v>
      </c>
      <c r="AH681">
        <v>15</v>
      </c>
      <c r="AI681">
        <v>14</v>
      </c>
      <c r="AJ681">
        <v>11</v>
      </c>
      <c r="AK681">
        <v>20</v>
      </c>
      <c r="AL681">
        <v>22</v>
      </c>
      <c r="AM681">
        <v>24</v>
      </c>
      <c r="AN681">
        <v>9</v>
      </c>
      <c r="AO681">
        <v>23</v>
      </c>
      <c r="AP681">
        <v>12</v>
      </c>
      <c r="AQ681">
        <v>13</v>
      </c>
      <c r="AR681">
        <v>6</v>
      </c>
      <c r="AS681">
        <v>2</v>
      </c>
    </row>
    <row r="682" spans="1:45" x14ac:dyDescent="0.25">
      <c r="A682">
        <v>11</v>
      </c>
      <c r="B682" t="s">
        <v>389</v>
      </c>
      <c r="C682">
        <v>1.2</v>
      </c>
      <c r="D682">
        <v>1.1000000000000001</v>
      </c>
      <c r="E682" t="s">
        <v>384</v>
      </c>
      <c r="U682">
        <v>581</v>
      </c>
      <c r="V682">
        <v>12</v>
      </c>
      <c r="W682">
        <v>13</v>
      </c>
      <c r="X682">
        <v>5</v>
      </c>
      <c r="Y682">
        <v>9</v>
      </c>
      <c r="Z682">
        <v>10</v>
      </c>
      <c r="AA682">
        <v>20</v>
      </c>
      <c r="AB682">
        <v>7</v>
      </c>
      <c r="AC682">
        <v>2</v>
      </c>
      <c r="AD682">
        <v>4</v>
      </c>
      <c r="AE682">
        <v>1</v>
      </c>
      <c r="AF682">
        <v>8</v>
      </c>
      <c r="AG682">
        <v>18</v>
      </c>
      <c r="AH682">
        <v>16</v>
      </c>
      <c r="AI682">
        <v>14</v>
      </c>
      <c r="AJ682">
        <v>17</v>
      </c>
      <c r="AK682">
        <v>23</v>
      </c>
      <c r="AL682">
        <v>22</v>
      </c>
      <c r="AM682">
        <v>24</v>
      </c>
      <c r="AN682">
        <v>3</v>
      </c>
      <c r="AO682">
        <v>21</v>
      </c>
      <c r="AP682">
        <v>15</v>
      </c>
      <c r="AQ682">
        <v>19</v>
      </c>
      <c r="AR682">
        <v>11</v>
      </c>
      <c r="AS682">
        <v>6</v>
      </c>
    </row>
    <row r="683" spans="1:45" x14ac:dyDescent="0.25">
      <c r="A683">
        <v>11</v>
      </c>
      <c r="B683" t="s">
        <v>381</v>
      </c>
      <c r="C683">
        <v>0.7</v>
      </c>
      <c r="D683">
        <v>2</v>
      </c>
      <c r="E683" t="s">
        <v>400</v>
      </c>
      <c r="U683">
        <v>582</v>
      </c>
      <c r="V683">
        <v>16</v>
      </c>
      <c r="W683">
        <v>9</v>
      </c>
      <c r="X683">
        <v>15</v>
      </c>
      <c r="Y683">
        <v>8</v>
      </c>
      <c r="Z683">
        <v>14</v>
      </c>
      <c r="AA683">
        <v>20</v>
      </c>
      <c r="AB683">
        <v>5</v>
      </c>
      <c r="AC683">
        <v>2</v>
      </c>
      <c r="AD683">
        <v>4</v>
      </c>
      <c r="AE683">
        <v>1</v>
      </c>
      <c r="AF683">
        <v>10</v>
      </c>
      <c r="AG683">
        <v>19</v>
      </c>
      <c r="AH683">
        <v>12</v>
      </c>
      <c r="AI683">
        <v>18</v>
      </c>
      <c r="AJ683">
        <v>11</v>
      </c>
      <c r="AK683">
        <v>17</v>
      </c>
      <c r="AL683">
        <v>24</v>
      </c>
      <c r="AM683">
        <v>23</v>
      </c>
      <c r="AN683">
        <v>3</v>
      </c>
      <c r="AO683">
        <v>22</v>
      </c>
      <c r="AP683">
        <v>13</v>
      </c>
      <c r="AQ683">
        <v>21</v>
      </c>
      <c r="AR683">
        <v>6</v>
      </c>
      <c r="AS683">
        <v>7</v>
      </c>
    </row>
    <row r="684" spans="1:45" x14ac:dyDescent="0.25">
      <c r="A684">
        <v>11</v>
      </c>
      <c r="B684" t="s">
        <v>393</v>
      </c>
      <c r="C684">
        <v>1.1000000000000001</v>
      </c>
      <c r="D684">
        <v>2.2999999999999998</v>
      </c>
      <c r="E684" t="s">
        <v>379</v>
      </c>
      <c r="U684">
        <v>583</v>
      </c>
      <c r="V684">
        <v>13</v>
      </c>
      <c r="W684">
        <v>16</v>
      </c>
      <c r="X684">
        <v>18</v>
      </c>
      <c r="Y684">
        <v>9</v>
      </c>
      <c r="Z684">
        <v>11</v>
      </c>
      <c r="AA684">
        <v>17</v>
      </c>
      <c r="AB684">
        <v>4</v>
      </c>
      <c r="AC684">
        <v>2</v>
      </c>
      <c r="AD684">
        <v>3</v>
      </c>
      <c r="AE684">
        <v>1</v>
      </c>
      <c r="AF684">
        <v>10</v>
      </c>
      <c r="AG684">
        <v>22</v>
      </c>
      <c r="AH684">
        <v>12</v>
      </c>
      <c r="AI684">
        <v>19</v>
      </c>
      <c r="AJ684">
        <v>14</v>
      </c>
      <c r="AK684">
        <v>20</v>
      </c>
      <c r="AL684">
        <v>24</v>
      </c>
      <c r="AM684">
        <v>23</v>
      </c>
      <c r="AN684">
        <v>6</v>
      </c>
      <c r="AO684">
        <v>21</v>
      </c>
      <c r="AP684">
        <v>7</v>
      </c>
      <c r="AQ684">
        <v>15</v>
      </c>
      <c r="AR684">
        <v>8</v>
      </c>
      <c r="AS684">
        <v>5</v>
      </c>
    </row>
    <row r="685" spans="1:45" x14ac:dyDescent="0.25">
      <c r="A685">
        <v>11</v>
      </c>
      <c r="B685" t="s">
        <v>382</v>
      </c>
      <c r="C685">
        <v>1.7</v>
      </c>
      <c r="D685">
        <v>0.6</v>
      </c>
      <c r="E685" t="s">
        <v>390</v>
      </c>
      <c r="U685">
        <v>584</v>
      </c>
      <c r="V685">
        <v>14</v>
      </c>
      <c r="W685">
        <v>9</v>
      </c>
      <c r="X685">
        <v>18</v>
      </c>
      <c r="Y685">
        <v>15</v>
      </c>
      <c r="Z685">
        <v>16</v>
      </c>
      <c r="AA685">
        <v>22</v>
      </c>
      <c r="AB685">
        <v>5</v>
      </c>
      <c r="AC685">
        <v>2</v>
      </c>
      <c r="AD685">
        <v>3</v>
      </c>
      <c r="AE685">
        <v>1</v>
      </c>
      <c r="AF685">
        <v>6</v>
      </c>
      <c r="AG685">
        <v>20</v>
      </c>
      <c r="AH685">
        <v>10</v>
      </c>
      <c r="AI685">
        <v>12</v>
      </c>
      <c r="AJ685">
        <v>11</v>
      </c>
      <c r="AK685">
        <v>21</v>
      </c>
      <c r="AL685">
        <v>24</v>
      </c>
      <c r="AM685">
        <v>23</v>
      </c>
      <c r="AN685">
        <v>4</v>
      </c>
      <c r="AO685">
        <v>19</v>
      </c>
      <c r="AP685">
        <v>13</v>
      </c>
      <c r="AQ685">
        <v>17</v>
      </c>
      <c r="AR685">
        <v>7</v>
      </c>
      <c r="AS685">
        <v>8</v>
      </c>
    </row>
    <row r="686" spans="1:45" x14ac:dyDescent="0.25">
      <c r="A686">
        <v>11</v>
      </c>
      <c r="B686" t="s">
        <v>395</v>
      </c>
      <c r="C686">
        <v>0.6</v>
      </c>
      <c r="D686">
        <v>0.7</v>
      </c>
      <c r="E686" t="s">
        <v>383</v>
      </c>
      <c r="U686">
        <v>585</v>
      </c>
      <c r="V686">
        <v>15</v>
      </c>
      <c r="W686">
        <v>9</v>
      </c>
      <c r="X686">
        <v>11</v>
      </c>
      <c r="Y686">
        <v>13</v>
      </c>
      <c r="Z686">
        <v>17</v>
      </c>
      <c r="AA686">
        <v>20</v>
      </c>
      <c r="AB686">
        <v>4</v>
      </c>
      <c r="AC686">
        <v>2</v>
      </c>
      <c r="AD686">
        <v>3</v>
      </c>
      <c r="AE686">
        <v>1</v>
      </c>
      <c r="AF686">
        <v>12</v>
      </c>
      <c r="AG686">
        <v>19</v>
      </c>
      <c r="AH686">
        <v>10</v>
      </c>
      <c r="AI686">
        <v>16</v>
      </c>
      <c r="AJ686">
        <v>14</v>
      </c>
      <c r="AK686">
        <v>22</v>
      </c>
      <c r="AL686">
        <v>23</v>
      </c>
      <c r="AM686">
        <v>24</v>
      </c>
      <c r="AN686">
        <v>5</v>
      </c>
      <c r="AO686">
        <v>21</v>
      </c>
      <c r="AP686">
        <v>6</v>
      </c>
      <c r="AQ686">
        <v>18</v>
      </c>
      <c r="AR686">
        <v>8</v>
      </c>
      <c r="AS686">
        <v>7</v>
      </c>
    </row>
    <row r="687" spans="1:45" x14ac:dyDescent="0.25">
      <c r="A687">
        <v>11</v>
      </c>
      <c r="B687" t="s">
        <v>391</v>
      </c>
      <c r="C687">
        <v>1.3</v>
      </c>
      <c r="D687">
        <v>2.1</v>
      </c>
      <c r="E687" t="s">
        <v>399</v>
      </c>
      <c r="U687">
        <v>586</v>
      </c>
      <c r="V687">
        <v>20</v>
      </c>
      <c r="W687">
        <v>12</v>
      </c>
      <c r="X687">
        <v>9</v>
      </c>
      <c r="Y687">
        <v>15</v>
      </c>
      <c r="Z687">
        <v>16</v>
      </c>
      <c r="AA687">
        <v>19</v>
      </c>
      <c r="AB687">
        <v>5</v>
      </c>
      <c r="AC687">
        <v>2</v>
      </c>
      <c r="AD687">
        <v>3</v>
      </c>
      <c r="AE687">
        <v>1</v>
      </c>
      <c r="AF687">
        <v>6</v>
      </c>
      <c r="AG687">
        <v>21</v>
      </c>
      <c r="AH687">
        <v>10</v>
      </c>
      <c r="AI687">
        <v>11</v>
      </c>
      <c r="AJ687">
        <v>13</v>
      </c>
      <c r="AK687">
        <v>23</v>
      </c>
      <c r="AL687">
        <v>24</v>
      </c>
      <c r="AM687">
        <v>22</v>
      </c>
      <c r="AN687">
        <v>4</v>
      </c>
      <c r="AO687">
        <v>18</v>
      </c>
      <c r="AP687">
        <v>8</v>
      </c>
      <c r="AQ687">
        <v>17</v>
      </c>
      <c r="AR687">
        <v>14</v>
      </c>
      <c r="AS687">
        <v>7</v>
      </c>
    </row>
    <row r="688" spans="1:45" x14ac:dyDescent="0.25">
      <c r="A688">
        <v>12</v>
      </c>
      <c r="B688" t="s">
        <v>392</v>
      </c>
      <c r="C688">
        <v>0.5</v>
      </c>
      <c r="D688">
        <v>0.3</v>
      </c>
      <c r="E688" t="s">
        <v>389</v>
      </c>
      <c r="U688">
        <v>587</v>
      </c>
      <c r="V688">
        <v>14</v>
      </c>
      <c r="W688">
        <v>12</v>
      </c>
      <c r="X688">
        <v>11</v>
      </c>
      <c r="Y688">
        <v>9</v>
      </c>
      <c r="Z688">
        <v>13</v>
      </c>
      <c r="AA688">
        <v>21</v>
      </c>
      <c r="AB688">
        <v>7</v>
      </c>
      <c r="AC688">
        <v>2</v>
      </c>
      <c r="AD688">
        <v>4</v>
      </c>
      <c r="AE688">
        <v>1</v>
      </c>
      <c r="AF688">
        <v>16</v>
      </c>
      <c r="AG688">
        <v>18</v>
      </c>
      <c r="AH688">
        <v>10</v>
      </c>
      <c r="AI688">
        <v>17</v>
      </c>
      <c r="AJ688">
        <v>15</v>
      </c>
      <c r="AK688">
        <v>22</v>
      </c>
      <c r="AL688">
        <v>24</v>
      </c>
      <c r="AM688">
        <v>23</v>
      </c>
      <c r="AN688">
        <v>3</v>
      </c>
      <c r="AO688">
        <v>19</v>
      </c>
      <c r="AP688">
        <v>5</v>
      </c>
      <c r="AQ688">
        <v>20</v>
      </c>
      <c r="AR688">
        <v>8</v>
      </c>
      <c r="AS688">
        <v>6</v>
      </c>
    </row>
    <row r="689" spans="1:45" x14ac:dyDescent="0.25">
      <c r="A689">
        <v>12</v>
      </c>
      <c r="B689" t="s">
        <v>397</v>
      </c>
      <c r="C689">
        <v>0.7</v>
      </c>
      <c r="D689">
        <v>1.9</v>
      </c>
      <c r="E689" t="s">
        <v>398</v>
      </c>
      <c r="U689">
        <v>588</v>
      </c>
      <c r="V689">
        <v>18</v>
      </c>
      <c r="W689">
        <v>9</v>
      </c>
      <c r="X689">
        <v>19</v>
      </c>
      <c r="Y689">
        <v>11</v>
      </c>
      <c r="Z689">
        <v>14</v>
      </c>
      <c r="AA689">
        <v>22</v>
      </c>
      <c r="AB689">
        <v>10</v>
      </c>
      <c r="AC689">
        <v>2</v>
      </c>
      <c r="AD689">
        <v>4</v>
      </c>
      <c r="AE689">
        <v>1</v>
      </c>
      <c r="AF689">
        <v>8</v>
      </c>
      <c r="AG689">
        <v>17</v>
      </c>
      <c r="AH689">
        <v>12</v>
      </c>
      <c r="AI689">
        <v>13</v>
      </c>
      <c r="AJ689">
        <v>15</v>
      </c>
      <c r="AK689">
        <v>21</v>
      </c>
      <c r="AL689">
        <v>24</v>
      </c>
      <c r="AM689">
        <v>23</v>
      </c>
      <c r="AN689">
        <v>3</v>
      </c>
      <c r="AO689">
        <v>20</v>
      </c>
      <c r="AP689">
        <v>7</v>
      </c>
      <c r="AQ689">
        <v>16</v>
      </c>
      <c r="AR689">
        <v>6</v>
      </c>
      <c r="AS689">
        <v>5</v>
      </c>
    </row>
    <row r="690" spans="1:45" x14ac:dyDescent="0.25">
      <c r="A690">
        <v>12</v>
      </c>
      <c r="B690" t="s">
        <v>401</v>
      </c>
      <c r="C690">
        <v>0.8</v>
      </c>
      <c r="D690">
        <v>0.4</v>
      </c>
      <c r="E690" t="s">
        <v>391</v>
      </c>
      <c r="U690">
        <v>589</v>
      </c>
      <c r="V690">
        <v>15</v>
      </c>
      <c r="W690">
        <v>10</v>
      </c>
      <c r="X690">
        <v>16</v>
      </c>
      <c r="Y690">
        <v>8</v>
      </c>
      <c r="Z690">
        <v>13</v>
      </c>
      <c r="AA690">
        <v>21</v>
      </c>
      <c r="AB690">
        <v>5</v>
      </c>
      <c r="AC690">
        <v>3</v>
      </c>
      <c r="AD690">
        <v>2</v>
      </c>
      <c r="AE690">
        <v>1</v>
      </c>
      <c r="AF690">
        <v>18</v>
      </c>
      <c r="AG690">
        <v>17</v>
      </c>
      <c r="AH690">
        <v>7</v>
      </c>
      <c r="AI690">
        <v>12</v>
      </c>
      <c r="AJ690">
        <v>11</v>
      </c>
      <c r="AK690">
        <v>23</v>
      </c>
      <c r="AL690">
        <v>22</v>
      </c>
      <c r="AM690">
        <v>24</v>
      </c>
      <c r="AN690">
        <v>4</v>
      </c>
      <c r="AO690">
        <v>20</v>
      </c>
      <c r="AP690">
        <v>9</v>
      </c>
      <c r="AQ690">
        <v>19</v>
      </c>
      <c r="AR690">
        <v>14</v>
      </c>
      <c r="AS690">
        <v>6</v>
      </c>
    </row>
    <row r="691" spans="1:45" x14ac:dyDescent="0.25">
      <c r="A691">
        <v>12</v>
      </c>
      <c r="B691" t="s">
        <v>400</v>
      </c>
      <c r="C691">
        <v>0.4</v>
      </c>
      <c r="D691">
        <v>0.4</v>
      </c>
      <c r="E691" t="s">
        <v>395</v>
      </c>
      <c r="U691">
        <v>590</v>
      </c>
      <c r="V691">
        <v>16</v>
      </c>
      <c r="W691">
        <v>10</v>
      </c>
      <c r="X691">
        <v>18</v>
      </c>
      <c r="Y691">
        <v>9</v>
      </c>
      <c r="Z691">
        <v>13</v>
      </c>
      <c r="AA691">
        <v>22</v>
      </c>
      <c r="AB691">
        <v>5</v>
      </c>
      <c r="AC691">
        <v>2</v>
      </c>
      <c r="AD691">
        <v>4</v>
      </c>
      <c r="AE691">
        <v>1</v>
      </c>
      <c r="AF691">
        <v>7</v>
      </c>
      <c r="AG691">
        <v>19</v>
      </c>
      <c r="AH691">
        <v>15</v>
      </c>
      <c r="AI691">
        <v>12</v>
      </c>
      <c r="AJ691">
        <v>14</v>
      </c>
      <c r="AK691">
        <v>20</v>
      </c>
      <c r="AL691">
        <v>24</v>
      </c>
      <c r="AM691">
        <v>23</v>
      </c>
      <c r="AN691">
        <v>3</v>
      </c>
      <c r="AO691">
        <v>21</v>
      </c>
      <c r="AP691">
        <v>11</v>
      </c>
      <c r="AQ691">
        <v>17</v>
      </c>
      <c r="AR691">
        <v>6</v>
      </c>
      <c r="AS691">
        <v>8</v>
      </c>
    </row>
    <row r="692" spans="1:45" x14ac:dyDescent="0.25">
      <c r="A692">
        <v>12</v>
      </c>
      <c r="B692" t="s">
        <v>380</v>
      </c>
      <c r="C692">
        <v>0.4</v>
      </c>
      <c r="D692">
        <v>0.6</v>
      </c>
      <c r="E692" t="s">
        <v>382</v>
      </c>
      <c r="U692">
        <v>591</v>
      </c>
      <c r="V692">
        <v>12</v>
      </c>
      <c r="W692">
        <v>6</v>
      </c>
      <c r="X692">
        <v>17</v>
      </c>
      <c r="Y692">
        <v>14</v>
      </c>
      <c r="Z692">
        <v>18</v>
      </c>
      <c r="AA692">
        <v>21</v>
      </c>
      <c r="AB692">
        <v>8</v>
      </c>
      <c r="AC692">
        <v>3</v>
      </c>
      <c r="AD692">
        <v>4</v>
      </c>
      <c r="AE692">
        <v>1</v>
      </c>
      <c r="AF692">
        <v>10</v>
      </c>
      <c r="AG692">
        <v>22</v>
      </c>
      <c r="AH692">
        <v>11</v>
      </c>
      <c r="AI692">
        <v>13</v>
      </c>
      <c r="AJ692">
        <v>15</v>
      </c>
      <c r="AK692">
        <v>19</v>
      </c>
      <c r="AL692">
        <v>24</v>
      </c>
      <c r="AM692">
        <v>23</v>
      </c>
      <c r="AN692">
        <v>2</v>
      </c>
      <c r="AO692">
        <v>20</v>
      </c>
      <c r="AP692">
        <v>9</v>
      </c>
      <c r="AQ692">
        <v>16</v>
      </c>
      <c r="AR692">
        <v>5</v>
      </c>
      <c r="AS692">
        <v>7</v>
      </c>
    </row>
    <row r="693" spans="1:45" x14ac:dyDescent="0.25">
      <c r="A693">
        <v>12</v>
      </c>
      <c r="B693" t="s">
        <v>388</v>
      </c>
      <c r="C693">
        <v>2</v>
      </c>
      <c r="D693">
        <v>0.2</v>
      </c>
      <c r="E693" t="s">
        <v>378</v>
      </c>
      <c r="U693">
        <v>592</v>
      </c>
      <c r="V693">
        <v>19</v>
      </c>
      <c r="W693">
        <v>13</v>
      </c>
      <c r="X693">
        <v>14</v>
      </c>
      <c r="Y693">
        <v>9</v>
      </c>
      <c r="Z693">
        <v>18</v>
      </c>
      <c r="AA693">
        <v>21</v>
      </c>
      <c r="AB693">
        <v>5</v>
      </c>
      <c r="AC693">
        <v>2</v>
      </c>
      <c r="AD693">
        <v>4</v>
      </c>
      <c r="AE693">
        <v>1</v>
      </c>
      <c r="AF693">
        <v>11</v>
      </c>
      <c r="AG693">
        <v>20</v>
      </c>
      <c r="AH693">
        <v>7</v>
      </c>
      <c r="AI693">
        <v>17</v>
      </c>
      <c r="AJ693">
        <v>16</v>
      </c>
      <c r="AK693">
        <v>22</v>
      </c>
      <c r="AL693">
        <v>24</v>
      </c>
      <c r="AM693">
        <v>23</v>
      </c>
      <c r="AN693">
        <v>3</v>
      </c>
      <c r="AO693">
        <v>15</v>
      </c>
      <c r="AP693">
        <v>8</v>
      </c>
      <c r="AQ693">
        <v>12</v>
      </c>
      <c r="AR693">
        <v>10</v>
      </c>
      <c r="AS693">
        <v>6</v>
      </c>
    </row>
    <row r="694" spans="1:45" x14ac:dyDescent="0.25">
      <c r="A694">
        <v>12</v>
      </c>
      <c r="B694" t="s">
        <v>390</v>
      </c>
      <c r="C694">
        <v>0.9</v>
      </c>
      <c r="D694">
        <v>1.5</v>
      </c>
      <c r="E694" t="s">
        <v>386</v>
      </c>
      <c r="U694">
        <v>593</v>
      </c>
      <c r="V694">
        <v>15</v>
      </c>
      <c r="W694">
        <v>13</v>
      </c>
      <c r="X694">
        <v>10</v>
      </c>
      <c r="Y694">
        <v>9</v>
      </c>
      <c r="Z694">
        <v>14</v>
      </c>
      <c r="AA694">
        <v>19</v>
      </c>
      <c r="AB694">
        <v>6</v>
      </c>
      <c r="AC694">
        <v>2</v>
      </c>
      <c r="AD694">
        <v>3</v>
      </c>
      <c r="AE694">
        <v>1</v>
      </c>
      <c r="AF694">
        <v>8</v>
      </c>
      <c r="AG694">
        <v>18</v>
      </c>
      <c r="AH694">
        <v>11</v>
      </c>
      <c r="AI694">
        <v>21</v>
      </c>
      <c r="AJ694">
        <v>12</v>
      </c>
      <c r="AK694">
        <v>22</v>
      </c>
      <c r="AL694">
        <v>23</v>
      </c>
      <c r="AM694">
        <v>24</v>
      </c>
      <c r="AN694">
        <v>4</v>
      </c>
      <c r="AO694">
        <v>20</v>
      </c>
      <c r="AP694">
        <v>17</v>
      </c>
      <c r="AQ694">
        <v>16</v>
      </c>
      <c r="AR694">
        <v>7</v>
      </c>
      <c r="AS694">
        <v>5</v>
      </c>
    </row>
    <row r="695" spans="1:45" x14ac:dyDescent="0.25">
      <c r="A695">
        <v>12</v>
      </c>
      <c r="B695" t="s">
        <v>384</v>
      </c>
      <c r="C695">
        <v>1.2</v>
      </c>
      <c r="D695">
        <v>1.5</v>
      </c>
      <c r="E695" t="s">
        <v>396</v>
      </c>
      <c r="U695">
        <v>594</v>
      </c>
      <c r="V695">
        <v>19</v>
      </c>
      <c r="W695">
        <v>8</v>
      </c>
      <c r="X695">
        <v>16</v>
      </c>
      <c r="Y695">
        <v>9</v>
      </c>
      <c r="Z695">
        <v>14</v>
      </c>
      <c r="AA695">
        <v>17</v>
      </c>
      <c r="AB695">
        <v>4</v>
      </c>
      <c r="AC695">
        <v>2</v>
      </c>
      <c r="AD695">
        <v>5</v>
      </c>
      <c r="AE695">
        <v>1</v>
      </c>
      <c r="AF695">
        <v>12</v>
      </c>
      <c r="AG695">
        <v>18</v>
      </c>
      <c r="AH695">
        <v>13</v>
      </c>
      <c r="AI695">
        <v>20</v>
      </c>
      <c r="AJ695">
        <v>11</v>
      </c>
      <c r="AK695">
        <v>22</v>
      </c>
      <c r="AL695">
        <v>24</v>
      </c>
      <c r="AM695">
        <v>23</v>
      </c>
      <c r="AN695">
        <v>3</v>
      </c>
      <c r="AO695">
        <v>21</v>
      </c>
      <c r="AP695">
        <v>10</v>
      </c>
      <c r="AQ695">
        <v>15</v>
      </c>
      <c r="AR695">
        <v>7</v>
      </c>
      <c r="AS695">
        <v>6</v>
      </c>
    </row>
    <row r="696" spans="1:45" x14ac:dyDescent="0.25">
      <c r="A696">
        <v>12</v>
      </c>
      <c r="B696" t="s">
        <v>379</v>
      </c>
      <c r="C696">
        <v>1.1000000000000001</v>
      </c>
      <c r="D696">
        <v>0.7</v>
      </c>
      <c r="E696" t="s">
        <v>381</v>
      </c>
      <c r="U696">
        <v>595</v>
      </c>
      <c r="V696">
        <v>16</v>
      </c>
      <c r="W696">
        <v>12</v>
      </c>
      <c r="X696">
        <v>8</v>
      </c>
      <c r="Y696">
        <v>10</v>
      </c>
      <c r="Z696">
        <v>19</v>
      </c>
      <c r="AA696">
        <v>22</v>
      </c>
      <c r="AB696">
        <v>6</v>
      </c>
      <c r="AC696">
        <v>2</v>
      </c>
      <c r="AD696">
        <v>3</v>
      </c>
      <c r="AE696">
        <v>1</v>
      </c>
      <c r="AF696">
        <v>11</v>
      </c>
      <c r="AG696">
        <v>20</v>
      </c>
      <c r="AH696">
        <v>5</v>
      </c>
      <c r="AI696">
        <v>15</v>
      </c>
      <c r="AJ696">
        <v>14</v>
      </c>
      <c r="AK696">
        <v>21</v>
      </c>
      <c r="AL696">
        <v>24</v>
      </c>
      <c r="AM696">
        <v>23</v>
      </c>
      <c r="AN696">
        <v>4</v>
      </c>
      <c r="AO696">
        <v>18</v>
      </c>
      <c r="AP696">
        <v>13</v>
      </c>
      <c r="AQ696">
        <v>17</v>
      </c>
      <c r="AR696">
        <v>9</v>
      </c>
      <c r="AS696">
        <v>7</v>
      </c>
    </row>
    <row r="697" spans="1:45" x14ac:dyDescent="0.25">
      <c r="A697">
        <v>12</v>
      </c>
      <c r="B697" t="s">
        <v>399</v>
      </c>
      <c r="C697">
        <v>0.7</v>
      </c>
      <c r="D697">
        <v>2.9</v>
      </c>
      <c r="E697" t="s">
        <v>387</v>
      </c>
      <c r="U697">
        <v>596</v>
      </c>
      <c r="V697">
        <v>18</v>
      </c>
      <c r="W697">
        <v>15</v>
      </c>
      <c r="X697">
        <v>14</v>
      </c>
      <c r="Y697">
        <v>10</v>
      </c>
      <c r="Z697">
        <v>12</v>
      </c>
      <c r="AA697">
        <v>22</v>
      </c>
      <c r="AB697">
        <v>6</v>
      </c>
      <c r="AC697">
        <v>2</v>
      </c>
      <c r="AD697">
        <v>3</v>
      </c>
      <c r="AE697">
        <v>1</v>
      </c>
      <c r="AF697">
        <v>13</v>
      </c>
      <c r="AG697">
        <v>17</v>
      </c>
      <c r="AH697">
        <v>9</v>
      </c>
      <c r="AI697">
        <v>16</v>
      </c>
      <c r="AJ697">
        <v>7</v>
      </c>
      <c r="AK697">
        <v>20</v>
      </c>
      <c r="AL697">
        <v>24</v>
      </c>
      <c r="AM697">
        <v>23</v>
      </c>
      <c r="AN697">
        <v>4</v>
      </c>
      <c r="AO697">
        <v>19</v>
      </c>
      <c r="AP697">
        <v>8</v>
      </c>
      <c r="AQ697">
        <v>21</v>
      </c>
      <c r="AR697">
        <v>11</v>
      </c>
      <c r="AS697">
        <v>5</v>
      </c>
    </row>
    <row r="698" spans="1:45" x14ac:dyDescent="0.25">
      <c r="A698">
        <v>12</v>
      </c>
      <c r="B698" t="s">
        <v>383</v>
      </c>
      <c r="C698">
        <v>1</v>
      </c>
      <c r="D698">
        <v>1.3</v>
      </c>
      <c r="E698" t="s">
        <v>393</v>
      </c>
      <c r="U698">
        <v>597</v>
      </c>
      <c r="V698">
        <v>16</v>
      </c>
      <c r="W698">
        <v>10</v>
      </c>
      <c r="X698">
        <v>11</v>
      </c>
      <c r="Y698">
        <v>14</v>
      </c>
      <c r="Z698">
        <v>17</v>
      </c>
      <c r="AA698">
        <v>20</v>
      </c>
      <c r="AB698">
        <v>5</v>
      </c>
      <c r="AC698">
        <v>2</v>
      </c>
      <c r="AD698">
        <v>3</v>
      </c>
      <c r="AE698">
        <v>1</v>
      </c>
      <c r="AF698">
        <v>18</v>
      </c>
      <c r="AG698">
        <v>21</v>
      </c>
      <c r="AH698">
        <v>12</v>
      </c>
      <c r="AI698">
        <v>13</v>
      </c>
      <c r="AJ698">
        <v>7</v>
      </c>
      <c r="AK698">
        <v>22</v>
      </c>
      <c r="AL698">
        <v>24</v>
      </c>
      <c r="AM698">
        <v>23</v>
      </c>
      <c r="AN698">
        <v>6</v>
      </c>
      <c r="AO698">
        <v>19</v>
      </c>
      <c r="AP698">
        <v>8</v>
      </c>
      <c r="AQ698">
        <v>15</v>
      </c>
      <c r="AR698">
        <v>9</v>
      </c>
      <c r="AS698">
        <v>4</v>
      </c>
    </row>
    <row r="699" spans="1:45" x14ac:dyDescent="0.25">
      <c r="A699">
        <v>13</v>
      </c>
      <c r="B699" t="s">
        <v>390</v>
      </c>
      <c r="C699">
        <v>0.5</v>
      </c>
      <c r="D699">
        <v>1.3</v>
      </c>
      <c r="E699" t="s">
        <v>388</v>
      </c>
      <c r="U699">
        <v>598</v>
      </c>
      <c r="V699">
        <v>12</v>
      </c>
      <c r="W699">
        <v>16</v>
      </c>
      <c r="X699">
        <v>15</v>
      </c>
      <c r="Y699">
        <v>11</v>
      </c>
      <c r="Z699">
        <v>14</v>
      </c>
      <c r="AA699">
        <v>22</v>
      </c>
      <c r="AB699">
        <v>5</v>
      </c>
      <c r="AC699">
        <v>2</v>
      </c>
      <c r="AD699">
        <v>3</v>
      </c>
      <c r="AE699">
        <v>1</v>
      </c>
      <c r="AF699">
        <v>9</v>
      </c>
      <c r="AG699">
        <v>20</v>
      </c>
      <c r="AH699">
        <v>6</v>
      </c>
      <c r="AI699">
        <v>17</v>
      </c>
      <c r="AJ699">
        <v>8</v>
      </c>
      <c r="AK699">
        <v>19</v>
      </c>
      <c r="AL699">
        <v>23</v>
      </c>
      <c r="AM699">
        <v>24</v>
      </c>
      <c r="AN699">
        <v>4</v>
      </c>
      <c r="AO699">
        <v>21</v>
      </c>
      <c r="AP699">
        <v>13</v>
      </c>
      <c r="AQ699">
        <v>18</v>
      </c>
      <c r="AR699">
        <v>10</v>
      </c>
      <c r="AS699">
        <v>7</v>
      </c>
    </row>
    <row r="700" spans="1:45" x14ac:dyDescent="0.25">
      <c r="A700">
        <v>13</v>
      </c>
      <c r="B700" t="s">
        <v>383</v>
      </c>
      <c r="C700">
        <v>1.6</v>
      </c>
      <c r="D700">
        <v>1.4</v>
      </c>
      <c r="E700" t="s">
        <v>381</v>
      </c>
      <c r="U700">
        <v>599</v>
      </c>
      <c r="V700">
        <v>20</v>
      </c>
      <c r="W700">
        <v>9</v>
      </c>
      <c r="X700">
        <v>14</v>
      </c>
      <c r="Y700">
        <v>16</v>
      </c>
      <c r="Z700">
        <v>17</v>
      </c>
      <c r="AA700">
        <v>18</v>
      </c>
      <c r="AB700">
        <v>4</v>
      </c>
      <c r="AC700">
        <v>2</v>
      </c>
      <c r="AD700">
        <v>3</v>
      </c>
      <c r="AE700">
        <v>1</v>
      </c>
      <c r="AF700">
        <v>7</v>
      </c>
      <c r="AG700">
        <v>19</v>
      </c>
      <c r="AH700">
        <v>6</v>
      </c>
      <c r="AI700">
        <v>15</v>
      </c>
      <c r="AJ700">
        <v>13</v>
      </c>
      <c r="AK700">
        <v>22</v>
      </c>
      <c r="AL700">
        <v>24</v>
      </c>
      <c r="AM700">
        <v>23</v>
      </c>
      <c r="AN700">
        <v>5</v>
      </c>
      <c r="AO700">
        <v>21</v>
      </c>
      <c r="AP700">
        <v>10</v>
      </c>
      <c r="AQ700">
        <v>12</v>
      </c>
      <c r="AR700">
        <v>8</v>
      </c>
      <c r="AS700">
        <v>11</v>
      </c>
    </row>
    <row r="701" spans="1:45" x14ac:dyDescent="0.25">
      <c r="A701">
        <v>13</v>
      </c>
      <c r="B701" t="s">
        <v>399</v>
      </c>
      <c r="C701">
        <v>0.7</v>
      </c>
      <c r="D701">
        <v>0.7</v>
      </c>
      <c r="E701" t="s">
        <v>400</v>
      </c>
      <c r="U701">
        <v>600</v>
      </c>
      <c r="V701">
        <v>22</v>
      </c>
      <c r="W701">
        <v>14</v>
      </c>
      <c r="X701">
        <v>7</v>
      </c>
      <c r="Y701">
        <v>12</v>
      </c>
      <c r="Z701">
        <v>13</v>
      </c>
      <c r="AA701">
        <v>20</v>
      </c>
      <c r="AB701">
        <v>5</v>
      </c>
      <c r="AC701">
        <v>3</v>
      </c>
      <c r="AD701">
        <v>2</v>
      </c>
      <c r="AE701">
        <v>1</v>
      </c>
      <c r="AF701">
        <v>4</v>
      </c>
      <c r="AG701">
        <v>21</v>
      </c>
      <c r="AH701">
        <v>8</v>
      </c>
      <c r="AI701">
        <v>18</v>
      </c>
      <c r="AJ701">
        <v>16</v>
      </c>
      <c r="AK701">
        <v>19</v>
      </c>
      <c r="AL701">
        <v>24</v>
      </c>
      <c r="AM701">
        <v>23</v>
      </c>
      <c r="AN701">
        <v>6</v>
      </c>
      <c r="AO701">
        <v>17</v>
      </c>
      <c r="AP701">
        <v>11</v>
      </c>
      <c r="AQ701">
        <v>15</v>
      </c>
      <c r="AR701">
        <v>10</v>
      </c>
      <c r="AS701">
        <v>9</v>
      </c>
    </row>
    <row r="702" spans="1:45" x14ac:dyDescent="0.25">
      <c r="A702">
        <v>13</v>
      </c>
      <c r="B702" t="s">
        <v>389</v>
      </c>
      <c r="C702">
        <v>1.8</v>
      </c>
      <c r="D702">
        <v>1.1000000000000001</v>
      </c>
      <c r="E702" t="s">
        <v>379</v>
      </c>
      <c r="U702">
        <v>601</v>
      </c>
      <c r="V702">
        <v>16</v>
      </c>
      <c r="W702">
        <v>7</v>
      </c>
      <c r="X702">
        <v>20</v>
      </c>
      <c r="Y702">
        <v>11</v>
      </c>
      <c r="Z702">
        <v>15</v>
      </c>
      <c r="AA702">
        <v>22</v>
      </c>
      <c r="AB702">
        <v>4</v>
      </c>
      <c r="AC702">
        <v>3</v>
      </c>
      <c r="AD702">
        <v>2</v>
      </c>
      <c r="AE702">
        <v>1</v>
      </c>
      <c r="AF702">
        <v>12</v>
      </c>
      <c r="AG702">
        <v>18</v>
      </c>
      <c r="AH702">
        <v>14</v>
      </c>
      <c r="AI702">
        <v>13</v>
      </c>
      <c r="AJ702">
        <v>10</v>
      </c>
      <c r="AK702">
        <v>21</v>
      </c>
      <c r="AL702">
        <v>24</v>
      </c>
      <c r="AM702">
        <v>23</v>
      </c>
      <c r="AN702">
        <v>5</v>
      </c>
      <c r="AO702">
        <v>19</v>
      </c>
      <c r="AP702">
        <v>9</v>
      </c>
      <c r="AQ702">
        <v>17</v>
      </c>
      <c r="AR702">
        <v>6</v>
      </c>
      <c r="AS702">
        <v>8</v>
      </c>
    </row>
    <row r="703" spans="1:45" x14ac:dyDescent="0.25">
      <c r="A703">
        <v>13</v>
      </c>
      <c r="B703" t="s">
        <v>387</v>
      </c>
      <c r="C703">
        <v>1.3</v>
      </c>
      <c r="D703">
        <v>1</v>
      </c>
      <c r="E703" t="s">
        <v>398</v>
      </c>
      <c r="U703">
        <v>602</v>
      </c>
      <c r="V703">
        <v>19</v>
      </c>
      <c r="W703">
        <v>15</v>
      </c>
      <c r="X703">
        <v>13</v>
      </c>
      <c r="Y703">
        <v>10</v>
      </c>
      <c r="Z703">
        <v>8</v>
      </c>
      <c r="AA703">
        <v>21</v>
      </c>
      <c r="AB703">
        <v>4</v>
      </c>
      <c r="AC703">
        <v>2</v>
      </c>
      <c r="AD703">
        <v>3</v>
      </c>
      <c r="AE703">
        <v>1</v>
      </c>
      <c r="AF703">
        <v>12</v>
      </c>
      <c r="AG703">
        <v>22</v>
      </c>
      <c r="AH703">
        <v>11</v>
      </c>
      <c r="AI703">
        <v>17</v>
      </c>
      <c r="AJ703">
        <v>16</v>
      </c>
      <c r="AK703">
        <v>20</v>
      </c>
      <c r="AL703">
        <v>24</v>
      </c>
      <c r="AM703">
        <v>23</v>
      </c>
      <c r="AN703">
        <v>6</v>
      </c>
      <c r="AO703">
        <v>18</v>
      </c>
      <c r="AP703">
        <v>9</v>
      </c>
      <c r="AQ703">
        <v>14</v>
      </c>
      <c r="AR703">
        <v>7</v>
      </c>
      <c r="AS703">
        <v>5</v>
      </c>
    </row>
    <row r="704" spans="1:45" x14ac:dyDescent="0.25">
      <c r="A704">
        <v>13</v>
      </c>
      <c r="B704" t="s">
        <v>401</v>
      </c>
      <c r="C704">
        <v>2.9</v>
      </c>
      <c r="D704">
        <v>0.2</v>
      </c>
      <c r="E704" t="s">
        <v>393</v>
      </c>
      <c r="U704">
        <v>603</v>
      </c>
      <c r="V704">
        <v>14</v>
      </c>
      <c r="W704">
        <v>6</v>
      </c>
      <c r="X704">
        <v>13</v>
      </c>
      <c r="Y704">
        <v>10</v>
      </c>
      <c r="Z704">
        <v>17</v>
      </c>
      <c r="AA704">
        <v>22</v>
      </c>
      <c r="AB704">
        <v>5</v>
      </c>
      <c r="AC704">
        <v>2</v>
      </c>
      <c r="AD704">
        <v>4</v>
      </c>
      <c r="AE704">
        <v>1</v>
      </c>
      <c r="AF704">
        <v>7</v>
      </c>
      <c r="AG704">
        <v>16</v>
      </c>
      <c r="AH704">
        <v>15</v>
      </c>
      <c r="AI704">
        <v>19</v>
      </c>
      <c r="AJ704">
        <v>18</v>
      </c>
      <c r="AK704">
        <v>21</v>
      </c>
      <c r="AL704">
        <v>24</v>
      </c>
      <c r="AM704">
        <v>23</v>
      </c>
      <c r="AN704">
        <v>3</v>
      </c>
      <c r="AO704">
        <v>20</v>
      </c>
      <c r="AP704">
        <v>11</v>
      </c>
      <c r="AQ704">
        <v>12</v>
      </c>
      <c r="AR704">
        <v>8</v>
      </c>
      <c r="AS704">
        <v>9</v>
      </c>
    </row>
    <row r="705" spans="1:45" x14ac:dyDescent="0.25">
      <c r="A705">
        <v>13</v>
      </c>
      <c r="B705" t="s">
        <v>380</v>
      </c>
      <c r="C705">
        <v>0.8</v>
      </c>
      <c r="D705">
        <v>1.7</v>
      </c>
      <c r="E705" t="s">
        <v>385</v>
      </c>
      <c r="U705">
        <v>604</v>
      </c>
      <c r="V705">
        <v>16</v>
      </c>
      <c r="W705">
        <v>14</v>
      </c>
      <c r="X705">
        <v>11</v>
      </c>
      <c r="Y705">
        <v>10</v>
      </c>
      <c r="Z705">
        <v>8</v>
      </c>
      <c r="AA705">
        <v>21</v>
      </c>
      <c r="AB705">
        <v>7</v>
      </c>
      <c r="AC705">
        <v>1</v>
      </c>
      <c r="AD705">
        <v>5</v>
      </c>
      <c r="AE705">
        <v>2</v>
      </c>
      <c r="AF705">
        <v>15</v>
      </c>
      <c r="AG705">
        <v>17</v>
      </c>
      <c r="AH705">
        <v>13</v>
      </c>
      <c r="AI705">
        <v>18</v>
      </c>
      <c r="AJ705">
        <v>9</v>
      </c>
      <c r="AK705">
        <v>22</v>
      </c>
      <c r="AL705">
        <v>24</v>
      </c>
      <c r="AM705">
        <v>23</v>
      </c>
      <c r="AN705">
        <v>3</v>
      </c>
      <c r="AO705">
        <v>20</v>
      </c>
      <c r="AP705">
        <v>12</v>
      </c>
      <c r="AQ705">
        <v>19</v>
      </c>
      <c r="AR705">
        <v>6</v>
      </c>
      <c r="AS705">
        <v>4</v>
      </c>
    </row>
    <row r="706" spans="1:45" x14ac:dyDescent="0.25">
      <c r="A706">
        <v>13</v>
      </c>
      <c r="B706" t="s">
        <v>392</v>
      </c>
      <c r="C706">
        <v>0.8</v>
      </c>
      <c r="D706">
        <v>0.8</v>
      </c>
      <c r="E706" t="s">
        <v>396</v>
      </c>
      <c r="U706">
        <v>605</v>
      </c>
      <c r="V706">
        <v>19</v>
      </c>
      <c r="W706">
        <v>12</v>
      </c>
      <c r="X706">
        <v>17</v>
      </c>
      <c r="Y706">
        <v>11</v>
      </c>
      <c r="Z706">
        <v>13</v>
      </c>
      <c r="AA706">
        <v>22</v>
      </c>
      <c r="AB706">
        <v>4</v>
      </c>
      <c r="AC706">
        <v>2</v>
      </c>
      <c r="AD706">
        <v>3</v>
      </c>
      <c r="AE706">
        <v>1</v>
      </c>
      <c r="AF706">
        <v>15</v>
      </c>
      <c r="AG706">
        <v>20</v>
      </c>
      <c r="AH706">
        <v>16</v>
      </c>
      <c r="AI706">
        <v>8</v>
      </c>
      <c r="AJ706">
        <v>10</v>
      </c>
      <c r="AK706">
        <v>18</v>
      </c>
      <c r="AL706">
        <v>23</v>
      </c>
      <c r="AM706">
        <v>24</v>
      </c>
      <c r="AN706">
        <v>5</v>
      </c>
      <c r="AO706">
        <v>21</v>
      </c>
      <c r="AP706">
        <v>9</v>
      </c>
      <c r="AQ706">
        <v>14</v>
      </c>
      <c r="AR706">
        <v>7</v>
      </c>
      <c r="AS706">
        <v>6</v>
      </c>
    </row>
    <row r="707" spans="1:45" x14ac:dyDescent="0.25">
      <c r="A707">
        <v>13</v>
      </c>
      <c r="B707" t="s">
        <v>391</v>
      </c>
      <c r="C707">
        <v>1</v>
      </c>
      <c r="D707">
        <v>1.1000000000000001</v>
      </c>
      <c r="E707" t="s">
        <v>395</v>
      </c>
      <c r="U707">
        <v>606</v>
      </c>
      <c r="V707">
        <v>15</v>
      </c>
      <c r="W707">
        <v>13</v>
      </c>
      <c r="X707">
        <v>9</v>
      </c>
      <c r="Y707">
        <v>14</v>
      </c>
      <c r="Z707">
        <v>18</v>
      </c>
      <c r="AA707">
        <v>22</v>
      </c>
      <c r="AB707">
        <v>4</v>
      </c>
      <c r="AC707">
        <v>2</v>
      </c>
      <c r="AD707">
        <v>3</v>
      </c>
      <c r="AE707">
        <v>1</v>
      </c>
      <c r="AF707">
        <v>12</v>
      </c>
      <c r="AG707">
        <v>20</v>
      </c>
      <c r="AH707">
        <v>8</v>
      </c>
      <c r="AI707">
        <v>11</v>
      </c>
      <c r="AJ707">
        <v>16</v>
      </c>
      <c r="AK707">
        <v>21</v>
      </c>
      <c r="AL707">
        <v>24</v>
      </c>
      <c r="AM707">
        <v>23</v>
      </c>
      <c r="AN707">
        <v>5</v>
      </c>
      <c r="AO707">
        <v>19</v>
      </c>
      <c r="AP707">
        <v>6</v>
      </c>
      <c r="AQ707">
        <v>17</v>
      </c>
      <c r="AR707">
        <v>7</v>
      </c>
      <c r="AS707">
        <v>10</v>
      </c>
    </row>
    <row r="708" spans="1:45" x14ac:dyDescent="0.25">
      <c r="A708">
        <v>13</v>
      </c>
      <c r="B708" t="s">
        <v>378</v>
      </c>
      <c r="C708">
        <v>0.6</v>
      </c>
      <c r="D708">
        <v>1.2</v>
      </c>
      <c r="E708" t="s">
        <v>384</v>
      </c>
      <c r="U708">
        <v>607</v>
      </c>
      <c r="V708">
        <v>17</v>
      </c>
      <c r="W708">
        <v>12</v>
      </c>
      <c r="X708">
        <v>10</v>
      </c>
      <c r="Y708">
        <v>6</v>
      </c>
      <c r="Z708">
        <v>15</v>
      </c>
      <c r="AA708">
        <v>22</v>
      </c>
      <c r="AB708">
        <v>8</v>
      </c>
      <c r="AC708">
        <v>2</v>
      </c>
      <c r="AD708">
        <v>3</v>
      </c>
      <c r="AE708">
        <v>1</v>
      </c>
      <c r="AF708">
        <v>14</v>
      </c>
      <c r="AG708">
        <v>20</v>
      </c>
      <c r="AH708">
        <v>9</v>
      </c>
      <c r="AI708">
        <v>16</v>
      </c>
      <c r="AJ708">
        <v>13</v>
      </c>
      <c r="AK708">
        <v>21</v>
      </c>
      <c r="AL708">
        <v>24</v>
      </c>
      <c r="AM708">
        <v>23</v>
      </c>
      <c r="AN708">
        <v>4</v>
      </c>
      <c r="AO708">
        <v>19</v>
      </c>
      <c r="AP708">
        <v>5</v>
      </c>
      <c r="AQ708">
        <v>18</v>
      </c>
      <c r="AR708">
        <v>11</v>
      </c>
      <c r="AS708">
        <v>7</v>
      </c>
    </row>
    <row r="709" spans="1:45" x14ac:dyDescent="0.25">
      <c r="A709">
        <v>13</v>
      </c>
      <c r="B709" t="s">
        <v>394</v>
      </c>
      <c r="C709">
        <v>1.4</v>
      </c>
      <c r="D709">
        <v>2.5</v>
      </c>
      <c r="E709" t="s">
        <v>382</v>
      </c>
      <c r="U709">
        <v>608</v>
      </c>
      <c r="V709">
        <v>18</v>
      </c>
      <c r="W709">
        <v>13</v>
      </c>
      <c r="X709">
        <v>12</v>
      </c>
      <c r="Y709">
        <v>10</v>
      </c>
      <c r="Z709">
        <v>11</v>
      </c>
      <c r="AA709">
        <v>22</v>
      </c>
      <c r="AB709">
        <v>6</v>
      </c>
      <c r="AC709">
        <v>2</v>
      </c>
      <c r="AD709">
        <v>4</v>
      </c>
      <c r="AE709">
        <v>1</v>
      </c>
      <c r="AF709">
        <v>7</v>
      </c>
      <c r="AG709">
        <v>17</v>
      </c>
      <c r="AH709">
        <v>8</v>
      </c>
      <c r="AI709">
        <v>9</v>
      </c>
      <c r="AJ709">
        <v>16</v>
      </c>
      <c r="AK709">
        <v>21</v>
      </c>
      <c r="AL709">
        <v>24</v>
      </c>
      <c r="AM709">
        <v>23</v>
      </c>
      <c r="AN709">
        <v>3</v>
      </c>
      <c r="AO709">
        <v>20</v>
      </c>
      <c r="AP709">
        <v>14</v>
      </c>
      <c r="AQ709">
        <v>19</v>
      </c>
      <c r="AR709">
        <v>15</v>
      </c>
      <c r="AS709">
        <v>5</v>
      </c>
    </row>
    <row r="710" spans="1:45" x14ac:dyDescent="0.25">
      <c r="A710">
        <v>13</v>
      </c>
      <c r="B710" t="s">
        <v>397</v>
      </c>
      <c r="C710">
        <v>0.8</v>
      </c>
      <c r="D710">
        <v>1.8</v>
      </c>
      <c r="E710" t="s">
        <v>386</v>
      </c>
      <c r="U710">
        <v>609</v>
      </c>
      <c r="V710">
        <v>17</v>
      </c>
      <c r="W710">
        <v>13</v>
      </c>
      <c r="X710">
        <v>14</v>
      </c>
      <c r="Y710">
        <v>10</v>
      </c>
      <c r="Z710">
        <v>12</v>
      </c>
      <c r="AA710">
        <v>20</v>
      </c>
      <c r="AB710">
        <v>8</v>
      </c>
      <c r="AC710">
        <v>2</v>
      </c>
      <c r="AD710">
        <v>4</v>
      </c>
      <c r="AE710">
        <v>1</v>
      </c>
      <c r="AF710">
        <v>6</v>
      </c>
      <c r="AG710">
        <v>19</v>
      </c>
      <c r="AH710">
        <v>9</v>
      </c>
      <c r="AI710">
        <v>15</v>
      </c>
      <c r="AJ710">
        <v>16</v>
      </c>
      <c r="AK710">
        <v>22</v>
      </c>
      <c r="AL710">
        <v>24</v>
      </c>
      <c r="AM710">
        <v>23</v>
      </c>
      <c r="AN710">
        <v>3</v>
      </c>
      <c r="AO710">
        <v>21</v>
      </c>
      <c r="AP710">
        <v>11</v>
      </c>
      <c r="AQ710">
        <v>18</v>
      </c>
      <c r="AR710">
        <v>7</v>
      </c>
      <c r="AS710">
        <v>5</v>
      </c>
    </row>
    <row r="711" spans="1:45" x14ac:dyDescent="0.25">
      <c r="A711">
        <v>14</v>
      </c>
      <c r="B711" t="s">
        <v>386</v>
      </c>
      <c r="C711">
        <v>1.7</v>
      </c>
      <c r="D711">
        <v>0.9</v>
      </c>
      <c r="E711" t="s">
        <v>383</v>
      </c>
      <c r="U711">
        <v>610</v>
      </c>
      <c r="V711">
        <v>21</v>
      </c>
      <c r="W711">
        <v>15</v>
      </c>
      <c r="X711">
        <v>12</v>
      </c>
      <c r="Y711">
        <v>11</v>
      </c>
      <c r="Z711">
        <v>17</v>
      </c>
      <c r="AA711">
        <v>20</v>
      </c>
      <c r="AB711">
        <v>5</v>
      </c>
      <c r="AC711">
        <v>2</v>
      </c>
      <c r="AD711">
        <v>3</v>
      </c>
      <c r="AE711">
        <v>1</v>
      </c>
      <c r="AF711">
        <v>6</v>
      </c>
      <c r="AG711">
        <v>19</v>
      </c>
      <c r="AH711">
        <v>9</v>
      </c>
      <c r="AI711">
        <v>16</v>
      </c>
      <c r="AJ711">
        <v>13</v>
      </c>
      <c r="AK711">
        <v>22</v>
      </c>
      <c r="AL711">
        <v>24</v>
      </c>
      <c r="AM711">
        <v>23</v>
      </c>
      <c r="AN711">
        <v>4</v>
      </c>
      <c r="AO711">
        <v>18</v>
      </c>
      <c r="AP711">
        <v>10</v>
      </c>
      <c r="AQ711">
        <v>14</v>
      </c>
      <c r="AR711">
        <v>8</v>
      </c>
      <c r="AS711">
        <v>7</v>
      </c>
    </row>
    <row r="712" spans="1:45" x14ac:dyDescent="0.25">
      <c r="A712">
        <v>14</v>
      </c>
      <c r="B712" t="s">
        <v>396</v>
      </c>
      <c r="C712">
        <v>2.2999999999999998</v>
      </c>
      <c r="D712">
        <v>0.6</v>
      </c>
      <c r="E712" t="s">
        <v>378</v>
      </c>
      <c r="U712">
        <v>611</v>
      </c>
      <c r="V712">
        <v>17</v>
      </c>
      <c r="W712">
        <v>10</v>
      </c>
      <c r="X712">
        <v>15</v>
      </c>
      <c r="Y712">
        <v>12</v>
      </c>
      <c r="Z712">
        <v>9</v>
      </c>
      <c r="AA712">
        <v>18</v>
      </c>
      <c r="AB712">
        <v>5</v>
      </c>
      <c r="AC712">
        <v>3</v>
      </c>
      <c r="AD712">
        <v>4</v>
      </c>
      <c r="AE712">
        <v>1</v>
      </c>
      <c r="AF712">
        <v>11</v>
      </c>
      <c r="AG712">
        <v>21</v>
      </c>
      <c r="AH712">
        <v>13</v>
      </c>
      <c r="AI712">
        <v>16</v>
      </c>
      <c r="AJ712">
        <v>7</v>
      </c>
      <c r="AK712">
        <v>22</v>
      </c>
      <c r="AL712">
        <v>24</v>
      </c>
      <c r="AM712">
        <v>23</v>
      </c>
      <c r="AN712">
        <v>2</v>
      </c>
      <c r="AO712">
        <v>19</v>
      </c>
      <c r="AP712">
        <v>14</v>
      </c>
      <c r="AQ712">
        <v>20</v>
      </c>
      <c r="AR712">
        <v>8</v>
      </c>
      <c r="AS712">
        <v>6</v>
      </c>
    </row>
    <row r="713" spans="1:45" x14ac:dyDescent="0.25">
      <c r="A713">
        <v>14</v>
      </c>
      <c r="B713" t="s">
        <v>385</v>
      </c>
      <c r="C713">
        <v>2</v>
      </c>
      <c r="D713">
        <v>1.6</v>
      </c>
      <c r="E713" t="s">
        <v>391</v>
      </c>
      <c r="U713">
        <v>612</v>
      </c>
      <c r="V713">
        <v>15</v>
      </c>
      <c r="W713">
        <v>13</v>
      </c>
      <c r="X713">
        <v>9</v>
      </c>
      <c r="Y713">
        <v>8</v>
      </c>
      <c r="Z713">
        <v>18</v>
      </c>
      <c r="AA713">
        <v>21</v>
      </c>
      <c r="AB713">
        <v>6</v>
      </c>
      <c r="AC713">
        <v>2</v>
      </c>
      <c r="AD713">
        <v>3</v>
      </c>
      <c r="AE713">
        <v>1</v>
      </c>
      <c r="AF713">
        <v>10</v>
      </c>
      <c r="AG713">
        <v>17</v>
      </c>
      <c r="AH713">
        <v>19</v>
      </c>
      <c r="AI713">
        <v>11</v>
      </c>
      <c r="AJ713">
        <v>12</v>
      </c>
      <c r="AK713">
        <v>20</v>
      </c>
      <c r="AL713">
        <v>23</v>
      </c>
      <c r="AM713">
        <v>24</v>
      </c>
      <c r="AN713">
        <v>4</v>
      </c>
      <c r="AO713">
        <v>22</v>
      </c>
      <c r="AP713">
        <v>14</v>
      </c>
      <c r="AQ713">
        <v>16</v>
      </c>
      <c r="AR713">
        <v>7</v>
      </c>
      <c r="AS713">
        <v>5</v>
      </c>
    </row>
    <row r="714" spans="1:45" x14ac:dyDescent="0.25">
      <c r="A714">
        <v>14</v>
      </c>
      <c r="B714" t="s">
        <v>398</v>
      </c>
      <c r="C714">
        <v>2.6</v>
      </c>
      <c r="D714">
        <v>0.7</v>
      </c>
      <c r="E714" t="s">
        <v>390</v>
      </c>
      <c r="U714">
        <v>613</v>
      </c>
      <c r="V714">
        <v>14</v>
      </c>
      <c r="W714">
        <v>7</v>
      </c>
      <c r="X714">
        <v>16</v>
      </c>
      <c r="Y714">
        <v>6</v>
      </c>
      <c r="Z714">
        <v>8</v>
      </c>
      <c r="AA714">
        <v>21</v>
      </c>
      <c r="AB714">
        <v>5</v>
      </c>
      <c r="AC714">
        <v>2</v>
      </c>
      <c r="AD714">
        <v>4</v>
      </c>
      <c r="AE714">
        <v>1</v>
      </c>
      <c r="AF714">
        <v>10</v>
      </c>
      <c r="AG714">
        <v>20</v>
      </c>
      <c r="AH714">
        <v>12</v>
      </c>
      <c r="AI714">
        <v>17</v>
      </c>
      <c r="AJ714">
        <v>15</v>
      </c>
      <c r="AK714">
        <v>22</v>
      </c>
      <c r="AL714">
        <v>24</v>
      </c>
      <c r="AM714">
        <v>23</v>
      </c>
      <c r="AN714">
        <v>3</v>
      </c>
      <c r="AO714">
        <v>19</v>
      </c>
      <c r="AP714">
        <v>9</v>
      </c>
      <c r="AQ714">
        <v>18</v>
      </c>
      <c r="AR714">
        <v>13</v>
      </c>
      <c r="AS714">
        <v>11</v>
      </c>
    </row>
    <row r="715" spans="1:45" x14ac:dyDescent="0.25">
      <c r="A715">
        <v>14</v>
      </c>
      <c r="B715" t="s">
        <v>400</v>
      </c>
      <c r="C715">
        <v>2.1</v>
      </c>
      <c r="D715">
        <v>0.9</v>
      </c>
      <c r="E715" t="s">
        <v>389</v>
      </c>
      <c r="U715">
        <v>614</v>
      </c>
      <c r="V715">
        <v>9</v>
      </c>
      <c r="W715">
        <v>8</v>
      </c>
      <c r="X715">
        <v>12</v>
      </c>
      <c r="Y715">
        <v>13</v>
      </c>
      <c r="Z715">
        <v>17</v>
      </c>
      <c r="AA715">
        <v>19</v>
      </c>
      <c r="AB715">
        <v>5</v>
      </c>
      <c r="AC715">
        <v>2</v>
      </c>
      <c r="AD715">
        <v>4</v>
      </c>
      <c r="AE715">
        <v>1</v>
      </c>
      <c r="AF715">
        <v>18</v>
      </c>
      <c r="AG715">
        <v>15</v>
      </c>
      <c r="AH715">
        <v>7</v>
      </c>
      <c r="AI715">
        <v>14</v>
      </c>
      <c r="AJ715">
        <v>16</v>
      </c>
      <c r="AK715">
        <v>22</v>
      </c>
      <c r="AL715">
        <v>23</v>
      </c>
      <c r="AM715">
        <v>24</v>
      </c>
      <c r="AN715">
        <v>3</v>
      </c>
      <c r="AO715">
        <v>21</v>
      </c>
      <c r="AP715">
        <v>11</v>
      </c>
      <c r="AQ715">
        <v>20</v>
      </c>
      <c r="AR715">
        <v>10</v>
      </c>
      <c r="AS715">
        <v>6</v>
      </c>
    </row>
    <row r="716" spans="1:45" x14ac:dyDescent="0.25">
      <c r="A716">
        <v>14</v>
      </c>
      <c r="B716" t="s">
        <v>381</v>
      </c>
      <c r="C716">
        <v>1</v>
      </c>
      <c r="D716">
        <v>0.8</v>
      </c>
      <c r="E716" t="s">
        <v>380</v>
      </c>
      <c r="U716">
        <v>615</v>
      </c>
      <c r="V716">
        <v>17</v>
      </c>
      <c r="W716">
        <v>10</v>
      </c>
      <c r="X716">
        <v>14</v>
      </c>
      <c r="Y716">
        <v>12</v>
      </c>
      <c r="Z716">
        <v>18</v>
      </c>
      <c r="AA716">
        <v>22</v>
      </c>
      <c r="AB716">
        <v>8</v>
      </c>
      <c r="AC716">
        <v>2</v>
      </c>
      <c r="AD716">
        <v>5</v>
      </c>
      <c r="AE716">
        <v>1</v>
      </c>
      <c r="AF716">
        <v>7</v>
      </c>
      <c r="AG716">
        <v>21</v>
      </c>
      <c r="AH716">
        <v>9</v>
      </c>
      <c r="AI716">
        <v>15</v>
      </c>
      <c r="AJ716">
        <v>11</v>
      </c>
      <c r="AK716">
        <v>19</v>
      </c>
      <c r="AL716">
        <v>24</v>
      </c>
      <c r="AM716">
        <v>23</v>
      </c>
      <c r="AN716">
        <v>3</v>
      </c>
      <c r="AO716">
        <v>20</v>
      </c>
      <c r="AP716">
        <v>6</v>
      </c>
      <c r="AQ716">
        <v>16</v>
      </c>
      <c r="AR716">
        <v>13</v>
      </c>
      <c r="AS716">
        <v>4</v>
      </c>
    </row>
    <row r="717" spans="1:45" x14ac:dyDescent="0.25">
      <c r="A717">
        <v>14</v>
      </c>
      <c r="B717" t="s">
        <v>393</v>
      </c>
      <c r="C717">
        <v>0.4</v>
      </c>
      <c r="D717">
        <v>1</v>
      </c>
      <c r="E717" t="s">
        <v>387</v>
      </c>
      <c r="U717">
        <v>616</v>
      </c>
      <c r="V717">
        <v>20</v>
      </c>
      <c r="W717">
        <v>12</v>
      </c>
      <c r="X717">
        <v>10</v>
      </c>
      <c r="Y717">
        <v>14</v>
      </c>
      <c r="Z717">
        <v>9</v>
      </c>
      <c r="AA717">
        <v>17</v>
      </c>
      <c r="AB717">
        <v>6</v>
      </c>
      <c r="AC717">
        <v>2</v>
      </c>
      <c r="AD717">
        <v>4</v>
      </c>
      <c r="AE717">
        <v>1</v>
      </c>
      <c r="AF717">
        <v>15</v>
      </c>
      <c r="AG717">
        <v>21</v>
      </c>
      <c r="AH717">
        <v>11</v>
      </c>
      <c r="AI717">
        <v>8</v>
      </c>
      <c r="AJ717">
        <v>19</v>
      </c>
      <c r="AK717">
        <v>22</v>
      </c>
      <c r="AL717">
        <v>23</v>
      </c>
      <c r="AM717">
        <v>24</v>
      </c>
      <c r="AN717">
        <v>3</v>
      </c>
      <c r="AO717">
        <v>18</v>
      </c>
      <c r="AP717">
        <v>5</v>
      </c>
      <c r="AQ717">
        <v>13</v>
      </c>
      <c r="AR717">
        <v>16</v>
      </c>
      <c r="AS717">
        <v>7</v>
      </c>
    </row>
    <row r="718" spans="1:45" x14ac:dyDescent="0.25">
      <c r="A718">
        <v>14</v>
      </c>
      <c r="B718" t="s">
        <v>384</v>
      </c>
      <c r="C718">
        <v>0.5</v>
      </c>
      <c r="D718">
        <v>0.4</v>
      </c>
      <c r="E718" t="s">
        <v>392</v>
      </c>
      <c r="U718">
        <v>617</v>
      </c>
      <c r="V718">
        <v>20</v>
      </c>
      <c r="W718">
        <v>11</v>
      </c>
      <c r="X718">
        <v>10</v>
      </c>
      <c r="Y718">
        <v>17</v>
      </c>
      <c r="Z718">
        <v>15</v>
      </c>
      <c r="AA718">
        <v>21</v>
      </c>
      <c r="AB718">
        <v>6</v>
      </c>
      <c r="AC718">
        <v>3</v>
      </c>
      <c r="AD718">
        <v>4</v>
      </c>
      <c r="AE718">
        <v>1</v>
      </c>
      <c r="AF718">
        <v>9</v>
      </c>
      <c r="AG718">
        <v>19</v>
      </c>
      <c r="AH718">
        <v>13</v>
      </c>
      <c r="AI718">
        <v>14</v>
      </c>
      <c r="AJ718">
        <v>12</v>
      </c>
      <c r="AK718">
        <v>22</v>
      </c>
      <c r="AL718">
        <v>23</v>
      </c>
      <c r="AM718">
        <v>24</v>
      </c>
      <c r="AN718">
        <v>2</v>
      </c>
      <c r="AO718">
        <v>18</v>
      </c>
      <c r="AP718">
        <v>7</v>
      </c>
      <c r="AQ718">
        <v>16</v>
      </c>
      <c r="AR718">
        <v>8</v>
      </c>
      <c r="AS718">
        <v>5</v>
      </c>
    </row>
    <row r="719" spans="1:45" x14ac:dyDescent="0.25">
      <c r="A719">
        <v>14</v>
      </c>
      <c r="B719" t="s">
        <v>379</v>
      </c>
      <c r="C719">
        <v>1.7</v>
      </c>
      <c r="D719">
        <v>1</v>
      </c>
      <c r="E719" t="s">
        <v>399</v>
      </c>
      <c r="U719">
        <v>618</v>
      </c>
      <c r="V719">
        <v>14</v>
      </c>
      <c r="W719">
        <v>12</v>
      </c>
      <c r="X719">
        <v>8</v>
      </c>
      <c r="Y719">
        <v>16</v>
      </c>
      <c r="Z719">
        <v>17</v>
      </c>
      <c r="AA719">
        <v>21</v>
      </c>
      <c r="AB719">
        <v>6</v>
      </c>
      <c r="AC719">
        <v>3</v>
      </c>
      <c r="AD719">
        <v>2</v>
      </c>
      <c r="AE719">
        <v>1</v>
      </c>
      <c r="AF719">
        <v>10</v>
      </c>
      <c r="AG719">
        <v>19</v>
      </c>
      <c r="AH719">
        <v>7</v>
      </c>
      <c r="AI719">
        <v>15</v>
      </c>
      <c r="AJ719">
        <v>13</v>
      </c>
      <c r="AK719">
        <v>22</v>
      </c>
      <c r="AL719">
        <v>24</v>
      </c>
      <c r="AM719">
        <v>23</v>
      </c>
      <c r="AN719">
        <v>4</v>
      </c>
      <c r="AO719">
        <v>18</v>
      </c>
      <c r="AP719">
        <v>11</v>
      </c>
      <c r="AQ719">
        <v>20</v>
      </c>
      <c r="AR719">
        <v>9</v>
      </c>
      <c r="AS719">
        <v>5</v>
      </c>
    </row>
    <row r="720" spans="1:45" x14ac:dyDescent="0.25">
      <c r="A720">
        <v>14</v>
      </c>
      <c r="B720" t="s">
        <v>388</v>
      </c>
      <c r="C720">
        <v>1</v>
      </c>
      <c r="D720">
        <v>1.4</v>
      </c>
      <c r="E720" t="s">
        <v>397</v>
      </c>
      <c r="U720">
        <v>619</v>
      </c>
      <c r="V720">
        <v>17</v>
      </c>
      <c r="W720">
        <v>16</v>
      </c>
      <c r="X720">
        <v>13</v>
      </c>
      <c r="Y720">
        <v>10</v>
      </c>
      <c r="Z720">
        <v>19</v>
      </c>
      <c r="AA720">
        <v>18</v>
      </c>
      <c r="AB720">
        <v>7</v>
      </c>
      <c r="AC720">
        <v>2</v>
      </c>
      <c r="AD720">
        <v>3</v>
      </c>
      <c r="AE720">
        <v>1</v>
      </c>
      <c r="AF720">
        <v>8</v>
      </c>
      <c r="AG720">
        <v>20</v>
      </c>
      <c r="AH720">
        <v>14</v>
      </c>
      <c r="AI720">
        <v>11</v>
      </c>
      <c r="AJ720">
        <v>15</v>
      </c>
      <c r="AK720">
        <v>21</v>
      </c>
      <c r="AL720">
        <v>23</v>
      </c>
      <c r="AM720">
        <v>24</v>
      </c>
      <c r="AN720">
        <v>4</v>
      </c>
      <c r="AO720">
        <v>22</v>
      </c>
      <c r="AP720">
        <v>12</v>
      </c>
      <c r="AQ720">
        <v>9</v>
      </c>
      <c r="AR720">
        <v>6</v>
      </c>
      <c r="AS720">
        <v>5</v>
      </c>
    </row>
    <row r="721" spans="1:45" x14ac:dyDescent="0.25">
      <c r="A721">
        <v>14</v>
      </c>
      <c r="B721" t="s">
        <v>395</v>
      </c>
      <c r="C721">
        <v>2.6</v>
      </c>
      <c r="D721">
        <v>0.4</v>
      </c>
      <c r="E721" t="s">
        <v>394</v>
      </c>
      <c r="U721">
        <v>620</v>
      </c>
      <c r="V721">
        <v>17</v>
      </c>
      <c r="W721">
        <v>10</v>
      </c>
      <c r="X721">
        <v>14</v>
      </c>
      <c r="Y721">
        <v>12</v>
      </c>
      <c r="Z721">
        <v>16</v>
      </c>
      <c r="AA721">
        <v>21</v>
      </c>
      <c r="AB721">
        <v>6</v>
      </c>
      <c r="AC721">
        <v>2</v>
      </c>
      <c r="AD721">
        <v>3</v>
      </c>
      <c r="AE721">
        <v>1</v>
      </c>
      <c r="AF721">
        <v>13</v>
      </c>
      <c r="AG721">
        <v>19</v>
      </c>
      <c r="AH721">
        <v>7</v>
      </c>
      <c r="AI721">
        <v>11</v>
      </c>
      <c r="AJ721">
        <v>15</v>
      </c>
      <c r="AK721">
        <v>22</v>
      </c>
      <c r="AL721">
        <v>24</v>
      </c>
      <c r="AM721">
        <v>23</v>
      </c>
      <c r="AN721">
        <v>5</v>
      </c>
      <c r="AO721">
        <v>20</v>
      </c>
      <c r="AP721">
        <v>9</v>
      </c>
      <c r="AQ721">
        <v>18</v>
      </c>
      <c r="AR721">
        <v>8</v>
      </c>
      <c r="AS721">
        <v>4</v>
      </c>
    </row>
    <row r="722" spans="1:45" x14ac:dyDescent="0.25">
      <c r="A722">
        <v>14</v>
      </c>
      <c r="B722" t="s">
        <v>382</v>
      </c>
      <c r="C722">
        <v>1.8</v>
      </c>
      <c r="D722">
        <v>2</v>
      </c>
      <c r="E722" t="s">
        <v>401</v>
      </c>
      <c r="U722">
        <v>621</v>
      </c>
      <c r="V722">
        <v>18</v>
      </c>
      <c r="W722">
        <v>13</v>
      </c>
      <c r="X722">
        <v>12</v>
      </c>
      <c r="Y722">
        <v>17</v>
      </c>
      <c r="Z722">
        <v>16</v>
      </c>
      <c r="AA722">
        <v>19</v>
      </c>
      <c r="AB722">
        <v>4</v>
      </c>
      <c r="AC722">
        <v>3</v>
      </c>
      <c r="AD722">
        <v>2</v>
      </c>
      <c r="AE722">
        <v>1</v>
      </c>
      <c r="AF722">
        <v>9</v>
      </c>
      <c r="AG722">
        <v>20</v>
      </c>
      <c r="AH722">
        <v>10</v>
      </c>
      <c r="AI722">
        <v>11</v>
      </c>
      <c r="AJ722">
        <v>14</v>
      </c>
      <c r="AK722">
        <v>22</v>
      </c>
      <c r="AL722">
        <v>24</v>
      </c>
      <c r="AM722">
        <v>23</v>
      </c>
      <c r="AN722">
        <v>5</v>
      </c>
      <c r="AO722">
        <v>21</v>
      </c>
      <c r="AP722">
        <v>6</v>
      </c>
      <c r="AQ722">
        <v>15</v>
      </c>
      <c r="AR722">
        <v>8</v>
      </c>
      <c r="AS722">
        <v>7</v>
      </c>
    </row>
    <row r="723" spans="1:45" x14ac:dyDescent="0.25">
      <c r="A723">
        <v>15</v>
      </c>
      <c r="B723" t="s">
        <v>387</v>
      </c>
      <c r="C723">
        <v>0.6</v>
      </c>
      <c r="D723">
        <v>1.4</v>
      </c>
      <c r="E723" t="s">
        <v>386</v>
      </c>
      <c r="U723">
        <v>622</v>
      </c>
      <c r="V723">
        <v>13</v>
      </c>
      <c r="W723">
        <v>14</v>
      </c>
      <c r="X723">
        <v>11</v>
      </c>
      <c r="Y723">
        <v>15</v>
      </c>
      <c r="Z723">
        <v>16</v>
      </c>
      <c r="AA723">
        <v>19</v>
      </c>
      <c r="AB723">
        <v>6</v>
      </c>
      <c r="AC723">
        <v>2</v>
      </c>
      <c r="AD723">
        <v>3</v>
      </c>
      <c r="AE723">
        <v>1</v>
      </c>
      <c r="AF723">
        <v>8</v>
      </c>
      <c r="AG723">
        <v>17</v>
      </c>
      <c r="AH723">
        <v>9</v>
      </c>
      <c r="AI723">
        <v>18</v>
      </c>
      <c r="AJ723">
        <v>10</v>
      </c>
      <c r="AK723">
        <v>20</v>
      </c>
      <c r="AL723">
        <v>24</v>
      </c>
      <c r="AM723">
        <v>23</v>
      </c>
      <c r="AN723">
        <v>4</v>
      </c>
      <c r="AO723">
        <v>21</v>
      </c>
      <c r="AP723">
        <v>7</v>
      </c>
      <c r="AQ723">
        <v>22</v>
      </c>
      <c r="AR723">
        <v>12</v>
      </c>
      <c r="AS723">
        <v>5</v>
      </c>
    </row>
    <row r="724" spans="1:45" x14ac:dyDescent="0.25">
      <c r="A724">
        <v>15</v>
      </c>
      <c r="B724" t="s">
        <v>399</v>
      </c>
      <c r="C724">
        <v>0.9</v>
      </c>
      <c r="D724">
        <v>1.9</v>
      </c>
      <c r="E724" t="s">
        <v>398</v>
      </c>
      <c r="U724">
        <v>623</v>
      </c>
      <c r="V724">
        <v>18</v>
      </c>
      <c r="W724">
        <v>11</v>
      </c>
      <c r="X724">
        <v>15</v>
      </c>
      <c r="Y724">
        <v>14</v>
      </c>
      <c r="Z724">
        <v>16</v>
      </c>
      <c r="AA724">
        <v>23</v>
      </c>
      <c r="AB724">
        <v>3</v>
      </c>
      <c r="AC724">
        <v>2</v>
      </c>
      <c r="AD724">
        <v>4</v>
      </c>
      <c r="AE724">
        <v>1</v>
      </c>
      <c r="AF724">
        <v>7</v>
      </c>
      <c r="AG724">
        <v>19</v>
      </c>
      <c r="AH724">
        <v>10</v>
      </c>
      <c r="AI724">
        <v>22</v>
      </c>
      <c r="AJ724">
        <v>8</v>
      </c>
      <c r="AK724">
        <v>21</v>
      </c>
      <c r="AL724">
        <v>24</v>
      </c>
      <c r="AM724">
        <v>20</v>
      </c>
      <c r="AN724">
        <v>6</v>
      </c>
      <c r="AO724">
        <v>17</v>
      </c>
      <c r="AP724">
        <v>9</v>
      </c>
      <c r="AQ724">
        <v>12</v>
      </c>
      <c r="AR724">
        <v>13</v>
      </c>
      <c r="AS724">
        <v>5</v>
      </c>
    </row>
    <row r="725" spans="1:45" x14ac:dyDescent="0.25">
      <c r="A725">
        <v>15</v>
      </c>
      <c r="B725" t="s">
        <v>383</v>
      </c>
      <c r="C725">
        <v>0.1</v>
      </c>
      <c r="D725">
        <v>0.4</v>
      </c>
      <c r="E725" t="s">
        <v>400</v>
      </c>
      <c r="U725">
        <v>624</v>
      </c>
      <c r="V725">
        <v>16</v>
      </c>
      <c r="W725">
        <v>13</v>
      </c>
      <c r="X725">
        <v>12</v>
      </c>
      <c r="Y725">
        <v>15</v>
      </c>
      <c r="Z725">
        <v>14</v>
      </c>
      <c r="AA725">
        <v>21</v>
      </c>
      <c r="AB725">
        <v>7</v>
      </c>
      <c r="AC725">
        <v>3</v>
      </c>
      <c r="AD725">
        <v>2</v>
      </c>
      <c r="AE725">
        <v>1</v>
      </c>
      <c r="AF725">
        <v>10</v>
      </c>
      <c r="AG725">
        <v>19</v>
      </c>
      <c r="AH725">
        <v>11</v>
      </c>
      <c r="AI725">
        <v>18</v>
      </c>
      <c r="AJ725">
        <v>8</v>
      </c>
      <c r="AK725">
        <v>20</v>
      </c>
      <c r="AL725">
        <v>24</v>
      </c>
      <c r="AM725">
        <v>23</v>
      </c>
      <c r="AN725">
        <v>4</v>
      </c>
      <c r="AO725">
        <v>22</v>
      </c>
      <c r="AP725">
        <v>6</v>
      </c>
      <c r="AQ725">
        <v>17</v>
      </c>
      <c r="AR725">
        <v>9</v>
      </c>
      <c r="AS725">
        <v>5</v>
      </c>
    </row>
    <row r="726" spans="1:45" x14ac:dyDescent="0.25">
      <c r="A726">
        <v>15</v>
      </c>
      <c r="B726" t="s">
        <v>389</v>
      </c>
      <c r="C726">
        <v>0.5</v>
      </c>
      <c r="D726">
        <v>1.1000000000000001</v>
      </c>
      <c r="E726" t="s">
        <v>396</v>
      </c>
      <c r="U726">
        <v>625</v>
      </c>
      <c r="V726">
        <v>9</v>
      </c>
      <c r="W726">
        <v>14</v>
      </c>
      <c r="X726">
        <v>12</v>
      </c>
      <c r="Y726">
        <v>11</v>
      </c>
      <c r="Z726">
        <v>18</v>
      </c>
      <c r="AA726">
        <v>22</v>
      </c>
      <c r="AB726">
        <v>6</v>
      </c>
      <c r="AC726">
        <v>2</v>
      </c>
      <c r="AD726">
        <v>5</v>
      </c>
      <c r="AE726">
        <v>1</v>
      </c>
      <c r="AF726">
        <v>10</v>
      </c>
      <c r="AG726">
        <v>13</v>
      </c>
      <c r="AH726">
        <v>15</v>
      </c>
      <c r="AI726">
        <v>17</v>
      </c>
      <c r="AJ726">
        <v>7</v>
      </c>
      <c r="AK726">
        <v>20</v>
      </c>
      <c r="AL726">
        <v>24</v>
      </c>
      <c r="AM726">
        <v>23</v>
      </c>
      <c r="AN726">
        <v>3</v>
      </c>
      <c r="AO726">
        <v>21</v>
      </c>
      <c r="AP726">
        <v>16</v>
      </c>
      <c r="AQ726">
        <v>19</v>
      </c>
      <c r="AR726">
        <v>8</v>
      </c>
      <c r="AS726">
        <v>4</v>
      </c>
    </row>
    <row r="727" spans="1:45" x14ac:dyDescent="0.25">
      <c r="A727">
        <v>15</v>
      </c>
      <c r="B727" t="s">
        <v>394</v>
      </c>
      <c r="C727">
        <v>0.5</v>
      </c>
      <c r="D727">
        <v>1</v>
      </c>
      <c r="E727" t="s">
        <v>393</v>
      </c>
      <c r="U727">
        <v>626</v>
      </c>
      <c r="V727">
        <v>13</v>
      </c>
      <c r="W727">
        <v>14</v>
      </c>
      <c r="X727">
        <v>12</v>
      </c>
      <c r="Y727">
        <v>11</v>
      </c>
      <c r="Z727">
        <v>19</v>
      </c>
      <c r="AA727">
        <v>21</v>
      </c>
      <c r="AB727">
        <v>5</v>
      </c>
      <c r="AC727">
        <v>2</v>
      </c>
      <c r="AD727">
        <v>4</v>
      </c>
      <c r="AE727">
        <v>1</v>
      </c>
      <c r="AF727">
        <v>9</v>
      </c>
      <c r="AG727">
        <v>20</v>
      </c>
      <c r="AH727">
        <v>10</v>
      </c>
      <c r="AI727">
        <v>18</v>
      </c>
      <c r="AJ727">
        <v>15</v>
      </c>
      <c r="AK727">
        <v>22</v>
      </c>
      <c r="AL727">
        <v>24</v>
      </c>
      <c r="AM727">
        <v>23</v>
      </c>
      <c r="AN727">
        <v>3</v>
      </c>
      <c r="AO727">
        <v>16</v>
      </c>
      <c r="AP727">
        <v>8</v>
      </c>
      <c r="AQ727">
        <v>17</v>
      </c>
      <c r="AR727">
        <v>7</v>
      </c>
      <c r="AS727">
        <v>6</v>
      </c>
    </row>
    <row r="728" spans="1:45" x14ac:dyDescent="0.25">
      <c r="A728">
        <v>15</v>
      </c>
      <c r="B728" t="s">
        <v>378</v>
      </c>
      <c r="C728">
        <v>0.9</v>
      </c>
      <c r="D728">
        <v>1.6</v>
      </c>
      <c r="E728" t="s">
        <v>385</v>
      </c>
      <c r="U728">
        <v>627</v>
      </c>
      <c r="V728">
        <v>15</v>
      </c>
      <c r="W728">
        <v>10</v>
      </c>
      <c r="X728">
        <v>19</v>
      </c>
      <c r="Y728">
        <v>13</v>
      </c>
      <c r="Z728">
        <v>17</v>
      </c>
      <c r="AA728">
        <v>20</v>
      </c>
      <c r="AB728">
        <v>5</v>
      </c>
      <c r="AC728">
        <v>2</v>
      </c>
      <c r="AD728">
        <v>4</v>
      </c>
      <c r="AE728">
        <v>1</v>
      </c>
      <c r="AF728">
        <v>12</v>
      </c>
      <c r="AG728">
        <v>18</v>
      </c>
      <c r="AH728">
        <v>11</v>
      </c>
      <c r="AI728">
        <v>14</v>
      </c>
      <c r="AJ728">
        <v>8</v>
      </c>
      <c r="AK728">
        <v>22</v>
      </c>
      <c r="AL728">
        <v>24</v>
      </c>
      <c r="AM728">
        <v>23</v>
      </c>
      <c r="AN728">
        <v>3</v>
      </c>
      <c r="AO728">
        <v>21</v>
      </c>
      <c r="AP728">
        <v>7</v>
      </c>
      <c r="AQ728">
        <v>16</v>
      </c>
      <c r="AR728">
        <v>6</v>
      </c>
      <c r="AS728">
        <v>9</v>
      </c>
    </row>
    <row r="729" spans="1:45" x14ac:dyDescent="0.25">
      <c r="A729">
        <v>15</v>
      </c>
      <c r="B729" t="s">
        <v>391</v>
      </c>
      <c r="C729">
        <v>1</v>
      </c>
      <c r="D729">
        <v>2.5</v>
      </c>
      <c r="E729" t="s">
        <v>388</v>
      </c>
      <c r="U729">
        <v>628</v>
      </c>
      <c r="V729">
        <v>11</v>
      </c>
      <c r="W729">
        <v>10</v>
      </c>
      <c r="X729">
        <v>14</v>
      </c>
      <c r="Y729">
        <v>15</v>
      </c>
      <c r="Z729">
        <v>16</v>
      </c>
      <c r="AA729">
        <v>21</v>
      </c>
      <c r="AB729">
        <v>5</v>
      </c>
      <c r="AC729">
        <v>2</v>
      </c>
      <c r="AD729">
        <v>4</v>
      </c>
      <c r="AE729">
        <v>1</v>
      </c>
      <c r="AF729">
        <v>12</v>
      </c>
      <c r="AG729">
        <v>19</v>
      </c>
      <c r="AH729">
        <v>13</v>
      </c>
      <c r="AI729">
        <v>20</v>
      </c>
      <c r="AJ729">
        <v>9</v>
      </c>
      <c r="AK729">
        <v>18</v>
      </c>
      <c r="AL729">
        <v>22</v>
      </c>
      <c r="AM729">
        <v>24</v>
      </c>
      <c r="AN729">
        <v>3</v>
      </c>
      <c r="AO729">
        <v>23</v>
      </c>
      <c r="AP729">
        <v>6</v>
      </c>
      <c r="AQ729">
        <v>17</v>
      </c>
      <c r="AR729">
        <v>8</v>
      </c>
      <c r="AS729">
        <v>7</v>
      </c>
    </row>
    <row r="730" spans="1:45" x14ac:dyDescent="0.25">
      <c r="A730">
        <v>15</v>
      </c>
      <c r="B730" t="s">
        <v>380</v>
      </c>
      <c r="C730">
        <v>1.6</v>
      </c>
      <c r="D730">
        <v>1.3</v>
      </c>
      <c r="E730" t="s">
        <v>395</v>
      </c>
      <c r="U730">
        <v>629</v>
      </c>
      <c r="V730">
        <v>16</v>
      </c>
      <c r="W730">
        <v>6</v>
      </c>
      <c r="X730">
        <v>12</v>
      </c>
      <c r="Y730">
        <v>14</v>
      </c>
      <c r="Z730">
        <v>9</v>
      </c>
      <c r="AA730">
        <v>20</v>
      </c>
      <c r="AB730">
        <v>7</v>
      </c>
      <c r="AC730">
        <v>2</v>
      </c>
      <c r="AD730">
        <v>5</v>
      </c>
      <c r="AE730">
        <v>1</v>
      </c>
      <c r="AF730">
        <v>15</v>
      </c>
      <c r="AG730">
        <v>18</v>
      </c>
      <c r="AH730">
        <v>10</v>
      </c>
      <c r="AI730">
        <v>19</v>
      </c>
      <c r="AJ730">
        <v>11</v>
      </c>
      <c r="AK730">
        <v>22</v>
      </c>
      <c r="AL730">
        <v>23</v>
      </c>
      <c r="AM730">
        <v>24</v>
      </c>
      <c r="AN730">
        <v>3</v>
      </c>
      <c r="AO730">
        <v>21</v>
      </c>
      <c r="AP730">
        <v>8</v>
      </c>
      <c r="AQ730">
        <v>17</v>
      </c>
      <c r="AR730">
        <v>13</v>
      </c>
      <c r="AS730">
        <v>4</v>
      </c>
    </row>
    <row r="731" spans="1:45" x14ac:dyDescent="0.25">
      <c r="A731">
        <v>15</v>
      </c>
      <c r="B731" t="s">
        <v>397</v>
      </c>
      <c r="C731">
        <v>0.4</v>
      </c>
      <c r="D731">
        <v>0.4</v>
      </c>
      <c r="E731" t="s">
        <v>381</v>
      </c>
      <c r="U731">
        <v>630</v>
      </c>
      <c r="V731">
        <v>17</v>
      </c>
      <c r="W731">
        <v>8</v>
      </c>
      <c r="X731">
        <v>12</v>
      </c>
      <c r="Y731">
        <v>16</v>
      </c>
      <c r="Z731">
        <v>14</v>
      </c>
      <c r="AA731">
        <v>18</v>
      </c>
      <c r="AB731">
        <v>7</v>
      </c>
      <c r="AC731">
        <v>2</v>
      </c>
      <c r="AD731">
        <v>3</v>
      </c>
      <c r="AE731">
        <v>1</v>
      </c>
      <c r="AF731">
        <v>13</v>
      </c>
      <c r="AG731">
        <v>21</v>
      </c>
      <c r="AH731">
        <v>15</v>
      </c>
      <c r="AI731">
        <v>20</v>
      </c>
      <c r="AJ731">
        <v>10</v>
      </c>
      <c r="AK731">
        <v>19</v>
      </c>
      <c r="AL731">
        <v>23</v>
      </c>
      <c r="AM731">
        <v>24</v>
      </c>
      <c r="AN731">
        <v>4</v>
      </c>
      <c r="AO731">
        <v>22</v>
      </c>
      <c r="AP731">
        <v>6</v>
      </c>
      <c r="AQ731">
        <v>11</v>
      </c>
      <c r="AR731">
        <v>5</v>
      </c>
      <c r="AS731">
        <v>9</v>
      </c>
    </row>
    <row r="732" spans="1:45" x14ac:dyDescent="0.25">
      <c r="A732">
        <v>15</v>
      </c>
      <c r="B732" t="s">
        <v>401</v>
      </c>
      <c r="C732">
        <v>1</v>
      </c>
      <c r="D732">
        <v>0.5</v>
      </c>
      <c r="E732" t="s">
        <v>384</v>
      </c>
      <c r="U732">
        <v>631</v>
      </c>
      <c r="V732">
        <v>14</v>
      </c>
      <c r="W732">
        <v>8</v>
      </c>
      <c r="X732">
        <v>12</v>
      </c>
      <c r="Y732">
        <v>17</v>
      </c>
      <c r="Z732">
        <v>9</v>
      </c>
      <c r="AA732">
        <v>22</v>
      </c>
      <c r="AB732">
        <v>4</v>
      </c>
      <c r="AC732">
        <v>2</v>
      </c>
      <c r="AD732">
        <v>3</v>
      </c>
      <c r="AE732">
        <v>1</v>
      </c>
      <c r="AF732">
        <v>10</v>
      </c>
      <c r="AG732">
        <v>21</v>
      </c>
      <c r="AH732">
        <v>13</v>
      </c>
      <c r="AI732">
        <v>15</v>
      </c>
      <c r="AJ732">
        <v>11</v>
      </c>
      <c r="AK732">
        <v>20</v>
      </c>
      <c r="AL732">
        <v>23</v>
      </c>
      <c r="AM732">
        <v>24</v>
      </c>
      <c r="AN732">
        <v>5</v>
      </c>
      <c r="AO732">
        <v>19</v>
      </c>
      <c r="AP732">
        <v>16</v>
      </c>
      <c r="AQ732">
        <v>18</v>
      </c>
      <c r="AR732">
        <v>7</v>
      </c>
      <c r="AS732">
        <v>6</v>
      </c>
    </row>
    <row r="733" spans="1:45" x14ac:dyDescent="0.25">
      <c r="A733">
        <v>15</v>
      </c>
      <c r="B733" t="s">
        <v>392</v>
      </c>
      <c r="C733">
        <v>2.2000000000000002</v>
      </c>
      <c r="D733">
        <v>2.2999999999999998</v>
      </c>
      <c r="E733" t="s">
        <v>382</v>
      </c>
      <c r="U733">
        <v>632</v>
      </c>
      <c r="V733">
        <v>17</v>
      </c>
      <c r="W733">
        <v>9</v>
      </c>
      <c r="X733">
        <v>13</v>
      </c>
      <c r="Y733">
        <v>11</v>
      </c>
      <c r="Z733">
        <v>15</v>
      </c>
      <c r="AA733">
        <v>19</v>
      </c>
      <c r="AB733">
        <v>6</v>
      </c>
      <c r="AC733">
        <v>2</v>
      </c>
      <c r="AD733">
        <v>3</v>
      </c>
      <c r="AE733">
        <v>1</v>
      </c>
      <c r="AF733">
        <v>12</v>
      </c>
      <c r="AG733">
        <v>22</v>
      </c>
      <c r="AH733">
        <v>14</v>
      </c>
      <c r="AI733">
        <v>16</v>
      </c>
      <c r="AJ733">
        <v>10</v>
      </c>
      <c r="AK733">
        <v>21</v>
      </c>
      <c r="AL733">
        <v>24</v>
      </c>
      <c r="AM733">
        <v>23</v>
      </c>
      <c r="AN733">
        <v>4</v>
      </c>
      <c r="AO733">
        <v>20</v>
      </c>
      <c r="AP733">
        <v>5</v>
      </c>
      <c r="AQ733">
        <v>18</v>
      </c>
      <c r="AR733">
        <v>7</v>
      </c>
      <c r="AS733">
        <v>8</v>
      </c>
    </row>
    <row r="734" spans="1:45" x14ac:dyDescent="0.25">
      <c r="A734">
        <v>15</v>
      </c>
      <c r="B734" t="s">
        <v>390</v>
      </c>
      <c r="C734">
        <v>1.3</v>
      </c>
      <c r="D734">
        <v>1.4</v>
      </c>
      <c r="E734" t="s">
        <v>379</v>
      </c>
      <c r="U734">
        <v>633</v>
      </c>
      <c r="V734">
        <v>15</v>
      </c>
      <c r="W734">
        <v>11</v>
      </c>
      <c r="X734">
        <v>16</v>
      </c>
      <c r="Y734">
        <v>14</v>
      </c>
      <c r="Z734">
        <v>18</v>
      </c>
      <c r="AA734">
        <v>21</v>
      </c>
      <c r="AB734">
        <v>5</v>
      </c>
      <c r="AC734">
        <v>2</v>
      </c>
      <c r="AD734">
        <v>4</v>
      </c>
      <c r="AE734">
        <v>1</v>
      </c>
      <c r="AF734">
        <v>6</v>
      </c>
      <c r="AG734">
        <v>22</v>
      </c>
      <c r="AH734">
        <v>9</v>
      </c>
      <c r="AI734">
        <v>13</v>
      </c>
      <c r="AJ734">
        <v>12</v>
      </c>
      <c r="AK734">
        <v>20</v>
      </c>
      <c r="AL734">
        <v>24</v>
      </c>
      <c r="AM734">
        <v>23</v>
      </c>
      <c r="AN734">
        <v>3</v>
      </c>
      <c r="AO734">
        <v>19</v>
      </c>
      <c r="AP734">
        <v>7</v>
      </c>
      <c r="AQ734">
        <v>17</v>
      </c>
      <c r="AR734">
        <v>10</v>
      </c>
      <c r="AS734">
        <v>8</v>
      </c>
    </row>
    <row r="735" spans="1:45" x14ac:dyDescent="0.25">
      <c r="A735">
        <v>12</v>
      </c>
      <c r="B735" t="s">
        <v>394</v>
      </c>
      <c r="C735">
        <v>1.2</v>
      </c>
      <c r="D735">
        <v>0.9</v>
      </c>
      <c r="E735" t="s">
        <v>385</v>
      </c>
      <c r="U735">
        <v>634</v>
      </c>
      <c r="V735">
        <v>11</v>
      </c>
      <c r="W735">
        <v>13</v>
      </c>
      <c r="X735">
        <v>12</v>
      </c>
      <c r="Y735">
        <v>7</v>
      </c>
      <c r="Z735">
        <v>16</v>
      </c>
      <c r="AA735">
        <v>18</v>
      </c>
      <c r="AB735">
        <v>6</v>
      </c>
      <c r="AC735">
        <v>2</v>
      </c>
      <c r="AD735">
        <v>4</v>
      </c>
      <c r="AE735">
        <v>1</v>
      </c>
      <c r="AF735">
        <v>14</v>
      </c>
      <c r="AG735">
        <v>17</v>
      </c>
      <c r="AH735">
        <v>9</v>
      </c>
      <c r="AI735">
        <v>20</v>
      </c>
      <c r="AJ735">
        <v>15</v>
      </c>
      <c r="AK735">
        <v>22</v>
      </c>
      <c r="AL735">
        <v>24</v>
      </c>
      <c r="AM735">
        <v>23</v>
      </c>
      <c r="AN735">
        <v>3</v>
      </c>
      <c r="AO735">
        <v>21</v>
      </c>
      <c r="AP735">
        <v>5</v>
      </c>
      <c r="AQ735">
        <v>19</v>
      </c>
      <c r="AR735">
        <v>10</v>
      </c>
      <c r="AS735">
        <v>8</v>
      </c>
    </row>
    <row r="736" spans="1:45" x14ac:dyDescent="0.25">
      <c r="A736">
        <v>16</v>
      </c>
      <c r="B736" t="s">
        <v>379</v>
      </c>
      <c r="C736">
        <v>1.5</v>
      </c>
      <c r="D736">
        <v>1.1000000000000001</v>
      </c>
      <c r="E736" t="s">
        <v>392</v>
      </c>
      <c r="U736">
        <v>635</v>
      </c>
      <c r="V736">
        <v>21</v>
      </c>
      <c r="W736">
        <v>10</v>
      </c>
      <c r="X736">
        <v>14</v>
      </c>
      <c r="Y736">
        <v>15</v>
      </c>
      <c r="Z736">
        <v>19</v>
      </c>
      <c r="AA736">
        <v>20</v>
      </c>
      <c r="AB736">
        <v>8</v>
      </c>
      <c r="AC736">
        <v>2</v>
      </c>
      <c r="AD736">
        <v>4</v>
      </c>
      <c r="AE736">
        <v>1</v>
      </c>
      <c r="AF736">
        <v>5</v>
      </c>
      <c r="AG736">
        <v>13</v>
      </c>
      <c r="AH736">
        <v>7</v>
      </c>
      <c r="AI736">
        <v>11</v>
      </c>
      <c r="AJ736">
        <v>17</v>
      </c>
      <c r="AK736">
        <v>23</v>
      </c>
      <c r="AL736">
        <v>24</v>
      </c>
      <c r="AM736">
        <v>22</v>
      </c>
      <c r="AN736">
        <v>3</v>
      </c>
      <c r="AO736">
        <v>16</v>
      </c>
      <c r="AP736">
        <v>12</v>
      </c>
      <c r="AQ736">
        <v>18</v>
      </c>
      <c r="AR736">
        <v>9</v>
      </c>
      <c r="AS736">
        <v>6</v>
      </c>
    </row>
    <row r="737" spans="1:45" x14ac:dyDescent="0.25">
      <c r="A737">
        <v>16</v>
      </c>
      <c r="B737" t="s">
        <v>398</v>
      </c>
      <c r="C737">
        <v>3</v>
      </c>
      <c r="D737">
        <v>1.3</v>
      </c>
      <c r="E737" t="s">
        <v>378</v>
      </c>
      <c r="U737">
        <v>636</v>
      </c>
      <c r="V737">
        <v>13</v>
      </c>
      <c r="W737">
        <v>9</v>
      </c>
      <c r="X737">
        <v>10</v>
      </c>
      <c r="Y737">
        <v>11</v>
      </c>
      <c r="Z737">
        <v>19</v>
      </c>
      <c r="AA737">
        <v>16</v>
      </c>
      <c r="AB737">
        <v>5</v>
      </c>
      <c r="AC737">
        <v>2</v>
      </c>
      <c r="AD737">
        <v>3</v>
      </c>
      <c r="AE737">
        <v>1</v>
      </c>
      <c r="AF737">
        <v>6</v>
      </c>
      <c r="AG737">
        <v>20</v>
      </c>
      <c r="AH737">
        <v>14</v>
      </c>
      <c r="AI737">
        <v>15</v>
      </c>
      <c r="AJ737">
        <v>17</v>
      </c>
      <c r="AK737">
        <v>21</v>
      </c>
      <c r="AL737">
        <v>24</v>
      </c>
      <c r="AM737">
        <v>23</v>
      </c>
      <c r="AN737">
        <v>4</v>
      </c>
      <c r="AO737">
        <v>22</v>
      </c>
      <c r="AP737">
        <v>8</v>
      </c>
      <c r="AQ737">
        <v>18</v>
      </c>
      <c r="AR737">
        <v>12</v>
      </c>
      <c r="AS737">
        <v>7</v>
      </c>
    </row>
    <row r="738" spans="1:45" x14ac:dyDescent="0.25">
      <c r="A738">
        <v>16</v>
      </c>
      <c r="B738" t="s">
        <v>382</v>
      </c>
      <c r="C738">
        <v>1.1000000000000001</v>
      </c>
      <c r="D738">
        <v>0.7</v>
      </c>
      <c r="E738" t="s">
        <v>397</v>
      </c>
      <c r="U738">
        <v>637</v>
      </c>
      <c r="V738">
        <v>13</v>
      </c>
      <c r="W738">
        <v>9</v>
      </c>
      <c r="X738">
        <v>12</v>
      </c>
      <c r="Y738">
        <v>17</v>
      </c>
      <c r="Z738">
        <v>16</v>
      </c>
      <c r="AA738">
        <v>22</v>
      </c>
      <c r="AB738">
        <v>6</v>
      </c>
      <c r="AC738">
        <v>2</v>
      </c>
      <c r="AD738">
        <v>4</v>
      </c>
      <c r="AE738">
        <v>1</v>
      </c>
      <c r="AF738">
        <v>7</v>
      </c>
      <c r="AG738">
        <v>20</v>
      </c>
      <c r="AH738">
        <v>10</v>
      </c>
      <c r="AI738">
        <v>15</v>
      </c>
      <c r="AJ738">
        <v>14</v>
      </c>
      <c r="AK738">
        <v>21</v>
      </c>
      <c r="AL738">
        <v>24</v>
      </c>
      <c r="AM738">
        <v>23</v>
      </c>
      <c r="AN738">
        <v>3</v>
      </c>
      <c r="AO738">
        <v>18</v>
      </c>
      <c r="AP738">
        <v>11</v>
      </c>
      <c r="AQ738">
        <v>19</v>
      </c>
      <c r="AR738">
        <v>8</v>
      </c>
      <c r="AS738">
        <v>5</v>
      </c>
    </row>
    <row r="739" spans="1:45" x14ac:dyDescent="0.25">
      <c r="A739">
        <v>16</v>
      </c>
      <c r="B739" t="s">
        <v>386</v>
      </c>
      <c r="C739">
        <v>1.7</v>
      </c>
      <c r="D739">
        <v>1.4</v>
      </c>
      <c r="E739" t="s">
        <v>391</v>
      </c>
      <c r="U739">
        <v>638</v>
      </c>
      <c r="V739">
        <v>20</v>
      </c>
      <c r="W739">
        <v>11</v>
      </c>
      <c r="X739">
        <v>15</v>
      </c>
      <c r="Y739">
        <v>10</v>
      </c>
      <c r="Z739">
        <v>16</v>
      </c>
      <c r="AA739">
        <v>21</v>
      </c>
      <c r="AB739">
        <v>6</v>
      </c>
      <c r="AC739">
        <v>3</v>
      </c>
      <c r="AD739">
        <v>2</v>
      </c>
      <c r="AE739">
        <v>1</v>
      </c>
      <c r="AF739">
        <v>12</v>
      </c>
      <c r="AG739">
        <v>18</v>
      </c>
      <c r="AH739">
        <v>13</v>
      </c>
      <c r="AI739">
        <v>14</v>
      </c>
      <c r="AJ739">
        <v>9</v>
      </c>
      <c r="AK739">
        <v>22</v>
      </c>
      <c r="AL739">
        <v>24</v>
      </c>
      <c r="AM739">
        <v>23</v>
      </c>
      <c r="AN739">
        <v>4</v>
      </c>
      <c r="AO739">
        <v>19</v>
      </c>
      <c r="AP739">
        <v>7</v>
      </c>
      <c r="AQ739">
        <v>17</v>
      </c>
      <c r="AR739">
        <v>5</v>
      </c>
      <c r="AS739">
        <v>8</v>
      </c>
    </row>
    <row r="740" spans="1:45" x14ac:dyDescent="0.25">
      <c r="A740">
        <v>16</v>
      </c>
      <c r="B740" t="s">
        <v>388</v>
      </c>
      <c r="C740">
        <v>0.9</v>
      </c>
      <c r="D740">
        <v>0.8</v>
      </c>
      <c r="E740" t="s">
        <v>387</v>
      </c>
      <c r="U740">
        <v>639</v>
      </c>
      <c r="V740">
        <v>17</v>
      </c>
      <c r="W740">
        <v>11</v>
      </c>
      <c r="X740">
        <v>13</v>
      </c>
      <c r="Y740">
        <v>18</v>
      </c>
      <c r="Z740">
        <v>12</v>
      </c>
      <c r="AA740">
        <v>20</v>
      </c>
      <c r="AB740">
        <v>5</v>
      </c>
      <c r="AC740">
        <v>4</v>
      </c>
      <c r="AD740">
        <v>2</v>
      </c>
      <c r="AE740">
        <v>1</v>
      </c>
      <c r="AF740">
        <v>10</v>
      </c>
      <c r="AG740">
        <v>19</v>
      </c>
      <c r="AH740">
        <v>9</v>
      </c>
      <c r="AI740">
        <v>16</v>
      </c>
      <c r="AJ740">
        <v>15</v>
      </c>
      <c r="AK740">
        <v>21</v>
      </c>
      <c r="AL740">
        <v>23</v>
      </c>
      <c r="AM740">
        <v>24</v>
      </c>
      <c r="AN740">
        <v>3</v>
      </c>
      <c r="AO740">
        <v>22</v>
      </c>
      <c r="AP740">
        <v>6</v>
      </c>
      <c r="AQ740">
        <v>14</v>
      </c>
      <c r="AR740">
        <v>7</v>
      </c>
      <c r="AS740">
        <v>8</v>
      </c>
    </row>
    <row r="741" spans="1:45" x14ac:dyDescent="0.25">
      <c r="A741">
        <v>16</v>
      </c>
      <c r="B741" t="s">
        <v>385</v>
      </c>
      <c r="C741">
        <v>3.8</v>
      </c>
      <c r="D741">
        <v>1.6</v>
      </c>
      <c r="E741" t="s">
        <v>399</v>
      </c>
      <c r="U741">
        <v>640</v>
      </c>
      <c r="V741">
        <v>16</v>
      </c>
      <c r="W741">
        <v>13</v>
      </c>
      <c r="X741">
        <v>17</v>
      </c>
      <c r="Y741">
        <v>8</v>
      </c>
      <c r="Z741">
        <v>15</v>
      </c>
      <c r="AA741">
        <v>22</v>
      </c>
      <c r="AB741">
        <v>7</v>
      </c>
      <c r="AC741">
        <v>1</v>
      </c>
      <c r="AD741">
        <v>4</v>
      </c>
      <c r="AE741">
        <v>2</v>
      </c>
      <c r="AF741">
        <v>10</v>
      </c>
      <c r="AG741">
        <v>18</v>
      </c>
      <c r="AH741">
        <v>12</v>
      </c>
      <c r="AI741">
        <v>11</v>
      </c>
      <c r="AJ741">
        <v>14</v>
      </c>
      <c r="AK741">
        <v>21</v>
      </c>
      <c r="AL741">
        <v>24</v>
      </c>
      <c r="AM741">
        <v>23</v>
      </c>
      <c r="AN741">
        <v>3</v>
      </c>
      <c r="AO741">
        <v>20</v>
      </c>
      <c r="AP741">
        <v>9</v>
      </c>
      <c r="AQ741">
        <v>19</v>
      </c>
      <c r="AR741">
        <v>6</v>
      </c>
      <c r="AS741">
        <v>5</v>
      </c>
    </row>
    <row r="742" spans="1:45" x14ac:dyDescent="0.25">
      <c r="A742">
        <v>16</v>
      </c>
      <c r="B742" t="s">
        <v>395</v>
      </c>
      <c r="C742">
        <v>1.6</v>
      </c>
      <c r="D742">
        <v>1.8</v>
      </c>
      <c r="E742" t="s">
        <v>389</v>
      </c>
      <c r="U742">
        <v>641</v>
      </c>
      <c r="V742">
        <v>19</v>
      </c>
      <c r="W742">
        <v>12</v>
      </c>
      <c r="X742">
        <v>18</v>
      </c>
      <c r="Y742">
        <v>9</v>
      </c>
      <c r="Z742">
        <v>10</v>
      </c>
      <c r="AA742">
        <v>21</v>
      </c>
      <c r="AB742">
        <v>5</v>
      </c>
      <c r="AC742">
        <v>2</v>
      </c>
      <c r="AD742">
        <v>4</v>
      </c>
      <c r="AE742">
        <v>1</v>
      </c>
      <c r="AF742">
        <v>8</v>
      </c>
      <c r="AG742">
        <v>16</v>
      </c>
      <c r="AH742">
        <v>17</v>
      </c>
      <c r="AI742">
        <v>13</v>
      </c>
      <c r="AJ742">
        <v>14</v>
      </c>
      <c r="AK742">
        <v>22</v>
      </c>
      <c r="AL742">
        <v>24</v>
      </c>
      <c r="AM742">
        <v>23</v>
      </c>
      <c r="AN742">
        <v>3</v>
      </c>
      <c r="AO742">
        <v>20</v>
      </c>
      <c r="AP742">
        <v>7</v>
      </c>
      <c r="AQ742">
        <v>15</v>
      </c>
      <c r="AR742">
        <v>11</v>
      </c>
      <c r="AS742">
        <v>6</v>
      </c>
    </row>
    <row r="743" spans="1:45" x14ac:dyDescent="0.25">
      <c r="A743">
        <v>16</v>
      </c>
      <c r="B743" t="s">
        <v>400</v>
      </c>
      <c r="C743">
        <v>2.2000000000000002</v>
      </c>
      <c r="D743">
        <v>0.7</v>
      </c>
      <c r="E743" t="s">
        <v>394</v>
      </c>
      <c r="U743">
        <v>642</v>
      </c>
      <c r="V743">
        <v>15</v>
      </c>
      <c r="W743">
        <v>14</v>
      </c>
      <c r="X743">
        <v>12</v>
      </c>
      <c r="Y743">
        <v>16</v>
      </c>
      <c r="Z743">
        <v>17</v>
      </c>
      <c r="AA743">
        <v>22</v>
      </c>
      <c r="AB743">
        <v>5</v>
      </c>
      <c r="AC743">
        <v>2</v>
      </c>
      <c r="AD743">
        <v>4</v>
      </c>
      <c r="AE743">
        <v>1</v>
      </c>
      <c r="AF743">
        <v>10</v>
      </c>
      <c r="AG743">
        <v>11</v>
      </c>
      <c r="AH743">
        <v>9</v>
      </c>
      <c r="AI743">
        <v>18</v>
      </c>
      <c r="AJ743">
        <v>13</v>
      </c>
      <c r="AK743">
        <v>21</v>
      </c>
      <c r="AL743">
        <v>24</v>
      </c>
      <c r="AM743">
        <v>23</v>
      </c>
      <c r="AN743">
        <v>3</v>
      </c>
      <c r="AO743">
        <v>20</v>
      </c>
      <c r="AP743">
        <v>8</v>
      </c>
      <c r="AQ743">
        <v>19</v>
      </c>
      <c r="AR743">
        <v>7</v>
      </c>
      <c r="AS743">
        <v>6</v>
      </c>
    </row>
    <row r="744" spans="1:45" x14ac:dyDescent="0.25">
      <c r="A744">
        <v>16</v>
      </c>
      <c r="B744" t="s">
        <v>396</v>
      </c>
      <c r="C744">
        <v>1.1000000000000001</v>
      </c>
      <c r="D744">
        <v>2</v>
      </c>
      <c r="E744" t="s">
        <v>401</v>
      </c>
      <c r="U744">
        <v>643</v>
      </c>
      <c r="V744">
        <v>17</v>
      </c>
      <c r="W744">
        <v>16</v>
      </c>
      <c r="X744">
        <v>13</v>
      </c>
      <c r="Y744">
        <v>12</v>
      </c>
      <c r="Z744">
        <v>15</v>
      </c>
      <c r="AA744">
        <v>22</v>
      </c>
      <c r="AB744">
        <v>6</v>
      </c>
      <c r="AC744">
        <v>3</v>
      </c>
      <c r="AD744">
        <v>2</v>
      </c>
      <c r="AE744">
        <v>1</v>
      </c>
      <c r="AF744">
        <v>10</v>
      </c>
      <c r="AG744">
        <v>14</v>
      </c>
      <c r="AH744">
        <v>9</v>
      </c>
      <c r="AI744">
        <v>18</v>
      </c>
      <c r="AJ744">
        <v>11</v>
      </c>
      <c r="AK744">
        <v>21</v>
      </c>
      <c r="AL744">
        <v>24</v>
      </c>
      <c r="AM744">
        <v>23</v>
      </c>
      <c r="AN744">
        <v>4</v>
      </c>
      <c r="AO744">
        <v>20</v>
      </c>
      <c r="AP744">
        <v>7</v>
      </c>
      <c r="AQ744">
        <v>19</v>
      </c>
      <c r="AR744">
        <v>8</v>
      </c>
      <c r="AS744">
        <v>5</v>
      </c>
    </row>
    <row r="745" spans="1:45" x14ac:dyDescent="0.25">
      <c r="A745">
        <v>16</v>
      </c>
      <c r="B745" t="s">
        <v>384</v>
      </c>
      <c r="C745">
        <v>1.4</v>
      </c>
      <c r="D745">
        <v>0.1</v>
      </c>
      <c r="E745" t="s">
        <v>383</v>
      </c>
      <c r="U745">
        <v>644</v>
      </c>
      <c r="V745">
        <v>6</v>
      </c>
      <c r="W745">
        <v>10</v>
      </c>
      <c r="X745">
        <v>17</v>
      </c>
      <c r="Y745">
        <v>9</v>
      </c>
      <c r="Z745">
        <v>14</v>
      </c>
      <c r="AA745">
        <v>22</v>
      </c>
      <c r="AB745">
        <v>5</v>
      </c>
      <c r="AC745">
        <v>2</v>
      </c>
      <c r="AD745">
        <v>4</v>
      </c>
      <c r="AE745">
        <v>1</v>
      </c>
      <c r="AF745">
        <v>8</v>
      </c>
      <c r="AG745">
        <v>19</v>
      </c>
      <c r="AH745">
        <v>12</v>
      </c>
      <c r="AI745">
        <v>15</v>
      </c>
      <c r="AJ745">
        <v>16</v>
      </c>
      <c r="AK745">
        <v>21</v>
      </c>
      <c r="AL745">
        <v>24</v>
      </c>
      <c r="AM745">
        <v>23</v>
      </c>
      <c r="AN745">
        <v>3</v>
      </c>
      <c r="AO745">
        <v>20</v>
      </c>
      <c r="AP745">
        <v>7</v>
      </c>
      <c r="AQ745">
        <v>18</v>
      </c>
      <c r="AR745">
        <v>13</v>
      </c>
      <c r="AS745">
        <v>11</v>
      </c>
    </row>
    <row r="746" spans="1:45" x14ac:dyDescent="0.25">
      <c r="A746">
        <v>16</v>
      </c>
      <c r="B746" t="s">
        <v>393</v>
      </c>
      <c r="C746">
        <v>0.4</v>
      </c>
      <c r="D746">
        <v>0.4</v>
      </c>
      <c r="E746" t="s">
        <v>380</v>
      </c>
      <c r="U746">
        <v>645</v>
      </c>
      <c r="V746">
        <v>9</v>
      </c>
      <c r="W746">
        <v>8</v>
      </c>
      <c r="X746">
        <v>10</v>
      </c>
      <c r="Y746">
        <v>12</v>
      </c>
      <c r="Z746">
        <v>16</v>
      </c>
      <c r="AA746">
        <v>22</v>
      </c>
      <c r="AB746">
        <v>6</v>
      </c>
      <c r="AC746">
        <v>2</v>
      </c>
      <c r="AD746">
        <v>3</v>
      </c>
      <c r="AE746">
        <v>1</v>
      </c>
      <c r="AF746">
        <v>11</v>
      </c>
      <c r="AG746">
        <v>17</v>
      </c>
      <c r="AH746">
        <v>13</v>
      </c>
      <c r="AI746">
        <v>19</v>
      </c>
      <c r="AJ746">
        <v>15</v>
      </c>
      <c r="AK746">
        <v>20</v>
      </c>
      <c r="AL746">
        <v>24</v>
      </c>
      <c r="AM746">
        <v>23</v>
      </c>
      <c r="AN746">
        <v>4</v>
      </c>
      <c r="AO746">
        <v>21</v>
      </c>
      <c r="AP746">
        <v>7</v>
      </c>
      <c r="AQ746">
        <v>18</v>
      </c>
      <c r="AR746">
        <v>14</v>
      </c>
      <c r="AS746">
        <v>5</v>
      </c>
    </row>
    <row r="747" spans="1:45" x14ac:dyDescent="0.25">
      <c r="A747">
        <v>16</v>
      </c>
      <c r="B747" t="s">
        <v>381</v>
      </c>
      <c r="C747">
        <v>1.3</v>
      </c>
      <c r="D747">
        <v>3.4</v>
      </c>
      <c r="E747" t="s">
        <v>390</v>
      </c>
      <c r="U747">
        <v>646</v>
      </c>
      <c r="V747">
        <v>18</v>
      </c>
      <c r="W747">
        <v>14</v>
      </c>
      <c r="X747">
        <v>10</v>
      </c>
      <c r="Y747">
        <v>15</v>
      </c>
      <c r="Z747">
        <v>13</v>
      </c>
      <c r="AA747">
        <v>22</v>
      </c>
      <c r="AB747">
        <v>5</v>
      </c>
      <c r="AC747">
        <v>2</v>
      </c>
      <c r="AD747">
        <v>3</v>
      </c>
      <c r="AE747">
        <v>1</v>
      </c>
      <c r="AF747">
        <v>8</v>
      </c>
      <c r="AG747">
        <v>20</v>
      </c>
      <c r="AH747">
        <v>11</v>
      </c>
      <c r="AI747">
        <v>7</v>
      </c>
      <c r="AJ747">
        <v>17</v>
      </c>
      <c r="AK747">
        <v>19</v>
      </c>
      <c r="AL747">
        <v>24</v>
      </c>
      <c r="AM747">
        <v>23</v>
      </c>
      <c r="AN747">
        <v>4</v>
      </c>
      <c r="AO747">
        <v>21</v>
      </c>
      <c r="AP747">
        <v>12</v>
      </c>
      <c r="AQ747">
        <v>16</v>
      </c>
      <c r="AR747">
        <v>9</v>
      </c>
      <c r="AS747">
        <v>6</v>
      </c>
    </row>
    <row r="748" spans="1:45" x14ac:dyDescent="0.25">
      <c r="A748">
        <v>17</v>
      </c>
      <c r="B748" t="s">
        <v>394</v>
      </c>
      <c r="C748">
        <v>0.7</v>
      </c>
      <c r="D748">
        <v>1.6</v>
      </c>
      <c r="E748" t="s">
        <v>386</v>
      </c>
      <c r="U748">
        <v>647</v>
      </c>
      <c r="V748">
        <v>14</v>
      </c>
      <c r="W748">
        <v>13</v>
      </c>
      <c r="X748">
        <v>16</v>
      </c>
      <c r="Y748">
        <v>10</v>
      </c>
      <c r="Z748">
        <v>12</v>
      </c>
      <c r="AA748">
        <v>20</v>
      </c>
      <c r="AB748">
        <v>5</v>
      </c>
      <c r="AC748">
        <v>2</v>
      </c>
      <c r="AD748">
        <v>4</v>
      </c>
      <c r="AE748">
        <v>1</v>
      </c>
      <c r="AF748">
        <v>7</v>
      </c>
      <c r="AG748">
        <v>21</v>
      </c>
      <c r="AH748">
        <v>8</v>
      </c>
      <c r="AI748">
        <v>17</v>
      </c>
      <c r="AJ748">
        <v>15</v>
      </c>
      <c r="AK748">
        <v>18</v>
      </c>
      <c r="AL748">
        <v>23</v>
      </c>
      <c r="AM748">
        <v>24</v>
      </c>
      <c r="AN748">
        <v>3</v>
      </c>
      <c r="AO748">
        <v>22</v>
      </c>
      <c r="AP748">
        <v>11</v>
      </c>
      <c r="AQ748">
        <v>19</v>
      </c>
      <c r="AR748">
        <v>9</v>
      </c>
      <c r="AS748">
        <v>6</v>
      </c>
    </row>
    <row r="749" spans="1:45" x14ac:dyDescent="0.25">
      <c r="A749">
        <v>17</v>
      </c>
      <c r="B749" t="s">
        <v>397</v>
      </c>
      <c r="C749">
        <v>0.8</v>
      </c>
      <c r="D749">
        <v>1.7</v>
      </c>
      <c r="E749" t="s">
        <v>379</v>
      </c>
      <c r="U749">
        <v>648</v>
      </c>
      <c r="V749">
        <v>17</v>
      </c>
      <c r="W749">
        <v>13</v>
      </c>
      <c r="X749">
        <v>11</v>
      </c>
      <c r="Y749">
        <v>7</v>
      </c>
      <c r="Z749">
        <v>12</v>
      </c>
      <c r="AA749">
        <v>21</v>
      </c>
      <c r="AB749">
        <v>4</v>
      </c>
      <c r="AC749">
        <v>2</v>
      </c>
      <c r="AD749">
        <v>3</v>
      </c>
      <c r="AE749">
        <v>1</v>
      </c>
      <c r="AF749">
        <v>16</v>
      </c>
      <c r="AG749">
        <v>14</v>
      </c>
      <c r="AH749">
        <v>10</v>
      </c>
      <c r="AI749">
        <v>19</v>
      </c>
      <c r="AJ749">
        <v>15</v>
      </c>
      <c r="AK749">
        <v>22</v>
      </c>
      <c r="AL749">
        <v>24</v>
      </c>
      <c r="AM749">
        <v>23</v>
      </c>
      <c r="AN749">
        <v>9</v>
      </c>
      <c r="AO749">
        <v>20</v>
      </c>
      <c r="AP749">
        <v>8</v>
      </c>
      <c r="AQ749">
        <v>18</v>
      </c>
      <c r="AR749">
        <v>6</v>
      </c>
      <c r="AS749">
        <v>5</v>
      </c>
    </row>
    <row r="750" spans="1:45" x14ac:dyDescent="0.25">
      <c r="A750">
        <v>17</v>
      </c>
      <c r="B750" t="s">
        <v>380</v>
      </c>
      <c r="C750">
        <v>1.9</v>
      </c>
      <c r="D750">
        <v>0.8</v>
      </c>
      <c r="E750" t="s">
        <v>388</v>
      </c>
      <c r="U750">
        <v>649</v>
      </c>
      <c r="V750">
        <v>13</v>
      </c>
      <c r="W750">
        <v>14</v>
      </c>
      <c r="X750">
        <v>9</v>
      </c>
      <c r="Y750">
        <v>17</v>
      </c>
      <c r="Z750">
        <v>12</v>
      </c>
      <c r="AA750">
        <v>21</v>
      </c>
      <c r="AB750">
        <v>7</v>
      </c>
      <c r="AC750">
        <v>2</v>
      </c>
      <c r="AD750">
        <v>3</v>
      </c>
      <c r="AE750">
        <v>1</v>
      </c>
      <c r="AF750">
        <v>11</v>
      </c>
      <c r="AG750">
        <v>18</v>
      </c>
      <c r="AH750">
        <v>8</v>
      </c>
      <c r="AI750">
        <v>16</v>
      </c>
      <c r="AJ750">
        <v>10</v>
      </c>
      <c r="AK750">
        <v>22</v>
      </c>
      <c r="AL750">
        <v>24</v>
      </c>
      <c r="AM750">
        <v>23</v>
      </c>
      <c r="AN750">
        <v>4</v>
      </c>
      <c r="AO750">
        <v>20</v>
      </c>
      <c r="AP750">
        <v>15</v>
      </c>
      <c r="AQ750">
        <v>19</v>
      </c>
      <c r="AR750">
        <v>5</v>
      </c>
      <c r="AS750">
        <v>6</v>
      </c>
    </row>
    <row r="751" spans="1:45" x14ac:dyDescent="0.25">
      <c r="A751">
        <v>17</v>
      </c>
      <c r="B751" t="s">
        <v>399</v>
      </c>
      <c r="C751">
        <v>1.3</v>
      </c>
      <c r="D751">
        <v>1.4</v>
      </c>
      <c r="E751" t="s">
        <v>384</v>
      </c>
      <c r="U751">
        <v>650</v>
      </c>
      <c r="V751">
        <v>9</v>
      </c>
      <c r="W751">
        <v>15</v>
      </c>
      <c r="X751">
        <v>18</v>
      </c>
      <c r="Y751">
        <v>10</v>
      </c>
      <c r="Z751">
        <v>11</v>
      </c>
      <c r="AA751">
        <v>20</v>
      </c>
      <c r="AB751">
        <v>5</v>
      </c>
      <c r="AC751">
        <v>2</v>
      </c>
      <c r="AD751">
        <v>3</v>
      </c>
      <c r="AE751">
        <v>1</v>
      </c>
      <c r="AF751">
        <v>13</v>
      </c>
      <c r="AG751">
        <v>14</v>
      </c>
      <c r="AH751">
        <v>12</v>
      </c>
      <c r="AI751">
        <v>19</v>
      </c>
      <c r="AJ751">
        <v>16</v>
      </c>
      <c r="AK751">
        <v>21</v>
      </c>
      <c r="AL751">
        <v>23</v>
      </c>
      <c r="AM751">
        <v>24</v>
      </c>
      <c r="AN751">
        <v>7</v>
      </c>
      <c r="AO751">
        <v>22</v>
      </c>
      <c r="AP751">
        <v>8</v>
      </c>
      <c r="AQ751">
        <v>17</v>
      </c>
      <c r="AR751">
        <v>4</v>
      </c>
      <c r="AS751">
        <v>6</v>
      </c>
    </row>
    <row r="752" spans="1:45" x14ac:dyDescent="0.25">
      <c r="A752">
        <v>17</v>
      </c>
      <c r="B752" t="s">
        <v>390</v>
      </c>
      <c r="C752">
        <v>0.8</v>
      </c>
      <c r="D752">
        <v>0.6</v>
      </c>
      <c r="E752" t="s">
        <v>393</v>
      </c>
      <c r="U752">
        <v>651</v>
      </c>
      <c r="V752">
        <v>12</v>
      </c>
      <c r="W752">
        <v>15</v>
      </c>
      <c r="X752">
        <v>13</v>
      </c>
      <c r="Y752">
        <v>9</v>
      </c>
      <c r="Z752">
        <v>18</v>
      </c>
      <c r="AA752">
        <v>16</v>
      </c>
      <c r="AB752">
        <v>8</v>
      </c>
      <c r="AC752">
        <v>2</v>
      </c>
      <c r="AD752">
        <v>4</v>
      </c>
      <c r="AE752">
        <v>1</v>
      </c>
      <c r="AF752">
        <v>10</v>
      </c>
      <c r="AG752">
        <v>22</v>
      </c>
      <c r="AH752">
        <v>11</v>
      </c>
      <c r="AI752">
        <v>14</v>
      </c>
      <c r="AJ752">
        <v>17</v>
      </c>
      <c r="AK752">
        <v>20</v>
      </c>
      <c r="AL752">
        <v>24</v>
      </c>
      <c r="AM752">
        <v>23</v>
      </c>
      <c r="AN752">
        <v>3</v>
      </c>
      <c r="AO752">
        <v>21</v>
      </c>
      <c r="AP752">
        <v>6</v>
      </c>
      <c r="AQ752">
        <v>19</v>
      </c>
      <c r="AR752">
        <v>7</v>
      </c>
      <c r="AS752">
        <v>5</v>
      </c>
    </row>
    <row r="753" spans="1:45" x14ac:dyDescent="0.25">
      <c r="A753">
        <v>17</v>
      </c>
      <c r="B753" t="s">
        <v>383</v>
      </c>
      <c r="C753">
        <v>0.5</v>
      </c>
      <c r="D753">
        <v>1.5</v>
      </c>
      <c r="E753" t="s">
        <v>396</v>
      </c>
      <c r="U753">
        <v>652</v>
      </c>
      <c r="V753">
        <v>10</v>
      </c>
      <c r="W753">
        <v>17</v>
      </c>
      <c r="X753">
        <v>15</v>
      </c>
      <c r="Y753">
        <v>7</v>
      </c>
      <c r="Z753">
        <v>11</v>
      </c>
      <c r="AA753">
        <v>21</v>
      </c>
      <c r="AB753">
        <v>6</v>
      </c>
      <c r="AC753">
        <v>2</v>
      </c>
      <c r="AD753">
        <v>3</v>
      </c>
      <c r="AE753">
        <v>1</v>
      </c>
      <c r="AF753">
        <v>13</v>
      </c>
      <c r="AG753">
        <v>20</v>
      </c>
      <c r="AH753">
        <v>9</v>
      </c>
      <c r="AI753">
        <v>19</v>
      </c>
      <c r="AJ753">
        <v>14</v>
      </c>
      <c r="AK753">
        <v>22</v>
      </c>
      <c r="AL753">
        <v>23</v>
      </c>
      <c r="AM753">
        <v>24</v>
      </c>
      <c r="AN753">
        <v>4</v>
      </c>
      <c r="AO753">
        <v>16</v>
      </c>
      <c r="AP753">
        <v>8</v>
      </c>
      <c r="AQ753">
        <v>18</v>
      </c>
      <c r="AR753">
        <v>12</v>
      </c>
      <c r="AS753">
        <v>5</v>
      </c>
    </row>
    <row r="754" spans="1:45" x14ac:dyDescent="0.25">
      <c r="A754">
        <v>17</v>
      </c>
      <c r="B754" t="s">
        <v>387</v>
      </c>
      <c r="C754">
        <v>2.9</v>
      </c>
      <c r="D754">
        <v>0.8</v>
      </c>
      <c r="E754" t="s">
        <v>400</v>
      </c>
      <c r="U754">
        <v>653</v>
      </c>
      <c r="V754">
        <v>13</v>
      </c>
      <c r="W754">
        <v>10</v>
      </c>
      <c r="X754">
        <v>11</v>
      </c>
      <c r="Y754">
        <v>8</v>
      </c>
      <c r="Z754">
        <v>16</v>
      </c>
      <c r="AA754">
        <v>19</v>
      </c>
      <c r="AB754">
        <v>6</v>
      </c>
      <c r="AC754">
        <v>2</v>
      </c>
      <c r="AD754">
        <v>4</v>
      </c>
      <c r="AE754">
        <v>1</v>
      </c>
      <c r="AF754">
        <v>15</v>
      </c>
      <c r="AG754">
        <v>18</v>
      </c>
      <c r="AH754">
        <v>12</v>
      </c>
      <c r="AI754">
        <v>14</v>
      </c>
      <c r="AJ754">
        <v>17</v>
      </c>
      <c r="AK754">
        <v>21</v>
      </c>
      <c r="AL754">
        <v>23</v>
      </c>
      <c r="AM754">
        <v>24</v>
      </c>
      <c r="AN754">
        <v>3</v>
      </c>
      <c r="AO754">
        <v>22</v>
      </c>
      <c r="AP754">
        <v>7</v>
      </c>
      <c r="AQ754">
        <v>20</v>
      </c>
      <c r="AR754">
        <v>9</v>
      </c>
      <c r="AS754">
        <v>5</v>
      </c>
    </row>
    <row r="755" spans="1:45" x14ac:dyDescent="0.25">
      <c r="A755">
        <v>17</v>
      </c>
      <c r="B755" t="s">
        <v>378</v>
      </c>
      <c r="C755">
        <v>1.5</v>
      </c>
      <c r="D755">
        <v>2</v>
      </c>
      <c r="E755" t="s">
        <v>395</v>
      </c>
      <c r="U755">
        <v>654</v>
      </c>
      <c r="V755">
        <v>13</v>
      </c>
      <c r="W755">
        <v>15</v>
      </c>
      <c r="X755">
        <v>18</v>
      </c>
      <c r="Y755">
        <v>10</v>
      </c>
      <c r="Z755">
        <v>11</v>
      </c>
      <c r="AA755">
        <v>19</v>
      </c>
      <c r="AB755">
        <v>5</v>
      </c>
      <c r="AC755">
        <v>2</v>
      </c>
      <c r="AD755">
        <v>4</v>
      </c>
      <c r="AE755">
        <v>1</v>
      </c>
      <c r="AF755">
        <v>8</v>
      </c>
      <c r="AG755">
        <v>20</v>
      </c>
      <c r="AH755">
        <v>14</v>
      </c>
      <c r="AI755">
        <v>12</v>
      </c>
      <c r="AJ755">
        <v>6</v>
      </c>
      <c r="AK755">
        <v>21</v>
      </c>
      <c r="AL755">
        <v>23</v>
      </c>
      <c r="AM755">
        <v>24</v>
      </c>
      <c r="AN755">
        <v>3</v>
      </c>
      <c r="AO755">
        <v>22</v>
      </c>
      <c r="AP755">
        <v>16</v>
      </c>
      <c r="AQ755">
        <v>17</v>
      </c>
      <c r="AR755">
        <v>9</v>
      </c>
      <c r="AS755">
        <v>7</v>
      </c>
    </row>
    <row r="756" spans="1:45" x14ac:dyDescent="0.25">
      <c r="A756">
        <v>17</v>
      </c>
      <c r="B756" t="s">
        <v>392</v>
      </c>
      <c r="C756">
        <v>0.5</v>
      </c>
      <c r="D756">
        <v>0.8</v>
      </c>
      <c r="E756" t="s">
        <v>381</v>
      </c>
      <c r="U756">
        <v>655</v>
      </c>
      <c r="V756">
        <v>17</v>
      </c>
      <c r="W756">
        <v>14</v>
      </c>
      <c r="X756">
        <v>18</v>
      </c>
      <c r="Y756">
        <v>11</v>
      </c>
      <c r="Z756">
        <v>12</v>
      </c>
      <c r="AA756">
        <v>20</v>
      </c>
      <c r="AB756">
        <v>7</v>
      </c>
      <c r="AC756">
        <v>2</v>
      </c>
      <c r="AD756">
        <v>3</v>
      </c>
      <c r="AE756">
        <v>1</v>
      </c>
      <c r="AF756">
        <v>10</v>
      </c>
      <c r="AG756">
        <v>19</v>
      </c>
      <c r="AH756">
        <v>8</v>
      </c>
      <c r="AI756">
        <v>15</v>
      </c>
      <c r="AJ756">
        <v>13</v>
      </c>
      <c r="AK756">
        <v>22</v>
      </c>
      <c r="AL756">
        <v>24</v>
      </c>
      <c r="AM756">
        <v>23</v>
      </c>
      <c r="AN756">
        <v>4</v>
      </c>
      <c r="AO756">
        <v>21</v>
      </c>
      <c r="AP756">
        <v>6</v>
      </c>
      <c r="AQ756">
        <v>16</v>
      </c>
      <c r="AR756">
        <v>9</v>
      </c>
      <c r="AS756">
        <v>5</v>
      </c>
    </row>
    <row r="757" spans="1:45" x14ac:dyDescent="0.25">
      <c r="A757">
        <v>17</v>
      </c>
      <c r="B757" t="s">
        <v>391</v>
      </c>
      <c r="C757">
        <v>0.8</v>
      </c>
      <c r="D757">
        <v>1.8</v>
      </c>
      <c r="E757" t="s">
        <v>398</v>
      </c>
      <c r="U757">
        <v>656</v>
      </c>
      <c r="V757">
        <v>11</v>
      </c>
      <c r="W757">
        <v>15</v>
      </c>
      <c r="X757">
        <v>16</v>
      </c>
      <c r="Y757">
        <v>10</v>
      </c>
      <c r="Z757">
        <v>14</v>
      </c>
      <c r="AA757">
        <v>22</v>
      </c>
      <c r="AB757">
        <v>5</v>
      </c>
      <c r="AC757">
        <v>2</v>
      </c>
      <c r="AD757">
        <v>3</v>
      </c>
      <c r="AE757">
        <v>1</v>
      </c>
      <c r="AF757">
        <v>9</v>
      </c>
      <c r="AG757">
        <v>20</v>
      </c>
      <c r="AH757">
        <v>12</v>
      </c>
      <c r="AI757">
        <v>17</v>
      </c>
      <c r="AJ757">
        <v>13</v>
      </c>
      <c r="AK757">
        <v>21</v>
      </c>
      <c r="AL757">
        <v>24</v>
      </c>
      <c r="AM757">
        <v>23</v>
      </c>
      <c r="AN757">
        <v>7</v>
      </c>
      <c r="AO757">
        <v>19</v>
      </c>
      <c r="AP757">
        <v>8</v>
      </c>
      <c r="AQ757">
        <v>18</v>
      </c>
      <c r="AR757">
        <v>6</v>
      </c>
      <c r="AS757">
        <v>4</v>
      </c>
    </row>
    <row r="758" spans="1:45" x14ac:dyDescent="0.25">
      <c r="A758">
        <v>17</v>
      </c>
      <c r="B758" t="s">
        <v>389</v>
      </c>
      <c r="C758">
        <v>1.4</v>
      </c>
      <c r="D758">
        <v>2.6</v>
      </c>
      <c r="E758" t="s">
        <v>382</v>
      </c>
      <c r="U758">
        <v>657</v>
      </c>
      <c r="V758">
        <v>11</v>
      </c>
      <c r="W758">
        <v>17</v>
      </c>
      <c r="X758">
        <v>7</v>
      </c>
      <c r="Y758">
        <v>8</v>
      </c>
      <c r="Z758">
        <v>13</v>
      </c>
      <c r="AA758">
        <v>19</v>
      </c>
      <c r="AB758">
        <v>5</v>
      </c>
      <c r="AC758">
        <v>3</v>
      </c>
      <c r="AD758">
        <v>4</v>
      </c>
      <c r="AE758">
        <v>1</v>
      </c>
      <c r="AF758">
        <v>9</v>
      </c>
      <c r="AG758">
        <v>18</v>
      </c>
      <c r="AH758">
        <v>10</v>
      </c>
      <c r="AI758">
        <v>15</v>
      </c>
      <c r="AJ758">
        <v>16</v>
      </c>
      <c r="AK758">
        <v>22</v>
      </c>
      <c r="AL758">
        <v>24</v>
      </c>
      <c r="AM758">
        <v>23</v>
      </c>
      <c r="AN758">
        <v>2</v>
      </c>
      <c r="AO758">
        <v>20</v>
      </c>
      <c r="AP758">
        <v>14</v>
      </c>
      <c r="AQ758">
        <v>21</v>
      </c>
      <c r="AR758">
        <v>12</v>
      </c>
      <c r="AS758">
        <v>6</v>
      </c>
    </row>
    <row r="759" spans="1:45" x14ac:dyDescent="0.25">
      <c r="A759">
        <v>17</v>
      </c>
      <c r="B759" t="s">
        <v>401</v>
      </c>
      <c r="C759">
        <v>1.7</v>
      </c>
      <c r="D759">
        <v>0.2</v>
      </c>
      <c r="E759" t="s">
        <v>385</v>
      </c>
      <c r="U759">
        <v>658</v>
      </c>
      <c r="V759">
        <v>17</v>
      </c>
      <c r="W759">
        <v>9</v>
      </c>
      <c r="X759">
        <v>8</v>
      </c>
      <c r="Y759">
        <v>14</v>
      </c>
      <c r="Z759">
        <v>13</v>
      </c>
      <c r="AA759">
        <v>20</v>
      </c>
      <c r="AB759">
        <v>3</v>
      </c>
      <c r="AC759">
        <v>2</v>
      </c>
      <c r="AD759">
        <v>4</v>
      </c>
      <c r="AE759">
        <v>1</v>
      </c>
      <c r="AF759">
        <v>15</v>
      </c>
      <c r="AG759">
        <v>22</v>
      </c>
      <c r="AH759">
        <v>16</v>
      </c>
      <c r="AI759">
        <v>12</v>
      </c>
      <c r="AJ759">
        <v>10</v>
      </c>
      <c r="AK759">
        <v>21</v>
      </c>
      <c r="AL759">
        <v>24</v>
      </c>
      <c r="AM759">
        <v>23</v>
      </c>
      <c r="AN759">
        <v>6</v>
      </c>
      <c r="AO759">
        <v>19</v>
      </c>
      <c r="AP759">
        <v>5</v>
      </c>
      <c r="AQ759">
        <v>18</v>
      </c>
      <c r="AR759">
        <v>11</v>
      </c>
      <c r="AS759">
        <v>7</v>
      </c>
    </row>
    <row r="760" spans="1:45" x14ac:dyDescent="0.25">
      <c r="A760">
        <v>18</v>
      </c>
      <c r="B760" t="s">
        <v>393</v>
      </c>
      <c r="C760">
        <v>2.2000000000000002</v>
      </c>
      <c r="D760">
        <v>0.8</v>
      </c>
      <c r="E760" t="s">
        <v>397</v>
      </c>
      <c r="U760">
        <v>659</v>
      </c>
      <c r="V760">
        <v>20</v>
      </c>
      <c r="W760">
        <v>14</v>
      </c>
      <c r="X760">
        <v>17</v>
      </c>
      <c r="Y760">
        <v>10</v>
      </c>
      <c r="Z760">
        <v>11</v>
      </c>
      <c r="AA760">
        <v>15</v>
      </c>
      <c r="AB760">
        <v>5</v>
      </c>
      <c r="AC760">
        <v>2</v>
      </c>
      <c r="AD760">
        <v>4</v>
      </c>
      <c r="AE760">
        <v>1</v>
      </c>
      <c r="AF760">
        <v>9</v>
      </c>
      <c r="AG760">
        <v>19</v>
      </c>
      <c r="AH760">
        <v>13</v>
      </c>
      <c r="AI760">
        <v>16</v>
      </c>
      <c r="AJ760">
        <v>12</v>
      </c>
      <c r="AK760">
        <v>22</v>
      </c>
      <c r="AL760">
        <v>24</v>
      </c>
      <c r="AM760">
        <v>23</v>
      </c>
      <c r="AN760">
        <v>6</v>
      </c>
      <c r="AO760">
        <v>21</v>
      </c>
      <c r="AP760">
        <v>8</v>
      </c>
      <c r="AQ760">
        <v>18</v>
      </c>
      <c r="AR760">
        <v>3</v>
      </c>
      <c r="AS760">
        <v>7</v>
      </c>
    </row>
    <row r="761" spans="1:45" x14ac:dyDescent="0.25">
      <c r="A761">
        <v>18</v>
      </c>
      <c r="B761" t="s">
        <v>388</v>
      </c>
      <c r="C761">
        <v>3</v>
      </c>
      <c r="D761">
        <v>0.2</v>
      </c>
      <c r="E761" t="s">
        <v>392</v>
      </c>
      <c r="U761">
        <v>660</v>
      </c>
      <c r="V761">
        <v>8</v>
      </c>
      <c r="W761">
        <v>10</v>
      </c>
      <c r="X761">
        <v>7</v>
      </c>
      <c r="Y761">
        <v>12</v>
      </c>
      <c r="Z761">
        <v>16</v>
      </c>
      <c r="AA761">
        <v>22</v>
      </c>
      <c r="AB761">
        <v>4</v>
      </c>
      <c r="AC761">
        <v>2</v>
      </c>
      <c r="AD761">
        <v>6</v>
      </c>
      <c r="AE761">
        <v>1</v>
      </c>
      <c r="AF761">
        <v>11</v>
      </c>
      <c r="AG761">
        <v>14</v>
      </c>
      <c r="AH761">
        <v>15</v>
      </c>
      <c r="AI761">
        <v>18</v>
      </c>
      <c r="AJ761">
        <v>17</v>
      </c>
      <c r="AK761">
        <v>21</v>
      </c>
      <c r="AL761">
        <v>23</v>
      </c>
      <c r="AM761">
        <v>24</v>
      </c>
      <c r="AN761">
        <v>3</v>
      </c>
      <c r="AO761">
        <v>20</v>
      </c>
      <c r="AP761">
        <v>9</v>
      </c>
      <c r="AQ761">
        <v>19</v>
      </c>
      <c r="AR761">
        <v>13</v>
      </c>
      <c r="AS761">
        <v>5</v>
      </c>
    </row>
    <row r="762" spans="1:45" x14ac:dyDescent="0.25">
      <c r="A762">
        <v>18</v>
      </c>
      <c r="B762" t="s">
        <v>384</v>
      </c>
      <c r="C762">
        <v>3.7</v>
      </c>
      <c r="D762">
        <v>0.5</v>
      </c>
      <c r="E762" t="s">
        <v>394</v>
      </c>
      <c r="U762">
        <v>661</v>
      </c>
      <c r="V762">
        <v>11</v>
      </c>
      <c r="W762">
        <v>10</v>
      </c>
      <c r="X762">
        <v>12</v>
      </c>
      <c r="Y762">
        <v>16</v>
      </c>
      <c r="Z762">
        <v>19</v>
      </c>
      <c r="AA762">
        <v>22</v>
      </c>
      <c r="AB762">
        <v>4</v>
      </c>
      <c r="AC762">
        <v>2</v>
      </c>
      <c r="AD762">
        <v>3</v>
      </c>
      <c r="AE762">
        <v>1</v>
      </c>
      <c r="AF762">
        <v>18</v>
      </c>
      <c r="AG762">
        <v>14</v>
      </c>
      <c r="AH762">
        <v>13</v>
      </c>
      <c r="AI762">
        <v>9</v>
      </c>
      <c r="AJ762">
        <v>17</v>
      </c>
      <c r="AK762">
        <v>20</v>
      </c>
      <c r="AL762">
        <v>24</v>
      </c>
      <c r="AM762">
        <v>23</v>
      </c>
      <c r="AN762">
        <v>5</v>
      </c>
      <c r="AO762">
        <v>21</v>
      </c>
      <c r="AP762">
        <v>8</v>
      </c>
      <c r="AQ762">
        <v>15</v>
      </c>
      <c r="AR762">
        <v>7</v>
      </c>
      <c r="AS762">
        <v>6</v>
      </c>
    </row>
    <row r="763" spans="1:45" x14ac:dyDescent="0.25">
      <c r="A763">
        <v>18</v>
      </c>
      <c r="B763" t="s">
        <v>382</v>
      </c>
      <c r="C763">
        <v>1.4</v>
      </c>
      <c r="D763">
        <v>0.6</v>
      </c>
      <c r="E763" t="s">
        <v>391</v>
      </c>
      <c r="U763">
        <v>662</v>
      </c>
      <c r="V763">
        <v>13</v>
      </c>
      <c r="W763">
        <v>10</v>
      </c>
      <c r="X763">
        <v>17</v>
      </c>
      <c r="Y763">
        <v>12</v>
      </c>
      <c r="Z763">
        <v>11</v>
      </c>
      <c r="AA763">
        <v>18</v>
      </c>
      <c r="AB763">
        <v>7</v>
      </c>
      <c r="AC763">
        <v>2</v>
      </c>
      <c r="AD763">
        <v>4</v>
      </c>
      <c r="AE763">
        <v>1</v>
      </c>
      <c r="AF763">
        <v>16</v>
      </c>
      <c r="AG763">
        <v>19</v>
      </c>
      <c r="AH763">
        <v>14</v>
      </c>
      <c r="AI763">
        <v>9</v>
      </c>
      <c r="AJ763">
        <v>15</v>
      </c>
      <c r="AK763">
        <v>21</v>
      </c>
      <c r="AL763">
        <v>24</v>
      </c>
      <c r="AM763">
        <v>23</v>
      </c>
      <c r="AN763">
        <v>3</v>
      </c>
      <c r="AO763">
        <v>22</v>
      </c>
      <c r="AP763">
        <v>8</v>
      </c>
      <c r="AQ763">
        <v>20</v>
      </c>
      <c r="AR763">
        <v>5</v>
      </c>
      <c r="AS763">
        <v>6</v>
      </c>
    </row>
    <row r="764" spans="1:45" x14ac:dyDescent="0.25">
      <c r="A764">
        <v>18</v>
      </c>
      <c r="B764" t="s">
        <v>381</v>
      </c>
      <c r="C764">
        <v>0.5</v>
      </c>
      <c r="D764">
        <v>1.2</v>
      </c>
      <c r="E764" t="s">
        <v>401</v>
      </c>
      <c r="U764">
        <v>663</v>
      </c>
      <c r="V764">
        <v>18</v>
      </c>
      <c r="W764">
        <v>14</v>
      </c>
      <c r="X764">
        <v>16</v>
      </c>
      <c r="Y764">
        <v>12</v>
      </c>
      <c r="Z764">
        <v>11</v>
      </c>
      <c r="AA764">
        <v>21</v>
      </c>
      <c r="AB764">
        <v>5</v>
      </c>
      <c r="AC764">
        <v>2</v>
      </c>
      <c r="AD764">
        <v>3</v>
      </c>
      <c r="AE764">
        <v>1</v>
      </c>
      <c r="AF764">
        <v>8</v>
      </c>
      <c r="AG764">
        <v>15</v>
      </c>
      <c r="AH764">
        <v>10</v>
      </c>
      <c r="AI764">
        <v>20</v>
      </c>
      <c r="AJ764">
        <v>19</v>
      </c>
      <c r="AK764">
        <v>13</v>
      </c>
      <c r="AL764">
        <v>24</v>
      </c>
      <c r="AM764">
        <v>23</v>
      </c>
      <c r="AN764">
        <v>4</v>
      </c>
      <c r="AO764">
        <v>22</v>
      </c>
      <c r="AP764">
        <v>7</v>
      </c>
      <c r="AQ764">
        <v>17</v>
      </c>
      <c r="AR764">
        <v>9</v>
      </c>
      <c r="AS764">
        <v>6</v>
      </c>
    </row>
    <row r="765" spans="1:45" x14ac:dyDescent="0.25">
      <c r="A765">
        <v>18</v>
      </c>
      <c r="B765" t="s">
        <v>400</v>
      </c>
      <c r="C765">
        <v>1.6</v>
      </c>
      <c r="D765">
        <v>0.6</v>
      </c>
      <c r="E765" t="s">
        <v>390</v>
      </c>
      <c r="U765">
        <v>664</v>
      </c>
      <c r="V765">
        <v>7</v>
      </c>
      <c r="W765">
        <v>10</v>
      </c>
      <c r="X765">
        <v>15</v>
      </c>
      <c r="Y765">
        <v>8</v>
      </c>
      <c r="Z765">
        <v>18</v>
      </c>
      <c r="AA765">
        <v>20</v>
      </c>
      <c r="AB765">
        <v>4</v>
      </c>
      <c r="AC765">
        <v>2</v>
      </c>
      <c r="AD765">
        <v>5</v>
      </c>
      <c r="AE765">
        <v>1</v>
      </c>
      <c r="AF765">
        <v>6</v>
      </c>
      <c r="AG765">
        <v>16</v>
      </c>
      <c r="AH765">
        <v>13</v>
      </c>
      <c r="AI765">
        <v>14</v>
      </c>
      <c r="AJ765">
        <v>17</v>
      </c>
      <c r="AK765">
        <v>22</v>
      </c>
      <c r="AL765">
        <v>24</v>
      </c>
      <c r="AM765">
        <v>23</v>
      </c>
      <c r="AN765">
        <v>3</v>
      </c>
      <c r="AO765">
        <v>21</v>
      </c>
      <c r="AP765">
        <v>11</v>
      </c>
      <c r="AQ765">
        <v>19</v>
      </c>
      <c r="AR765">
        <v>12</v>
      </c>
      <c r="AS765">
        <v>9</v>
      </c>
    </row>
    <row r="766" spans="1:45" x14ac:dyDescent="0.25">
      <c r="A766">
        <v>18</v>
      </c>
      <c r="B766" t="s">
        <v>386</v>
      </c>
      <c r="C766">
        <v>2.4</v>
      </c>
      <c r="D766">
        <v>0.3</v>
      </c>
      <c r="E766" t="s">
        <v>399</v>
      </c>
      <c r="U766">
        <v>665</v>
      </c>
      <c r="V766">
        <v>12</v>
      </c>
      <c r="W766">
        <v>13</v>
      </c>
      <c r="X766">
        <v>10</v>
      </c>
      <c r="Y766">
        <v>15</v>
      </c>
      <c r="Z766">
        <v>17</v>
      </c>
      <c r="AA766">
        <v>21</v>
      </c>
      <c r="AB766">
        <v>5</v>
      </c>
      <c r="AC766">
        <v>2</v>
      </c>
      <c r="AD766">
        <v>3</v>
      </c>
      <c r="AE766">
        <v>1</v>
      </c>
      <c r="AF766">
        <v>11</v>
      </c>
      <c r="AG766">
        <v>8</v>
      </c>
      <c r="AH766">
        <v>9</v>
      </c>
      <c r="AI766">
        <v>20</v>
      </c>
      <c r="AJ766">
        <v>16</v>
      </c>
      <c r="AK766">
        <v>22</v>
      </c>
      <c r="AL766">
        <v>23</v>
      </c>
      <c r="AM766">
        <v>24</v>
      </c>
      <c r="AN766">
        <v>4</v>
      </c>
      <c r="AO766">
        <v>18</v>
      </c>
      <c r="AP766">
        <v>14</v>
      </c>
      <c r="AQ766">
        <v>19</v>
      </c>
      <c r="AR766">
        <v>6</v>
      </c>
      <c r="AS766">
        <v>7</v>
      </c>
    </row>
    <row r="767" spans="1:45" x14ac:dyDescent="0.25">
      <c r="A767">
        <v>18</v>
      </c>
      <c r="B767" t="s">
        <v>395</v>
      </c>
      <c r="C767">
        <v>1.5</v>
      </c>
      <c r="D767">
        <v>1.1000000000000001</v>
      </c>
      <c r="E767" t="s">
        <v>387</v>
      </c>
      <c r="U767">
        <v>666</v>
      </c>
      <c r="V767">
        <v>16</v>
      </c>
      <c r="W767">
        <v>10</v>
      </c>
      <c r="X767">
        <v>19</v>
      </c>
      <c r="Y767">
        <v>12</v>
      </c>
      <c r="Z767">
        <v>17</v>
      </c>
      <c r="AA767">
        <v>21</v>
      </c>
      <c r="AB767">
        <v>5</v>
      </c>
      <c r="AC767">
        <v>2</v>
      </c>
      <c r="AD767">
        <v>4</v>
      </c>
      <c r="AE767">
        <v>1</v>
      </c>
      <c r="AF767">
        <v>13</v>
      </c>
      <c r="AG767">
        <v>15</v>
      </c>
      <c r="AH767">
        <v>9</v>
      </c>
      <c r="AI767">
        <v>14</v>
      </c>
      <c r="AJ767">
        <v>11</v>
      </c>
      <c r="AK767">
        <v>22</v>
      </c>
      <c r="AL767">
        <v>24</v>
      </c>
      <c r="AM767">
        <v>23</v>
      </c>
      <c r="AN767">
        <v>3</v>
      </c>
      <c r="AO767">
        <v>20</v>
      </c>
      <c r="AP767">
        <v>6</v>
      </c>
      <c r="AQ767">
        <v>18</v>
      </c>
      <c r="AR767">
        <v>7</v>
      </c>
      <c r="AS767">
        <v>8</v>
      </c>
    </row>
    <row r="768" spans="1:45" x14ac:dyDescent="0.25">
      <c r="A768">
        <v>18</v>
      </c>
      <c r="B768" t="s">
        <v>396</v>
      </c>
      <c r="C768">
        <v>0.7</v>
      </c>
      <c r="D768">
        <v>0.8</v>
      </c>
      <c r="E768" t="s">
        <v>380</v>
      </c>
      <c r="U768">
        <v>667</v>
      </c>
      <c r="V768">
        <v>20</v>
      </c>
      <c r="W768">
        <v>6</v>
      </c>
      <c r="X768">
        <v>9</v>
      </c>
      <c r="Y768">
        <v>15</v>
      </c>
      <c r="Z768">
        <v>16</v>
      </c>
      <c r="AA768">
        <v>21</v>
      </c>
      <c r="AB768">
        <v>7</v>
      </c>
      <c r="AC768">
        <v>2</v>
      </c>
      <c r="AD768">
        <v>3</v>
      </c>
      <c r="AE768">
        <v>1</v>
      </c>
      <c r="AF768">
        <v>10</v>
      </c>
      <c r="AG768">
        <v>18</v>
      </c>
      <c r="AH768">
        <v>13</v>
      </c>
      <c r="AI768">
        <v>11</v>
      </c>
      <c r="AJ768">
        <v>14</v>
      </c>
      <c r="AK768">
        <v>22</v>
      </c>
      <c r="AL768">
        <v>24</v>
      </c>
      <c r="AM768">
        <v>23</v>
      </c>
      <c r="AN768">
        <v>4</v>
      </c>
      <c r="AO768">
        <v>17</v>
      </c>
      <c r="AP768">
        <v>8</v>
      </c>
      <c r="AQ768">
        <v>19</v>
      </c>
      <c r="AR768">
        <v>12</v>
      </c>
      <c r="AS768">
        <v>5</v>
      </c>
    </row>
    <row r="769" spans="1:45" x14ac:dyDescent="0.25">
      <c r="A769">
        <v>18</v>
      </c>
      <c r="B769" t="s">
        <v>398</v>
      </c>
      <c r="C769">
        <v>2.6</v>
      </c>
      <c r="D769">
        <v>0.9</v>
      </c>
      <c r="E769" t="s">
        <v>383</v>
      </c>
      <c r="U769">
        <v>668</v>
      </c>
      <c r="V769">
        <v>18</v>
      </c>
      <c r="W769">
        <v>6</v>
      </c>
      <c r="X769">
        <v>10</v>
      </c>
      <c r="Y769">
        <v>15</v>
      </c>
      <c r="Z769">
        <v>17</v>
      </c>
      <c r="AA769">
        <v>20</v>
      </c>
      <c r="AB769">
        <v>5</v>
      </c>
      <c r="AC769">
        <v>2</v>
      </c>
      <c r="AD769">
        <v>3</v>
      </c>
      <c r="AE769">
        <v>1</v>
      </c>
      <c r="AF769">
        <v>11</v>
      </c>
      <c r="AG769">
        <v>19</v>
      </c>
      <c r="AH769">
        <v>12</v>
      </c>
      <c r="AI769">
        <v>13</v>
      </c>
      <c r="AJ769">
        <v>16</v>
      </c>
      <c r="AK769">
        <v>23</v>
      </c>
      <c r="AL769">
        <v>24</v>
      </c>
      <c r="AM769">
        <v>22</v>
      </c>
      <c r="AN769">
        <v>4</v>
      </c>
      <c r="AO769">
        <v>21</v>
      </c>
      <c r="AP769">
        <v>9</v>
      </c>
      <c r="AQ769">
        <v>14</v>
      </c>
      <c r="AR769">
        <v>8</v>
      </c>
      <c r="AS769">
        <v>7</v>
      </c>
    </row>
    <row r="770" spans="1:45" x14ac:dyDescent="0.25">
      <c r="A770">
        <v>18</v>
      </c>
      <c r="B770" t="s">
        <v>379</v>
      </c>
      <c r="C770">
        <v>1.6</v>
      </c>
      <c r="D770">
        <v>1.3</v>
      </c>
      <c r="E770" t="s">
        <v>378</v>
      </c>
      <c r="U770">
        <v>669</v>
      </c>
      <c r="V770">
        <v>13</v>
      </c>
      <c r="W770">
        <v>15</v>
      </c>
      <c r="X770">
        <v>16</v>
      </c>
      <c r="Y770">
        <v>11</v>
      </c>
      <c r="Z770">
        <v>10</v>
      </c>
      <c r="AA770">
        <v>21</v>
      </c>
      <c r="AB770">
        <v>7</v>
      </c>
      <c r="AC770">
        <v>2</v>
      </c>
      <c r="AD770">
        <v>5</v>
      </c>
      <c r="AE770">
        <v>1</v>
      </c>
      <c r="AF770" t="e">
        <v>#N/A</v>
      </c>
      <c r="AG770">
        <v>20</v>
      </c>
      <c r="AH770">
        <v>6</v>
      </c>
      <c r="AI770">
        <v>17</v>
      </c>
      <c r="AJ770">
        <v>9</v>
      </c>
      <c r="AK770">
        <v>19</v>
      </c>
      <c r="AL770">
        <v>24</v>
      </c>
      <c r="AM770">
        <v>23</v>
      </c>
      <c r="AN770">
        <v>4</v>
      </c>
      <c r="AO770">
        <v>22</v>
      </c>
      <c r="AP770">
        <v>8</v>
      </c>
      <c r="AQ770">
        <v>18</v>
      </c>
      <c r="AR770">
        <v>12</v>
      </c>
      <c r="AS770">
        <v>3</v>
      </c>
    </row>
    <row r="771" spans="1:45" x14ac:dyDescent="0.25">
      <c r="A771">
        <v>18</v>
      </c>
      <c r="B771" t="s">
        <v>385</v>
      </c>
      <c r="C771">
        <v>1.3</v>
      </c>
      <c r="D771">
        <v>0.4</v>
      </c>
      <c r="E771" t="s">
        <v>389</v>
      </c>
      <c r="U771">
        <v>670</v>
      </c>
      <c r="V771">
        <v>18</v>
      </c>
      <c r="W771">
        <v>6</v>
      </c>
      <c r="X771">
        <v>12</v>
      </c>
      <c r="Y771">
        <v>15</v>
      </c>
      <c r="Z771">
        <v>14</v>
      </c>
      <c r="AA771">
        <v>20</v>
      </c>
      <c r="AB771">
        <v>7</v>
      </c>
      <c r="AC771">
        <v>2</v>
      </c>
      <c r="AD771">
        <v>4</v>
      </c>
      <c r="AE771">
        <v>1</v>
      </c>
      <c r="AF771">
        <v>13</v>
      </c>
      <c r="AG771">
        <v>16</v>
      </c>
      <c r="AH771">
        <v>17</v>
      </c>
      <c r="AI771">
        <v>10</v>
      </c>
      <c r="AJ771">
        <v>11</v>
      </c>
      <c r="AK771">
        <v>21</v>
      </c>
      <c r="AL771">
        <v>23</v>
      </c>
      <c r="AM771">
        <v>24</v>
      </c>
      <c r="AN771">
        <v>3</v>
      </c>
      <c r="AO771">
        <v>22</v>
      </c>
      <c r="AP771">
        <v>5</v>
      </c>
      <c r="AQ771">
        <v>19</v>
      </c>
      <c r="AR771">
        <v>9</v>
      </c>
      <c r="AS771">
        <v>8</v>
      </c>
    </row>
    <row r="772" spans="1:45" x14ac:dyDescent="0.25">
      <c r="A772">
        <v>19</v>
      </c>
      <c r="B772" t="s">
        <v>392</v>
      </c>
      <c r="C772">
        <v>0.3</v>
      </c>
      <c r="D772">
        <v>1.3</v>
      </c>
      <c r="E772" t="s">
        <v>393</v>
      </c>
      <c r="U772">
        <v>671</v>
      </c>
      <c r="V772">
        <v>12</v>
      </c>
      <c r="W772">
        <v>14</v>
      </c>
      <c r="X772">
        <v>18</v>
      </c>
      <c r="Y772">
        <v>8</v>
      </c>
      <c r="Z772">
        <v>6</v>
      </c>
      <c r="AA772">
        <v>22</v>
      </c>
      <c r="AB772">
        <v>11</v>
      </c>
      <c r="AC772">
        <v>2</v>
      </c>
      <c r="AD772">
        <v>5</v>
      </c>
      <c r="AE772">
        <v>1</v>
      </c>
      <c r="AF772">
        <v>13</v>
      </c>
      <c r="AG772">
        <v>17</v>
      </c>
      <c r="AH772">
        <v>10</v>
      </c>
      <c r="AI772">
        <v>15</v>
      </c>
      <c r="AJ772">
        <v>16</v>
      </c>
      <c r="AK772">
        <v>21</v>
      </c>
      <c r="AL772">
        <v>24</v>
      </c>
      <c r="AM772">
        <v>23</v>
      </c>
      <c r="AN772" t="e">
        <v>#N/A</v>
      </c>
      <c r="AO772">
        <v>20</v>
      </c>
      <c r="AP772">
        <v>7</v>
      </c>
      <c r="AQ772">
        <v>19</v>
      </c>
      <c r="AR772">
        <v>9</v>
      </c>
      <c r="AS772">
        <v>4</v>
      </c>
    </row>
    <row r="773" spans="1:45" x14ac:dyDescent="0.25">
      <c r="A773">
        <v>19</v>
      </c>
      <c r="B773" t="s">
        <v>401</v>
      </c>
      <c r="C773">
        <v>1</v>
      </c>
      <c r="D773">
        <v>1.3</v>
      </c>
      <c r="E773" t="s">
        <v>387</v>
      </c>
      <c r="U773">
        <v>672</v>
      </c>
      <c r="V773">
        <v>17</v>
      </c>
      <c r="W773">
        <v>15</v>
      </c>
      <c r="X773">
        <v>13</v>
      </c>
      <c r="Y773">
        <v>12</v>
      </c>
      <c r="Z773">
        <v>14</v>
      </c>
      <c r="AA773">
        <v>21</v>
      </c>
      <c r="AB773">
        <v>6</v>
      </c>
      <c r="AC773">
        <v>2</v>
      </c>
      <c r="AD773">
        <v>3</v>
      </c>
      <c r="AE773">
        <v>1</v>
      </c>
      <c r="AF773">
        <v>16</v>
      </c>
      <c r="AG773">
        <v>22</v>
      </c>
      <c r="AH773">
        <v>7</v>
      </c>
      <c r="AI773">
        <v>11</v>
      </c>
      <c r="AJ773">
        <v>9</v>
      </c>
      <c r="AK773">
        <v>20</v>
      </c>
      <c r="AL773">
        <v>24</v>
      </c>
      <c r="AM773">
        <v>23</v>
      </c>
      <c r="AN773">
        <v>5</v>
      </c>
      <c r="AO773">
        <v>18</v>
      </c>
      <c r="AP773">
        <v>10</v>
      </c>
      <c r="AQ773">
        <v>19</v>
      </c>
      <c r="AR773">
        <v>8</v>
      </c>
      <c r="AS773">
        <v>4</v>
      </c>
    </row>
    <row r="774" spans="1:45" x14ac:dyDescent="0.25">
      <c r="A774">
        <v>19</v>
      </c>
      <c r="B774" t="s">
        <v>396</v>
      </c>
      <c r="C774">
        <v>2.5</v>
      </c>
      <c r="D774">
        <v>0.8</v>
      </c>
      <c r="E774" t="s">
        <v>381</v>
      </c>
      <c r="U774">
        <v>673</v>
      </c>
      <c r="V774">
        <v>15</v>
      </c>
      <c r="W774">
        <v>16</v>
      </c>
      <c r="X774">
        <v>11</v>
      </c>
      <c r="Y774">
        <v>10</v>
      </c>
      <c r="Z774">
        <v>17</v>
      </c>
      <c r="AA774">
        <v>21</v>
      </c>
      <c r="AB774">
        <v>4</v>
      </c>
      <c r="AC774">
        <v>2</v>
      </c>
      <c r="AD774">
        <v>5</v>
      </c>
      <c r="AE774">
        <v>1</v>
      </c>
      <c r="AF774">
        <v>9</v>
      </c>
      <c r="AG774">
        <v>19</v>
      </c>
      <c r="AH774">
        <v>8</v>
      </c>
      <c r="AI774">
        <v>14</v>
      </c>
      <c r="AJ774">
        <v>12</v>
      </c>
      <c r="AK774">
        <v>20</v>
      </c>
      <c r="AL774">
        <v>24</v>
      </c>
      <c r="AM774">
        <v>23</v>
      </c>
      <c r="AN774">
        <v>3</v>
      </c>
      <c r="AO774">
        <v>22</v>
      </c>
      <c r="AP774">
        <v>13</v>
      </c>
      <c r="AQ774">
        <v>18</v>
      </c>
      <c r="AR774">
        <v>7</v>
      </c>
      <c r="AS774">
        <v>6</v>
      </c>
    </row>
    <row r="775" spans="1:45" x14ac:dyDescent="0.25">
      <c r="A775">
        <v>19</v>
      </c>
      <c r="B775" t="s">
        <v>389</v>
      </c>
      <c r="C775">
        <v>0.8</v>
      </c>
      <c r="D775">
        <v>1.6</v>
      </c>
      <c r="E775" t="s">
        <v>398</v>
      </c>
      <c r="U775">
        <v>674</v>
      </c>
      <c r="V775">
        <v>18</v>
      </c>
      <c r="W775">
        <v>11</v>
      </c>
      <c r="X775">
        <v>9</v>
      </c>
      <c r="Y775">
        <v>16</v>
      </c>
      <c r="Z775">
        <v>12</v>
      </c>
      <c r="AA775">
        <v>20</v>
      </c>
      <c r="AB775">
        <v>3</v>
      </c>
      <c r="AC775">
        <v>2</v>
      </c>
      <c r="AD775">
        <v>4</v>
      </c>
      <c r="AE775">
        <v>1</v>
      </c>
      <c r="AF775">
        <v>13</v>
      </c>
      <c r="AG775">
        <v>19</v>
      </c>
      <c r="AH775">
        <v>10</v>
      </c>
      <c r="AI775">
        <v>14</v>
      </c>
      <c r="AJ775">
        <v>17</v>
      </c>
      <c r="AK775">
        <v>22</v>
      </c>
      <c r="AL775">
        <v>23</v>
      </c>
      <c r="AM775">
        <v>24</v>
      </c>
      <c r="AN775">
        <v>7</v>
      </c>
      <c r="AO775">
        <v>21</v>
      </c>
      <c r="AP775">
        <v>5</v>
      </c>
      <c r="AQ775">
        <v>15</v>
      </c>
      <c r="AR775">
        <v>6</v>
      </c>
      <c r="AS775">
        <v>8</v>
      </c>
    </row>
    <row r="776" spans="1:45" x14ac:dyDescent="0.25">
      <c r="A776">
        <v>19</v>
      </c>
      <c r="B776" t="s">
        <v>395</v>
      </c>
      <c r="C776">
        <v>1</v>
      </c>
      <c r="D776">
        <v>1.5</v>
      </c>
      <c r="E776" t="s">
        <v>379</v>
      </c>
      <c r="U776">
        <v>675</v>
      </c>
      <c r="V776">
        <v>10</v>
      </c>
      <c r="W776">
        <v>6</v>
      </c>
      <c r="X776">
        <v>16</v>
      </c>
      <c r="Y776">
        <v>9</v>
      </c>
      <c r="Z776">
        <v>15</v>
      </c>
      <c r="AA776">
        <v>20</v>
      </c>
      <c r="AB776">
        <v>7</v>
      </c>
      <c r="AC776">
        <v>2</v>
      </c>
      <c r="AD776">
        <v>4</v>
      </c>
      <c r="AE776">
        <v>1</v>
      </c>
      <c r="AF776">
        <v>17</v>
      </c>
      <c r="AG776">
        <v>13</v>
      </c>
      <c r="AH776">
        <v>18</v>
      </c>
      <c r="AI776">
        <v>12</v>
      </c>
      <c r="AJ776">
        <v>14</v>
      </c>
      <c r="AK776">
        <v>22</v>
      </c>
      <c r="AL776">
        <v>24</v>
      </c>
      <c r="AM776">
        <v>23</v>
      </c>
      <c r="AN776">
        <v>3</v>
      </c>
      <c r="AO776">
        <v>19</v>
      </c>
      <c r="AP776">
        <v>11</v>
      </c>
      <c r="AQ776">
        <v>21</v>
      </c>
      <c r="AR776">
        <v>8</v>
      </c>
      <c r="AS776">
        <v>5</v>
      </c>
    </row>
    <row r="777" spans="1:45" x14ac:dyDescent="0.25">
      <c r="A777">
        <v>19</v>
      </c>
      <c r="B777" t="s">
        <v>386</v>
      </c>
      <c r="C777">
        <v>3</v>
      </c>
      <c r="D777">
        <v>1.5</v>
      </c>
      <c r="E777" t="s">
        <v>388</v>
      </c>
      <c r="U777">
        <v>676</v>
      </c>
      <c r="V777">
        <v>17</v>
      </c>
      <c r="W777">
        <v>12</v>
      </c>
      <c r="X777">
        <v>13</v>
      </c>
      <c r="Y777">
        <v>10</v>
      </c>
      <c r="Z777">
        <v>11</v>
      </c>
      <c r="AA777">
        <v>19</v>
      </c>
      <c r="AB777">
        <v>5</v>
      </c>
      <c r="AC777">
        <v>2</v>
      </c>
      <c r="AD777">
        <v>3</v>
      </c>
      <c r="AE777">
        <v>1</v>
      </c>
      <c r="AF777">
        <v>8</v>
      </c>
      <c r="AG777">
        <v>20</v>
      </c>
      <c r="AH777">
        <v>16</v>
      </c>
      <c r="AI777">
        <v>15</v>
      </c>
      <c r="AJ777">
        <v>14</v>
      </c>
      <c r="AK777">
        <v>21</v>
      </c>
      <c r="AL777">
        <v>24</v>
      </c>
      <c r="AM777">
        <v>23</v>
      </c>
      <c r="AN777">
        <v>4</v>
      </c>
      <c r="AO777">
        <v>22</v>
      </c>
      <c r="AP777">
        <v>6</v>
      </c>
      <c r="AQ777">
        <v>18</v>
      </c>
      <c r="AR777">
        <v>9</v>
      </c>
      <c r="AS777">
        <v>7</v>
      </c>
    </row>
    <row r="778" spans="1:45" x14ac:dyDescent="0.25">
      <c r="A778">
        <v>19</v>
      </c>
      <c r="B778" t="s">
        <v>384</v>
      </c>
      <c r="C778">
        <v>1.9</v>
      </c>
      <c r="D778">
        <v>0.6</v>
      </c>
      <c r="E778" t="s">
        <v>400</v>
      </c>
      <c r="U778">
        <v>677</v>
      </c>
      <c r="V778">
        <v>15</v>
      </c>
      <c r="W778">
        <v>17</v>
      </c>
      <c r="X778">
        <v>14</v>
      </c>
      <c r="Y778">
        <v>13</v>
      </c>
      <c r="Z778">
        <v>12</v>
      </c>
      <c r="AA778">
        <v>21</v>
      </c>
      <c r="AB778">
        <v>5</v>
      </c>
      <c r="AC778">
        <v>2</v>
      </c>
      <c r="AD778">
        <v>3</v>
      </c>
      <c r="AE778">
        <v>1</v>
      </c>
      <c r="AF778">
        <v>9</v>
      </c>
      <c r="AG778">
        <v>18</v>
      </c>
      <c r="AH778">
        <v>10</v>
      </c>
      <c r="AI778">
        <v>16</v>
      </c>
      <c r="AJ778">
        <v>11</v>
      </c>
      <c r="AK778">
        <v>22</v>
      </c>
      <c r="AL778">
        <v>23</v>
      </c>
      <c r="AM778">
        <v>24</v>
      </c>
      <c r="AN778">
        <v>4</v>
      </c>
      <c r="AO778">
        <v>20</v>
      </c>
      <c r="AP778">
        <v>8</v>
      </c>
      <c r="AQ778">
        <v>19</v>
      </c>
      <c r="AR778">
        <v>6</v>
      </c>
      <c r="AS778">
        <v>7</v>
      </c>
    </row>
    <row r="779" spans="1:45" x14ac:dyDescent="0.25">
      <c r="A779">
        <v>19</v>
      </c>
      <c r="B779" t="s">
        <v>391</v>
      </c>
      <c r="C779">
        <v>1.8</v>
      </c>
      <c r="D779">
        <v>2.2000000000000002</v>
      </c>
      <c r="E779" t="s">
        <v>397</v>
      </c>
      <c r="U779">
        <v>678</v>
      </c>
      <c r="V779">
        <v>17</v>
      </c>
      <c r="W779">
        <v>8</v>
      </c>
      <c r="X779">
        <v>18</v>
      </c>
      <c r="Y779">
        <v>9</v>
      </c>
      <c r="Z779">
        <v>11</v>
      </c>
      <c r="AA779">
        <v>21</v>
      </c>
      <c r="AB779">
        <v>6</v>
      </c>
      <c r="AC779">
        <v>2</v>
      </c>
      <c r="AD779">
        <v>4</v>
      </c>
      <c r="AE779">
        <v>1</v>
      </c>
      <c r="AF779">
        <v>15</v>
      </c>
      <c r="AG779">
        <v>20</v>
      </c>
      <c r="AH779">
        <v>10</v>
      </c>
      <c r="AI779">
        <v>19</v>
      </c>
      <c r="AJ779">
        <v>13</v>
      </c>
      <c r="AK779">
        <v>23</v>
      </c>
      <c r="AL779">
        <v>24</v>
      </c>
      <c r="AM779">
        <v>22</v>
      </c>
      <c r="AN779">
        <v>3</v>
      </c>
      <c r="AO779">
        <v>14</v>
      </c>
      <c r="AP779">
        <v>16</v>
      </c>
      <c r="AQ779">
        <v>12</v>
      </c>
      <c r="AR779">
        <v>7</v>
      </c>
      <c r="AS779">
        <v>5</v>
      </c>
    </row>
    <row r="780" spans="1:45" x14ac:dyDescent="0.25">
      <c r="A780">
        <v>19</v>
      </c>
      <c r="B780" t="s">
        <v>378</v>
      </c>
      <c r="C780">
        <v>0.6</v>
      </c>
      <c r="D780">
        <v>1.1000000000000001</v>
      </c>
      <c r="E780" t="s">
        <v>394</v>
      </c>
      <c r="U780">
        <v>679</v>
      </c>
      <c r="V780">
        <v>14</v>
      </c>
      <c r="W780">
        <v>12</v>
      </c>
      <c r="X780">
        <v>17</v>
      </c>
      <c r="Y780">
        <v>13</v>
      </c>
      <c r="Z780">
        <v>15</v>
      </c>
      <c r="AA780">
        <v>22</v>
      </c>
      <c r="AB780">
        <v>7</v>
      </c>
      <c r="AC780">
        <v>2</v>
      </c>
      <c r="AD780">
        <v>3</v>
      </c>
      <c r="AE780">
        <v>1</v>
      </c>
      <c r="AF780">
        <v>8</v>
      </c>
      <c r="AG780">
        <v>16</v>
      </c>
      <c r="AH780">
        <v>10</v>
      </c>
      <c r="AI780">
        <v>11</v>
      </c>
      <c r="AJ780">
        <v>18</v>
      </c>
      <c r="AK780">
        <v>21</v>
      </c>
      <c r="AL780">
        <v>24</v>
      </c>
      <c r="AM780">
        <v>23</v>
      </c>
      <c r="AN780">
        <v>4</v>
      </c>
      <c r="AO780">
        <v>20</v>
      </c>
      <c r="AP780">
        <v>6</v>
      </c>
      <c r="AQ780">
        <v>19</v>
      </c>
      <c r="AR780">
        <v>9</v>
      </c>
      <c r="AS780">
        <v>5</v>
      </c>
    </row>
    <row r="781" spans="1:45" x14ac:dyDescent="0.25">
      <c r="A781">
        <v>19</v>
      </c>
      <c r="B781" t="s">
        <v>385</v>
      </c>
      <c r="C781">
        <v>1.7</v>
      </c>
      <c r="D781">
        <v>1.3</v>
      </c>
      <c r="E781" t="s">
        <v>382</v>
      </c>
      <c r="U781">
        <v>680</v>
      </c>
      <c r="V781">
        <v>18</v>
      </c>
      <c r="W781">
        <v>13</v>
      </c>
      <c r="X781">
        <v>10</v>
      </c>
      <c r="Y781">
        <v>17</v>
      </c>
      <c r="Z781">
        <v>14</v>
      </c>
      <c r="AA781">
        <v>21</v>
      </c>
      <c r="AB781">
        <v>5</v>
      </c>
      <c r="AC781">
        <v>3</v>
      </c>
      <c r="AD781">
        <v>2</v>
      </c>
      <c r="AE781">
        <v>1</v>
      </c>
      <c r="AF781">
        <v>11</v>
      </c>
      <c r="AG781">
        <v>15</v>
      </c>
      <c r="AH781">
        <v>12</v>
      </c>
      <c r="AI781">
        <v>9</v>
      </c>
      <c r="AJ781">
        <v>16</v>
      </c>
      <c r="AK781">
        <v>19</v>
      </c>
      <c r="AL781">
        <v>23</v>
      </c>
      <c r="AM781">
        <v>24</v>
      </c>
      <c r="AN781">
        <v>4</v>
      </c>
      <c r="AO781">
        <v>22</v>
      </c>
      <c r="AP781">
        <v>8</v>
      </c>
      <c r="AQ781">
        <v>20</v>
      </c>
      <c r="AR781">
        <v>6</v>
      </c>
      <c r="AS781">
        <v>7</v>
      </c>
    </row>
    <row r="782" spans="1:45" x14ac:dyDescent="0.25">
      <c r="A782">
        <v>19</v>
      </c>
      <c r="B782" t="s">
        <v>399</v>
      </c>
      <c r="C782">
        <v>1.6</v>
      </c>
      <c r="D782">
        <v>0.3</v>
      </c>
      <c r="E782" t="s">
        <v>383</v>
      </c>
      <c r="U782">
        <v>681</v>
      </c>
      <c r="V782">
        <v>20</v>
      </c>
      <c r="W782">
        <v>11</v>
      </c>
      <c r="X782">
        <v>7</v>
      </c>
      <c r="Y782">
        <v>13</v>
      </c>
      <c r="Z782">
        <v>14</v>
      </c>
      <c r="AA782">
        <v>21</v>
      </c>
      <c r="AB782">
        <v>8</v>
      </c>
      <c r="AC782">
        <v>2</v>
      </c>
      <c r="AD782">
        <v>4</v>
      </c>
      <c r="AE782">
        <v>1</v>
      </c>
      <c r="AF782">
        <v>15</v>
      </c>
      <c r="AG782">
        <v>19</v>
      </c>
      <c r="AH782">
        <v>9</v>
      </c>
      <c r="AI782">
        <v>16</v>
      </c>
      <c r="AJ782">
        <v>17</v>
      </c>
      <c r="AK782">
        <v>22</v>
      </c>
      <c r="AL782">
        <v>24</v>
      </c>
      <c r="AM782">
        <v>23</v>
      </c>
      <c r="AN782">
        <v>3</v>
      </c>
      <c r="AO782">
        <v>18</v>
      </c>
      <c r="AP782">
        <v>6</v>
      </c>
      <c r="AQ782">
        <v>12</v>
      </c>
      <c r="AR782">
        <v>10</v>
      </c>
      <c r="AS782">
        <v>5</v>
      </c>
    </row>
    <row r="783" spans="1:45" x14ac:dyDescent="0.25">
      <c r="A783">
        <v>19</v>
      </c>
      <c r="B783" t="s">
        <v>380</v>
      </c>
      <c r="C783">
        <v>1.1000000000000001</v>
      </c>
      <c r="D783">
        <v>1.1000000000000001</v>
      </c>
      <c r="E783" t="s">
        <v>390</v>
      </c>
      <c r="U783">
        <v>682</v>
      </c>
      <c r="V783">
        <v>13</v>
      </c>
      <c r="W783">
        <v>6</v>
      </c>
      <c r="X783">
        <v>14</v>
      </c>
      <c r="Y783">
        <v>8</v>
      </c>
      <c r="Z783">
        <v>18</v>
      </c>
      <c r="AA783">
        <v>21</v>
      </c>
      <c r="AB783">
        <v>5</v>
      </c>
      <c r="AC783">
        <v>2</v>
      </c>
      <c r="AD783">
        <v>4</v>
      </c>
      <c r="AE783">
        <v>1</v>
      </c>
      <c r="AF783">
        <v>12</v>
      </c>
      <c r="AG783">
        <v>19</v>
      </c>
      <c r="AH783">
        <v>15</v>
      </c>
      <c r="AI783">
        <v>17</v>
      </c>
      <c r="AJ783">
        <v>16</v>
      </c>
      <c r="AK783">
        <v>20</v>
      </c>
      <c r="AL783">
        <v>23</v>
      </c>
      <c r="AM783">
        <v>24</v>
      </c>
      <c r="AN783">
        <v>3</v>
      </c>
      <c r="AO783">
        <v>22</v>
      </c>
      <c r="AP783">
        <v>10</v>
      </c>
      <c r="AQ783">
        <v>11</v>
      </c>
      <c r="AR783">
        <v>7</v>
      </c>
      <c r="AS783">
        <v>9</v>
      </c>
    </row>
    <row r="784" spans="1:45" x14ac:dyDescent="0.25">
      <c r="A784">
        <v>20</v>
      </c>
      <c r="B784" t="s">
        <v>382</v>
      </c>
      <c r="C784">
        <v>1.2</v>
      </c>
      <c r="D784">
        <v>0.5</v>
      </c>
      <c r="E784" t="s">
        <v>378</v>
      </c>
      <c r="U784">
        <v>683</v>
      </c>
      <c r="V784">
        <v>10</v>
      </c>
      <c r="W784">
        <v>6</v>
      </c>
      <c r="X784">
        <v>13</v>
      </c>
      <c r="Y784">
        <v>16</v>
      </c>
      <c r="Z784">
        <v>11</v>
      </c>
      <c r="AA784">
        <v>21</v>
      </c>
      <c r="AB784">
        <v>3</v>
      </c>
      <c r="AC784">
        <v>2</v>
      </c>
      <c r="AD784">
        <v>4</v>
      </c>
      <c r="AE784">
        <v>1</v>
      </c>
      <c r="AF784">
        <v>9</v>
      </c>
      <c r="AG784">
        <v>19</v>
      </c>
      <c r="AH784">
        <v>17</v>
      </c>
      <c r="AI784">
        <v>14</v>
      </c>
      <c r="AJ784">
        <v>15</v>
      </c>
      <c r="AK784">
        <v>20</v>
      </c>
      <c r="AL784">
        <v>24</v>
      </c>
      <c r="AM784">
        <v>23</v>
      </c>
      <c r="AN784">
        <v>5</v>
      </c>
      <c r="AO784">
        <v>22</v>
      </c>
      <c r="AP784">
        <v>12</v>
      </c>
      <c r="AQ784">
        <v>18</v>
      </c>
      <c r="AR784">
        <v>7</v>
      </c>
      <c r="AS784">
        <v>8</v>
      </c>
    </row>
    <row r="785" spans="1:45" x14ac:dyDescent="0.25">
      <c r="A785">
        <v>20</v>
      </c>
      <c r="B785" t="s">
        <v>398</v>
      </c>
      <c r="C785">
        <v>1.4</v>
      </c>
      <c r="D785">
        <v>0.6</v>
      </c>
      <c r="E785" t="s">
        <v>401</v>
      </c>
      <c r="U785">
        <v>684</v>
      </c>
      <c r="V785">
        <v>19</v>
      </c>
      <c r="W785">
        <v>17</v>
      </c>
      <c r="X785">
        <v>13</v>
      </c>
      <c r="Y785">
        <v>7</v>
      </c>
      <c r="Z785">
        <v>12</v>
      </c>
      <c r="AA785">
        <v>18</v>
      </c>
      <c r="AB785">
        <v>3</v>
      </c>
      <c r="AC785">
        <v>2</v>
      </c>
      <c r="AD785">
        <v>4</v>
      </c>
      <c r="AE785">
        <v>1</v>
      </c>
      <c r="AF785">
        <v>10</v>
      </c>
      <c r="AG785">
        <v>16</v>
      </c>
      <c r="AH785">
        <v>11</v>
      </c>
      <c r="AI785">
        <v>15</v>
      </c>
      <c r="AJ785">
        <v>14</v>
      </c>
      <c r="AK785">
        <v>22</v>
      </c>
      <c r="AL785">
        <v>24</v>
      </c>
      <c r="AM785">
        <v>23</v>
      </c>
      <c r="AN785">
        <v>6</v>
      </c>
      <c r="AO785">
        <v>20</v>
      </c>
      <c r="AP785">
        <v>9</v>
      </c>
      <c r="AQ785">
        <v>21</v>
      </c>
      <c r="AR785">
        <v>8</v>
      </c>
      <c r="AS785">
        <v>5</v>
      </c>
    </row>
    <row r="786" spans="1:45" x14ac:dyDescent="0.25">
      <c r="A786">
        <v>20</v>
      </c>
      <c r="B786" t="s">
        <v>379</v>
      </c>
      <c r="C786">
        <v>0.7</v>
      </c>
      <c r="D786">
        <v>1</v>
      </c>
      <c r="E786" t="s">
        <v>386</v>
      </c>
      <c r="U786">
        <v>685</v>
      </c>
      <c r="V786">
        <v>12</v>
      </c>
      <c r="W786">
        <v>13</v>
      </c>
      <c r="X786">
        <v>14</v>
      </c>
      <c r="Y786">
        <v>17</v>
      </c>
      <c r="Z786">
        <v>7</v>
      </c>
      <c r="AA786">
        <v>20</v>
      </c>
      <c r="AB786">
        <v>5</v>
      </c>
      <c r="AC786">
        <v>2</v>
      </c>
      <c r="AD786">
        <v>4</v>
      </c>
      <c r="AE786">
        <v>1</v>
      </c>
      <c r="AF786">
        <v>9</v>
      </c>
      <c r="AG786">
        <v>22</v>
      </c>
      <c r="AH786">
        <v>15</v>
      </c>
      <c r="AI786">
        <v>10</v>
      </c>
      <c r="AJ786">
        <v>16</v>
      </c>
      <c r="AK786">
        <v>18</v>
      </c>
      <c r="AL786">
        <v>24</v>
      </c>
      <c r="AM786">
        <v>23</v>
      </c>
      <c r="AN786">
        <v>3</v>
      </c>
      <c r="AO786">
        <v>21</v>
      </c>
      <c r="AP786">
        <v>11</v>
      </c>
      <c r="AQ786">
        <v>19</v>
      </c>
      <c r="AR786">
        <v>6</v>
      </c>
      <c r="AS786">
        <v>8</v>
      </c>
    </row>
    <row r="787" spans="1:45" x14ac:dyDescent="0.25">
      <c r="A787">
        <v>20</v>
      </c>
      <c r="B787" t="s">
        <v>381</v>
      </c>
      <c r="C787">
        <v>0.8</v>
      </c>
      <c r="D787">
        <v>1.5</v>
      </c>
      <c r="E787" t="s">
        <v>389</v>
      </c>
      <c r="U787">
        <v>686</v>
      </c>
      <c r="V787">
        <v>15</v>
      </c>
      <c r="W787">
        <v>12</v>
      </c>
      <c r="X787">
        <v>18</v>
      </c>
      <c r="Y787">
        <v>14</v>
      </c>
      <c r="Z787">
        <v>10</v>
      </c>
      <c r="AA787">
        <v>21</v>
      </c>
      <c r="AB787">
        <v>6</v>
      </c>
      <c r="AC787">
        <v>2</v>
      </c>
      <c r="AD787">
        <v>5</v>
      </c>
      <c r="AE787">
        <v>1</v>
      </c>
      <c r="AF787">
        <v>16</v>
      </c>
      <c r="AG787">
        <v>20</v>
      </c>
      <c r="AH787">
        <v>11</v>
      </c>
      <c r="AI787">
        <v>13</v>
      </c>
      <c r="AJ787">
        <v>9</v>
      </c>
      <c r="AK787">
        <v>19</v>
      </c>
      <c r="AL787">
        <v>24</v>
      </c>
      <c r="AM787">
        <v>23</v>
      </c>
      <c r="AN787">
        <v>3</v>
      </c>
      <c r="AO787">
        <v>22</v>
      </c>
      <c r="AP787">
        <v>8</v>
      </c>
      <c r="AQ787">
        <v>17</v>
      </c>
      <c r="AR787">
        <v>7</v>
      </c>
      <c r="AS787">
        <v>4</v>
      </c>
    </row>
    <row r="788" spans="1:45" x14ac:dyDescent="0.25">
      <c r="A788">
        <v>20</v>
      </c>
      <c r="B788" t="s">
        <v>390</v>
      </c>
      <c r="C788">
        <v>1.3</v>
      </c>
      <c r="D788">
        <v>0.8</v>
      </c>
      <c r="E788" t="s">
        <v>392</v>
      </c>
      <c r="U788">
        <v>687</v>
      </c>
      <c r="V788">
        <v>16</v>
      </c>
      <c r="W788">
        <v>9</v>
      </c>
      <c r="X788">
        <v>17</v>
      </c>
      <c r="Y788">
        <v>10</v>
      </c>
      <c r="Z788">
        <v>15</v>
      </c>
      <c r="AA788">
        <v>21</v>
      </c>
      <c r="AB788">
        <v>5</v>
      </c>
      <c r="AC788">
        <v>2</v>
      </c>
      <c r="AD788">
        <v>3</v>
      </c>
      <c r="AE788">
        <v>1</v>
      </c>
      <c r="AF788">
        <v>12</v>
      </c>
      <c r="AG788">
        <v>22</v>
      </c>
      <c r="AH788">
        <v>14</v>
      </c>
      <c r="AI788">
        <v>18</v>
      </c>
      <c r="AJ788">
        <v>13</v>
      </c>
      <c r="AK788">
        <v>20</v>
      </c>
      <c r="AL788">
        <v>23</v>
      </c>
      <c r="AM788">
        <v>24</v>
      </c>
      <c r="AN788">
        <v>4</v>
      </c>
      <c r="AO788">
        <v>19</v>
      </c>
      <c r="AP788">
        <v>7</v>
      </c>
      <c r="AQ788">
        <v>11</v>
      </c>
      <c r="AR788">
        <v>8</v>
      </c>
      <c r="AS788">
        <v>6</v>
      </c>
    </row>
    <row r="789" spans="1:45" x14ac:dyDescent="0.25">
      <c r="A789">
        <v>20</v>
      </c>
      <c r="B789" t="s">
        <v>397</v>
      </c>
      <c r="C789">
        <v>1.8</v>
      </c>
      <c r="D789">
        <v>0.8</v>
      </c>
      <c r="E789" t="s">
        <v>395</v>
      </c>
      <c r="U789">
        <v>688</v>
      </c>
      <c r="V789">
        <v>21</v>
      </c>
      <c r="W789">
        <v>11</v>
      </c>
      <c r="X789">
        <v>12</v>
      </c>
      <c r="Y789">
        <v>10</v>
      </c>
      <c r="Z789">
        <v>16</v>
      </c>
      <c r="AA789">
        <v>18</v>
      </c>
      <c r="AB789">
        <v>6</v>
      </c>
      <c r="AC789">
        <v>2</v>
      </c>
      <c r="AD789">
        <v>3</v>
      </c>
      <c r="AE789">
        <v>1</v>
      </c>
      <c r="AF789">
        <v>8</v>
      </c>
      <c r="AG789">
        <v>20</v>
      </c>
      <c r="AH789">
        <v>14</v>
      </c>
      <c r="AI789">
        <v>13</v>
      </c>
      <c r="AJ789">
        <v>15</v>
      </c>
      <c r="AK789">
        <v>22</v>
      </c>
      <c r="AL789">
        <v>24</v>
      </c>
      <c r="AM789">
        <v>23</v>
      </c>
      <c r="AN789">
        <v>4</v>
      </c>
      <c r="AO789">
        <v>19</v>
      </c>
      <c r="AP789">
        <v>9</v>
      </c>
      <c r="AQ789">
        <v>17</v>
      </c>
      <c r="AR789">
        <v>7</v>
      </c>
      <c r="AS789">
        <v>5</v>
      </c>
    </row>
    <row r="790" spans="1:45" x14ac:dyDescent="0.25">
      <c r="A790">
        <v>20</v>
      </c>
      <c r="B790" t="s">
        <v>394</v>
      </c>
      <c r="C790">
        <v>0.5</v>
      </c>
      <c r="D790">
        <v>2</v>
      </c>
      <c r="E790" t="s">
        <v>399</v>
      </c>
      <c r="U790">
        <v>689</v>
      </c>
      <c r="V790">
        <v>20</v>
      </c>
      <c r="W790">
        <v>12</v>
      </c>
      <c r="X790">
        <v>10</v>
      </c>
      <c r="Y790">
        <v>9</v>
      </c>
      <c r="Z790">
        <v>15</v>
      </c>
      <c r="AA790">
        <v>22</v>
      </c>
      <c r="AB790">
        <v>5</v>
      </c>
      <c r="AC790">
        <v>2</v>
      </c>
      <c r="AD790">
        <v>4</v>
      </c>
      <c r="AE790">
        <v>1</v>
      </c>
      <c r="AF790">
        <v>11</v>
      </c>
      <c r="AG790">
        <v>17</v>
      </c>
      <c r="AH790">
        <v>13</v>
      </c>
      <c r="AI790">
        <v>16</v>
      </c>
      <c r="AJ790">
        <v>14</v>
      </c>
      <c r="AK790">
        <v>21</v>
      </c>
      <c r="AL790">
        <v>23</v>
      </c>
      <c r="AM790">
        <v>24</v>
      </c>
      <c r="AN790">
        <v>3</v>
      </c>
      <c r="AO790">
        <v>18</v>
      </c>
      <c r="AP790">
        <v>7</v>
      </c>
      <c r="AQ790">
        <v>19</v>
      </c>
      <c r="AR790">
        <v>6</v>
      </c>
      <c r="AS790">
        <v>8</v>
      </c>
    </row>
    <row r="791" spans="1:45" x14ac:dyDescent="0.25">
      <c r="A791">
        <v>20</v>
      </c>
      <c r="B791" t="s">
        <v>387</v>
      </c>
      <c r="C791">
        <v>3</v>
      </c>
      <c r="D791">
        <v>1.2</v>
      </c>
      <c r="E791" t="s">
        <v>391</v>
      </c>
      <c r="U791">
        <v>690</v>
      </c>
      <c r="V791">
        <v>15</v>
      </c>
      <c r="W791">
        <v>11</v>
      </c>
      <c r="X791">
        <v>9</v>
      </c>
      <c r="Y791">
        <v>8</v>
      </c>
      <c r="Z791">
        <v>18</v>
      </c>
      <c r="AA791">
        <v>20</v>
      </c>
      <c r="AB791">
        <v>4</v>
      </c>
      <c r="AC791">
        <v>2</v>
      </c>
      <c r="AD791">
        <v>3</v>
      </c>
      <c r="AE791">
        <v>1</v>
      </c>
      <c r="AF791">
        <v>14</v>
      </c>
      <c r="AG791">
        <v>19</v>
      </c>
      <c r="AH791">
        <v>10</v>
      </c>
      <c r="AI791">
        <v>16</v>
      </c>
      <c r="AJ791">
        <v>12</v>
      </c>
      <c r="AK791">
        <v>22</v>
      </c>
      <c r="AL791">
        <v>23</v>
      </c>
      <c r="AM791">
        <v>24</v>
      </c>
      <c r="AN791">
        <v>5</v>
      </c>
      <c r="AO791">
        <v>21</v>
      </c>
      <c r="AP791">
        <v>13</v>
      </c>
      <c r="AQ791">
        <v>17</v>
      </c>
      <c r="AR791">
        <v>6</v>
      </c>
      <c r="AS791">
        <v>7</v>
      </c>
    </row>
    <row r="792" spans="1:45" x14ac:dyDescent="0.25">
      <c r="A792">
        <v>20</v>
      </c>
      <c r="B792" t="s">
        <v>393</v>
      </c>
      <c r="C792">
        <v>0.8</v>
      </c>
      <c r="D792">
        <v>0.8</v>
      </c>
      <c r="E792" t="s">
        <v>384</v>
      </c>
      <c r="U792">
        <v>691</v>
      </c>
      <c r="V792">
        <v>7</v>
      </c>
      <c r="W792">
        <v>10</v>
      </c>
      <c r="X792">
        <v>16</v>
      </c>
      <c r="Y792">
        <v>17</v>
      </c>
      <c r="Z792">
        <v>8</v>
      </c>
      <c r="AA792">
        <v>21</v>
      </c>
      <c r="AB792">
        <v>12</v>
      </c>
      <c r="AC792">
        <v>2</v>
      </c>
      <c r="AD792">
        <v>4</v>
      </c>
      <c r="AE792">
        <v>1</v>
      </c>
      <c r="AF792">
        <v>13</v>
      </c>
      <c r="AG792">
        <v>20</v>
      </c>
      <c r="AH792">
        <v>15</v>
      </c>
      <c r="AI792">
        <v>14</v>
      </c>
      <c r="AJ792">
        <v>6</v>
      </c>
      <c r="AK792">
        <v>19</v>
      </c>
      <c r="AL792">
        <v>24</v>
      </c>
      <c r="AM792">
        <v>23</v>
      </c>
      <c r="AN792">
        <v>3</v>
      </c>
      <c r="AO792">
        <v>22</v>
      </c>
      <c r="AP792">
        <v>11</v>
      </c>
      <c r="AQ792">
        <v>18</v>
      </c>
      <c r="AR792">
        <v>9</v>
      </c>
      <c r="AS792">
        <v>5</v>
      </c>
    </row>
    <row r="793" spans="1:45" x14ac:dyDescent="0.25">
      <c r="A793">
        <v>20</v>
      </c>
      <c r="B793" t="s">
        <v>383</v>
      </c>
      <c r="C793">
        <v>0.4</v>
      </c>
      <c r="D793">
        <v>1.1000000000000001</v>
      </c>
      <c r="E793" t="s">
        <v>380</v>
      </c>
      <c r="U793">
        <v>692</v>
      </c>
      <c r="V793">
        <v>14</v>
      </c>
      <c r="W793">
        <v>8</v>
      </c>
      <c r="X793">
        <v>17</v>
      </c>
      <c r="Y793">
        <v>15</v>
      </c>
      <c r="Z793">
        <v>16</v>
      </c>
      <c r="AA793">
        <v>18</v>
      </c>
      <c r="AB793">
        <v>7</v>
      </c>
      <c r="AC793">
        <v>2</v>
      </c>
      <c r="AD793">
        <v>3</v>
      </c>
      <c r="AE793">
        <v>1</v>
      </c>
      <c r="AF793">
        <v>19</v>
      </c>
      <c r="AG793">
        <v>20</v>
      </c>
      <c r="AH793">
        <v>10</v>
      </c>
      <c r="AI793">
        <v>9</v>
      </c>
      <c r="AJ793">
        <v>11</v>
      </c>
      <c r="AK793">
        <v>21</v>
      </c>
      <c r="AL793">
        <v>24</v>
      </c>
      <c r="AM793">
        <v>23</v>
      </c>
      <c r="AN793">
        <v>6</v>
      </c>
      <c r="AO793">
        <v>22</v>
      </c>
      <c r="AP793">
        <v>5</v>
      </c>
      <c r="AQ793">
        <v>13</v>
      </c>
      <c r="AR793">
        <v>12</v>
      </c>
      <c r="AS793">
        <v>4</v>
      </c>
    </row>
    <row r="794" spans="1:45" x14ac:dyDescent="0.25">
      <c r="A794">
        <v>20</v>
      </c>
      <c r="B794" t="s">
        <v>400</v>
      </c>
      <c r="C794">
        <v>0.6</v>
      </c>
      <c r="D794">
        <v>0.8</v>
      </c>
      <c r="E794" t="s">
        <v>396</v>
      </c>
      <c r="U794">
        <v>693</v>
      </c>
      <c r="V794">
        <v>14</v>
      </c>
      <c r="W794">
        <v>11</v>
      </c>
      <c r="X794">
        <v>17</v>
      </c>
      <c r="Y794">
        <v>12</v>
      </c>
      <c r="Z794">
        <v>15</v>
      </c>
      <c r="AA794">
        <v>21</v>
      </c>
      <c r="AB794">
        <v>9</v>
      </c>
      <c r="AC794">
        <v>2</v>
      </c>
      <c r="AD794">
        <v>3</v>
      </c>
      <c r="AE794">
        <v>1</v>
      </c>
      <c r="AF794">
        <v>5</v>
      </c>
      <c r="AG794">
        <v>19</v>
      </c>
      <c r="AH794">
        <v>10</v>
      </c>
      <c r="AI794">
        <v>16</v>
      </c>
      <c r="AJ794">
        <v>13</v>
      </c>
      <c r="AK794">
        <v>20</v>
      </c>
      <c r="AL794">
        <v>23</v>
      </c>
      <c r="AM794">
        <v>24</v>
      </c>
      <c r="AN794">
        <v>4</v>
      </c>
      <c r="AO794">
        <v>22</v>
      </c>
      <c r="AP794">
        <v>8</v>
      </c>
      <c r="AQ794">
        <v>18</v>
      </c>
      <c r="AR794">
        <v>7</v>
      </c>
      <c r="AS794">
        <v>6</v>
      </c>
    </row>
    <row r="795" spans="1:45" x14ac:dyDescent="0.25">
      <c r="A795">
        <v>20</v>
      </c>
      <c r="B795" t="s">
        <v>388</v>
      </c>
      <c r="C795">
        <v>0.5</v>
      </c>
      <c r="D795">
        <v>0.9</v>
      </c>
      <c r="E795" t="s">
        <v>385</v>
      </c>
      <c r="U795">
        <v>694</v>
      </c>
      <c r="V795">
        <v>17</v>
      </c>
      <c r="W795">
        <v>11</v>
      </c>
      <c r="X795">
        <v>7</v>
      </c>
      <c r="Y795">
        <v>12</v>
      </c>
      <c r="Z795">
        <v>14</v>
      </c>
      <c r="AA795">
        <v>21</v>
      </c>
      <c r="AB795">
        <v>4</v>
      </c>
      <c r="AC795">
        <v>2</v>
      </c>
      <c r="AD795">
        <v>6</v>
      </c>
      <c r="AE795">
        <v>1</v>
      </c>
      <c r="AF795">
        <v>13</v>
      </c>
      <c r="AG795">
        <v>19</v>
      </c>
      <c r="AH795">
        <v>15</v>
      </c>
      <c r="AI795">
        <v>16</v>
      </c>
      <c r="AJ795">
        <v>8</v>
      </c>
      <c r="AK795">
        <v>22</v>
      </c>
      <c r="AL795">
        <v>24</v>
      </c>
      <c r="AM795">
        <v>23</v>
      </c>
      <c r="AN795">
        <v>3</v>
      </c>
      <c r="AO795">
        <v>20</v>
      </c>
      <c r="AP795">
        <v>10</v>
      </c>
      <c r="AQ795">
        <v>18</v>
      </c>
      <c r="AR795">
        <v>9</v>
      </c>
      <c r="AS795">
        <v>5</v>
      </c>
    </row>
    <row r="796" spans="1:45" x14ac:dyDescent="0.25">
      <c r="A796">
        <v>21</v>
      </c>
      <c r="B796" t="s">
        <v>400</v>
      </c>
      <c r="C796">
        <v>1.5</v>
      </c>
      <c r="D796">
        <v>1.8</v>
      </c>
      <c r="E796" t="s">
        <v>385</v>
      </c>
      <c r="U796">
        <v>695</v>
      </c>
      <c r="V796">
        <v>18</v>
      </c>
      <c r="W796">
        <v>9</v>
      </c>
      <c r="X796">
        <v>17</v>
      </c>
      <c r="Y796">
        <v>10</v>
      </c>
      <c r="Z796">
        <v>13</v>
      </c>
      <c r="AA796">
        <v>22</v>
      </c>
      <c r="AB796">
        <v>5</v>
      </c>
      <c r="AC796">
        <v>2</v>
      </c>
      <c r="AD796">
        <v>3</v>
      </c>
      <c r="AE796">
        <v>1</v>
      </c>
      <c r="AF796">
        <v>11</v>
      </c>
      <c r="AG796">
        <v>19</v>
      </c>
      <c r="AH796">
        <v>14</v>
      </c>
      <c r="AI796">
        <v>15</v>
      </c>
      <c r="AJ796">
        <v>16</v>
      </c>
      <c r="AK796">
        <v>21</v>
      </c>
      <c r="AL796">
        <v>24</v>
      </c>
      <c r="AM796">
        <v>23</v>
      </c>
      <c r="AN796">
        <v>4</v>
      </c>
      <c r="AO796">
        <v>20</v>
      </c>
      <c r="AP796">
        <v>8</v>
      </c>
      <c r="AQ796">
        <v>12</v>
      </c>
      <c r="AR796">
        <v>6</v>
      </c>
      <c r="AS796">
        <v>7</v>
      </c>
    </row>
    <row r="797" spans="1:45" x14ac:dyDescent="0.25">
      <c r="A797">
        <v>21</v>
      </c>
      <c r="B797" t="s">
        <v>397</v>
      </c>
      <c r="C797">
        <v>2.7</v>
      </c>
      <c r="D797">
        <v>0.7</v>
      </c>
      <c r="E797" t="s">
        <v>399</v>
      </c>
      <c r="U797">
        <v>696</v>
      </c>
      <c r="V797">
        <v>10</v>
      </c>
      <c r="W797">
        <v>9</v>
      </c>
      <c r="X797">
        <v>19</v>
      </c>
      <c r="Y797">
        <v>17</v>
      </c>
      <c r="Z797">
        <v>8</v>
      </c>
      <c r="AA797">
        <v>21</v>
      </c>
      <c r="AB797">
        <v>3</v>
      </c>
      <c r="AC797">
        <v>2</v>
      </c>
      <c r="AD797">
        <v>4</v>
      </c>
      <c r="AE797">
        <v>1</v>
      </c>
      <c r="AF797">
        <v>13</v>
      </c>
      <c r="AG797">
        <v>15</v>
      </c>
      <c r="AH797">
        <v>11</v>
      </c>
      <c r="AI797">
        <v>16</v>
      </c>
      <c r="AJ797">
        <v>14</v>
      </c>
      <c r="AK797">
        <v>20</v>
      </c>
      <c r="AL797">
        <v>23</v>
      </c>
      <c r="AM797">
        <v>24</v>
      </c>
      <c r="AN797">
        <v>5</v>
      </c>
      <c r="AO797">
        <v>22</v>
      </c>
      <c r="AP797">
        <v>12</v>
      </c>
      <c r="AQ797">
        <v>18</v>
      </c>
      <c r="AR797">
        <v>7</v>
      </c>
      <c r="AS797">
        <v>6</v>
      </c>
    </row>
    <row r="798" spans="1:45" x14ac:dyDescent="0.25">
      <c r="A798">
        <v>21</v>
      </c>
      <c r="B798" t="s">
        <v>379</v>
      </c>
      <c r="C798">
        <v>1.3</v>
      </c>
      <c r="D798">
        <v>0.8</v>
      </c>
      <c r="E798" t="s">
        <v>380</v>
      </c>
      <c r="U798">
        <v>697</v>
      </c>
      <c r="V798">
        <v>14</v>
      </c>
      <c r="W798">
        <v>17</v>
      </c>
      <c r="X798">
        <v>8</v>
      </c>
      <c r="Y798">
        <v>16</v>
      </c>
      <c r="Z798">
        <v>13</v>
      </c>
      <c r="AA798">
        <v>21</v>
      </c>
      <c r="AB798">
        <v>6</v>
      </c>
      <c r="AC798">
        <v>2</v>
      </c>
      <c r="AD798">
        <v>4</v>
      </c>
      <c r="AE798">
        <v>1</v>
      </c>
      <c r="AF798">
        <v>5</v>
      </c>
      <c r="AG798">
        <v>12</v>
      </c>
      <c r="AH798">
        <v>10</v>
      </c>
      <c r="AI798">
        <v>20</v>
      </c>
      <c r="AJ798">
        <v>11</v>
      </c>
      <c r="AK798">
        <v>22</v>
      </c>
      <c r="AL798">
        <v>23</v>
      </c>
      <c r="AM798">
        <v>24</v>
      </c>
      <c r="AN798">
        <v>3</v>
      </c>
      <c r="AO798">
        <v>19</v>
      </c>
      <c r="AP798">
        <v>15</v>
      </c>
      <c r="AQ798">
        <v>18</v>
      </c>
      <c r="AR798">
        <v>9</v>
      </c>
      <c r="AS798">
        <v>7</v>
      </c>
    </row>
    <row r="799" spans="1:45" x14ac:dyDescent="0.25">
      <c r="A799">
        <v>21</v>
      </c>
      <c r="B799" t="s">
        <v>394</v>
      </c>
      <c r="C799">
        <v>0.1</v>
      </c>
      <c r="D799">
        <v>0.5</v>
      </c>
      <c r="E799" t="s">
        <v>401</v>
      </c>
      <c r="U799">
        <v>698</v>
      </c>
      <c r="V799">
        <v>19</v>
      </c>
      <c r="W799">
        <v>17</v>
      </c>
      <c r="X799">
        <v>15</v>
      </c>
      <c r="Y799">
        <v>12</v>
      </c>
      <c r="Z799">
        <v>13</v>
      </c>
      <c r="AA799">
        <v>20</v>
      </c>
      <c r="AB799">
        <v>7</v>
      </c>
      <c r="AC799">
        <v>2</v>
      </c>
      <c r="AD799">
        <v>4</v>
      </c>
      <c r="AE799">
        <v>1</v>
      </c>
      <c r="AF799">
        <v>9</v>
      </c>
      <c r="AG799">
        <v>14</v>
      </c>
      <c r="AH799">
        <v>8</v>
      </c>
      <c r="AI799">
        <v>10</v>
      </c>
      <c r="AJ799">
        <v>18</v>
      </c>
      <c r="AK799">
        <v>22</v>
      </c>
      <c r="AL799">
        <v>24</v>
      </c>
      <c r="AM799">
        <v>23</v>
      </c>
      <c r="AN799">
        <v>3</v>
      </c>
      <c r="AO799">
        <v>21</v>
      </c>
      <c r="AP799">
        <v>6</v>
      </c>
      <c r="AQ799">
        <v>16</v>
      </c>
      <c r="AR799">
        <v>11</v>
      </c>
      <c r="AS799">
        <v>5</v>
      </c>
    </row>
    <row r="800" spans="1:45" x14ac:dyDescent="0.25">
      <c r="A800">
        <v>21</v>
      </c>
      <c r="B800" t="s">
        <v>383</v>
      </c>
      <c r="C800">
        <v>0.6</v>
      </c>
      <c r="D800">
        <v>0.5</v>
      </c>
      <c r="E800" t="s">
        <v>392</v>
      </c>
      <c r="U800">
        <v>699</v>
      </c>
      <c r="V800">
        <v>13</v>
      </c>
      <c r="W800">
        <v>14</v>
      </c>
      <c r="X800">
        <v>17</v>
      </c>
      <c r="Y800">
        <v>18</v>
      </c>
      <c r="Z800">
        <v>15</v>
      </c>
      <c r="AA800">
        <v>23</v>
      </c>
      <c r="AB800">
        <v>5</v>
      </c>
      <c r="AC800">
        <v>2</v>
      </c>
      <c r="AD800">
        <v>4</v>
      </c>
      <c r="AE800">
        <v>1</v>
      </c>
      <c r="AF800">
        <v>9</v>
      </c>
      <c r="AG800">
        <v>19</v>
      </c>
      <c r="AH800">
        <v>10</v>
      </c>
      <c r="AI800">
        <v>12</v>
      </c>
      <c r="AJ800">
        <v>16</v>
      </c>
      <c r="AK800">
        <v>20</v>
      </c>
      <c r="AL800">
        <v>24</v>
      </c>
      <c r="AM800">
        <v>22</v>
      </c>
      <c r="AN800">
        <v>3</v>
      </c>
      <c r="AO800">
        <v>21</v>
      </c>
      <c r="AP800">
        <v>8</v>
      </c>
      <c r="AQ800">
        <v>11</v>
      </c>
      <c r="AR800">
        <v>7</v>
      </c>
      <c r="AS800">
        <v>6</v>
      </c>
    </row>
    <row r="801" spans="1:45" x14ac:dyDescent="0.25">
      <c r="A801">
        <v>21</v>
      </c>
      <c r="B801" t="s">
        <v>398</v>
      </c>
      <c r="C801">
        <v>1.2</v>
      </c>
      <c r="D801">
        <v>0.6</v>
      </c>
      <c r="E801" t="s">
        <v>386</v>
      </c>
      <c r="U801">
        <v>700</v>
      </c>
      <c r="V801">
        <v>20</v>
      </c>
      <c r="W801">
        <v>10</v>
      </c>
      <c r="X801">
        <v>11</v>
      </c>
      <c r="Y801">
        <v>14</v>
      </c>
      <c r="Z801">
        <v>16</v>
      </c>
      <c r="AA801">
        <v>21</v>
      </c>
      <c r="AB801">
        <v>6</v>
      </c>
      <c r="AC801">
        <v>2</v>
      </c>
      <c r="AD801">
        <v>4</v>
      </c>
      <c r="AE801">
        <v>1</v>
      </c>
      <c r="AF801">
        <v>12</v>
      </c>
      <c r="AG801">
        <v>15</v>
      </c>
      <c r="AH801">
        <v>13</v>
      </c>
      <c r="AI801">
        <v>17</v>
      </c>
      <c r="AJ801">
        <v>18</v>
      </c>
      <c r="AK801">
        <v>23</v>
      </c>
      <c r="AL801">
        <v>24</v>
      </c>
      <c r="AM801">
        <v>22</v>
      </c>
      <c r="AN801">
        <v>3</v>
      </c>
      <c r="AO801">
        <v>19</v>
      </c>
      <c r="AP801">
        <v>7</v>
      </c>
      <c r="AQ801">
        <v>9</v>
      </c>
      <c r="AR801">
        <v>5</v>
      </c>
      <c r="AS801">
        <v>8</v>
      </c>
    </row>
    <row r="802" spans="1:45" x14ac:dyDescent="0.25">
      <c r="A802">
        <v>21</v>
      </c>
      <c r="B802" t="s">
        <v>390</v>
      </c>
      <c r="C802">
        <v>1.6</v>
      </c>
      <c r="D802">
        <v>1.4</v>
      </c>
      <c r="E802" t="s">
        <v>395</v>
      </c>
      <c r="U802">
        <v>701</v>
      </c>
      <c r="V802">
        <v>18</v>
      </c>
      <c r="W802">
        <v>11</v>
      </c>
      <c r="X802">
        <v>14</v>
      </c>
      <c r="Y802">
        <v>10</v>
      </c>
      <c r="Z802">
        <v>19</v>
      </c>
      <c r="AA802">
        <v>22</v>
      </c>
      <c r="AB802">
        <v>5</v>
      </c>
      <c r="AC802">
        <v>3</v>
      </c>
      <c r="AD802">
        <v>2</v>
      </c>
      <c r="AE802">
        <v>1</v>
      </c>
      <c r="AF802">
        <v>9</v>
      </c>
      <c r="AG802">
        <v>15</v>
      </c>
      <c r="AH802">
        <v>7</v>
      </c>
      <c r="AI802">
        <v>20</v>
      </c>
      <c r="AJ802">
        <v>16</v>
      </c>
      <c r="AK802">
        <v>17</v>
      </c>
      <c r="AL802">
        <v>23</v>
      </c>
      <c r="AM802">
        <v>24</v>
      </c>
      <c r="AN802">
        <v>4</v>
      </c>
      <c r="AO802">
        <v>21</v>
      </c>
      <c r="AP802">
        <v>12</v>
      </c>
      <c r="AQ802">
        <v>13</v>
      </c>
      <c r="AR802">
        <v>8</v>
      </c>
      <c r="AS802">
        <v>6</v>
      </c>
    </row>
    <row r="803" spans="1:45" x14ac:dyDescent="0.25">
      <c r="A803">
        <v>21</v>
      </c>
      <c r="B803" t="s">
        <v>387</v>
      </c>
      <c r="C803">
        <v>2</v>
      </c>
      <c r="D803">
        <v>1.3</v>
      </c>
      <c r="E803" t="s">
        <v>389</v>
      </c>
      <c r="U803">
        <v>702</v>
      </c>
      <c r="V803">
        <v>15</v>
      </c>
      <c r="W803">
        <v>10</v>
      </c>
      <c r="X803">
        <v>8</v>
      </c>
      <c r="Y803">
        <v>11</v>
      </c>
      <c r="Z803">
        <v>16</v>
      </c>
      <c r="AA803">
        <v>21</v>
      </c>
      <c r="AB803">
        <v>5</v>
      </c>
      <c r="AC803">
        <v>2</v>
      </c>
      <c r="AD803">
        <v>4</v>
      </c>
      <c r="AE803">
        <v>1</v>
      </c>
      <c r="AF803">
        <v>6</v>
      </c>
      <c r="AG803">
        <v>18</v>
      </c>
      <c r="AH803">
        <v>12</v>
      </c>
      <c r="AI803">
        <v>19</v>
      </c>
      <c r="AJ803">
        <v>17</v>
      </c>
      <c r="AK803">
        <v>20</v>
      </c>
      <c r="AL803">
        <v>24</v>
      </c>
      <c r="AM803">
        <v>23</v>
      </c>
      <c r="AN803">
        <v>3</v>
      </c>
      <c r="AO803">
        <v>22</v>
      </c>
      <c r="AP803">
        <v>9</v>
      </c>
      <c r="AQ803">
        <v>14</v>
      </c>
      <c r="AR803">
        <v>13</v>
      </c>
      <c r="AS803">
        <v>7</v>
      </c>
    </row>
    <row r="804" spans="1:45" x14ac:dyDescent="0.25">
      <c r="A804">
        <v>21</v>
      </c>
      <c r="B804" t="s">
        <v>381</v>
      </c>
      <c r="C804">
        <v>1</v>
      </c>
      <c r="D804">
        <v>1.9</v>
      </c>
      <c r="E804" t="s">
        <v>378</v>
      </c>
      <c r="U804">
        <v>703</v>
      </c>
      <c r="V804">
        <v>14</v>
      </c>
      <c r="W804">
        <v>10</v>
      </c>
      <c r="X804">
        <v>16</v>
      </c>
      <c r="Y804">
        <v>8</v>
      </c>
      <c r="Z804">
        <v>13</v>
      </c>
      <c r="AA804">
        <v>22</v>
      </c>
      <c r="AB804">
        <v>4</v>
      </c>
      <c r="AC804">
        <v>2</v>
      </c>
      <c r="AD804">
        <v>6</v>
      </c>
      <c r="AE804">
        <v>1</v>
      </c>
      <c r="AF804">
        <v>12</v>
      </c>
      <c r="AG804">
        <v>18</v>
      </c>
      <c r="AH804">
        <v>7</v>
      </c>
      <c r="AI804">
        <v>19</v>
      </c>
      <c r="AJ804">
        <v>9</v>
      </c>
      <c r="AK804">
        <v>21</v>
      </c>
      <c r="AL804">
        <v>23</v>
      </c>
      <c r="AM804">
        <v>24</v>
      </c>
      <c r="AN804">
        <v>3</v>
      </c>
      <c r="AO804">
        <v>20</v>
      </c>
      <c r="AP804">
        <v>15</v>
      </c>
      <c r="AQ804">
        <v>17</v>
      </c>
      <c r="AR804">
        <v>11</v>
      </c>
      <c r="AS804">
        <v>5</v>
      </c>
    </row>
    <row r="805" spans="1:45" x14ac:dyDescent="0.25">
      <c r="A805">
        <v>21</v>
      </c>
      <c r="B805" t="s">
        <v>382</v>
      </c>
      <c r="C805">
        <v>0.6</v>
      </c>
      <c r="D805">
        <v>0.7</v>
      </c>
      <c r="E805" t="s">
        <v>396</v>
      </c>
      <c r="U805">
        <v>704</v>
      </c>
      <c r="V805">
        <v>14</v>
      </c>
      <c r="W805">
        <v>8</v>
      </c>
      <c r="X805">
        <v>18</v>
      </c>
      <c r="Y805">
        <v>17</v>
      </c>
      <c r="Z805">
        <v>12</v>
      </c>
      <c r="AA805">
        <v>20</v>
      </c>
      <c r="AB805">
        <v>5</v>
      </c>
      <c r="AC805">
        <v>1</v>
      </c>
      <c r="AD805">
        <v>4</v>
      </c>
      <c r="AE805">
        <v>2</v>
      </c>
      <c r="AF805">
        <v>11</v>
      </c>
      <c r="AG805">
        <v>19</v>
      </c>
      <c r="AH805">
        <v>10</v>
      </c>
      <c r="AI805">
        <v>15</v>
      </c>
      <c r="AJ805">
        <v>13</v>
      </c>
      <c r="AK805">
        <v>22</v>
      </c>
      <c r="AL805">
        <v>24</v>
      </c>
      <c r="AM805">
        <v>23</v>
      </c>
      <c r="AN805">
        <v>3</v>
      </c>
      <c r="AO805">
        <v>21</v>
      </c>
      <c r="AP805">
        <v>9</v>
      </c>
      <c r="AQ805">
        <v>16</v>
      </c>
      <c r="AR805">
        <v>6</v>
      </c>
      <c r="AS805">
        <v>7</v>
      </c>
    </row>
    <row r="806" spans="1:45" x14ac:dyDescent="0.25">
      <c r="A806">
        <v>21</v>
      </c>
      <c r="B806" t="s">
        <v>393</v>
      </c>
      <c r="C806">
        <v>1.4</v>
      </c>
      <c r="D806">
        <v>0.7</v>
      </c>
      <c r="E806" t="s">
        <v>391</v>
      </c>
      <c r="U806">
        <v>705</v>
      </c>
      <c r="V806">
        <v>17</v>
      </c>
      <c r="W806">
        <v>6</v>
      </c>
      <c r="X806">
        <v>14</v>
      </c>
      <c r="Y806">
        <v>11</v>
      </c>
      <c r="Z806">
        <v>10</v>
      </c>
      <c r="AA806">
        <v>21</v>
      </c>
      <c r="AB806">
        <v>9</v>
      </c>
      <c r="AC806">
        <v>4</v>
      </c>
      <c r="AD806">
        <v>2</v>
      </c>
      <c r="AE806">
        <v>1</v>
      </c>
      <c r="AF806">
        <v>13</v>
      </c>
      <c r="AG806">
        <v>20</v>
      </c>
      <c r="AH806">
        <v>8</v>
      </c>
      <c r="AI806">
        <v>18</v>
      </c>
      <c r="AJ806">
        <v>16</v>
      </c>
      <c r="AK806">
        <v>22</v>
      </c>
      <c r="AL806">
        <v>24</v>
      </c>
      <c r="AM806">
        <v>23</v>
      </c>
      <c r="AN806">
        <v>5</v>
      </c>
      <c r="AO806">
        <v>19</v>
      </c>
      <c r="AP806">
        <v>12</v>
      </c>
      <c r="AQ806">
        <v>15</v>
      </c>
      <c r="AR806">
        <v>7</v>
      </c>
      <c r="AS806">
        <v>3</v>
      </c>
    </row>
    <row r="807" spans="1:45" x14ac:dyDescent="0.25">
      <c r="A807">
        <v>21</v>
      </c>
      <c r="B807" t="s">
        <v>388</v>
      </c>
      <c r="C807">
        <v>1.3</v>
      </c>
      <c r="D807">
        <v>1.2</v>
      </c>
      <c r="E807" t="s">
        <v>384</v>
      </c>
      <c r="U807">
        <v>706</v>
      </c>
      <c r="V807">
        <v>13</v>
      </c>
      <c r="W807">
        <v>8</v>
      </c>
      <c r="X807">
        <v>18</v>
      </c>
      <c r="Y807">
        <v>11</v>
      </c>
      <c r="Z807">
        <v>14</v>
      </c>
      <c r="AA807">
        <v>22</v>
      </c>
      <c r="AB807">
        <v>7</v>
      </c>
      <c r="AC807">
        <v>2</v>
      </c>
      <c r="AD807">
        <v>3</v>
      </c>
      <c r="AE807">
        <v>1</v>
      </c>
      <c r="AF807">
        <v>16</v>
      </c>
      <c r="AG807">
        <v>19</v>
      </c>
      <c r="AH807">
        <v>5</v>
      </c>
      <c r="AI807">
        <v>17</v>
      </c>
      <c r="AJ807">
        <v>12</v>
      </c>
      <c r="AK807">
        <v>21</v>
      </c>
      <c r="AL807">
        <v>24</v>
      </c>
      <c r="AM807">
        <v>23</v>
      </c>
      <c r="AN807">
        <v>6</v>
      </c>
      <c r="AO807">
        <v>20</v>
      </c>
      <c r="AP807">
        <v>10</v>
      </c>
      <c r="AQ807">
        <v>15</v>
      </c>
      <c r="AR807">
        <v>9</v>
      </c>
      <c r="AS807">
        <v>4</v>
      </c>
    </row>
    <row r="808" spans="1:45" x14ac:dyDescent="0.25">
      <c r="A808">
        <v>22</v>
      </c>
      <c r="B808" t="s">
        <v>385</v>
      </c>
      <c r="C808">
        <v>2.1</v>
      </c>
      <c r="D808">
        <v>0.8</v>
      </c>
      <c r="E808" t="s">
        <v>390</v>
      </c>
      <c r="U808">
        <v>707</v>
      </c>
      <c r="V808">
        <v>17</v>
      </c>
      <c r="W808">
        <v>6</v>
      </c>
      <c r="X808">
        <v>10</v>
      </c>
      <c r="Y808">
        <v>8</v>
      </c>
      <c r="Z808">
        <v>9</v>
      </c>
      <c r="AA808">
        <v>21</v>
      </c>
      <c r="AB808">
        <v>13</v>
      </c>
      <c r="AC808">
        <v>1</v>
      </c>
      <c r="AD808">
        <v>5</v>
      </c>
      <c r="AE808">
        <v>2</v>
      </c>
      <c r="AF808">
        <v>12</v>
      </c>
      <c r="AG808">
        <v>20</v>
      </c>
      <c r="AH808">
        <v>15</v>
      </c>
      <c r="AI808">
        <v>14</v>
      </c>
      <c r="AJ808">
        <v>16</v>
      </c>
      <c r="AK808">
        <v>22</v>
      </c>
      <c r="AL808">
        <v>24</v>
      </c>
      <c r="AM808">
        <v>23</v>
      </c>
      <c r="AN808">
        <v>3</v>
      </c>
      <c r="AO808">
        <v>19</v>
      </c>
      <c r="AP808">
        <v>11</v>
      </c>
      <c r="AQ808">
        <v>18</v>
      </c>
      <c r="AR808">
        <v>7</v>
      </c>
      <c r="AS808">
        <v>4</v>
      </c>
    </row>
    <row r="809" spans="1:45" x14ac:dyDescent="0.25">
      <c r="A809">
        <v>22</v>
      </c>
      <c r="B809" t="s">
        <v>391</v>
      </c>
      <c r="C809">
        <v>2.6</v>
      </c>
      <c r="D809">
        <v>1.5</v>
      </c>
      <c r="E809" t="s">
        <v>394</v>
      </c>
      <c r="U809">
        <v>708</v>
      </c>
      <c r="V809">
        <v>14</v>
      </c>
      <c r="W809">
        <v>12</v>
      </c>
      <c r="X809">
        <v>8</v>
      </c>
      <c r="Y809">
        <v>10</v>
      </c>
      <c r="Z809">
        <v>18</v>
      </c>
      <c r="AA809">
        <v>19</v>
      </c>
      <c r="AB809">
        <v>6</v>
      </c>
      <c r="AC809">
        <v>2</v>
      </c>
      <c r="AD809">
        <v>3</v>
      </c>
      <c r="AE809">
        <v>1</v>
      </c>
      <c r="AF809">
        <v>13</v>
      </c>
      <c r="AG809">
        <v>20</v>
      </c>
      <c r="AH809">
        <v>16</v>
      </c>
      <c r="AI809">
        <v>11</v>
      </c>
      <c r="AJ809">
        <v>17</v>
      </c>
      <c r="AK809">
        <v>21</v>
      </c>
      <c r="AL809">
        <v>24</v>
      </c>
      <c r="AM809">
        <v>23</v>
      </c>
      <c r="AN809">
        <v>4</v>
      </c>
      <c r="AO809">
        <v>22</v>
      </c>
      <c r="AP809">
        <v>7</v>
      </c>
      <c r="AQ809">
        <v>15</v>
      </c>
      <c r="AR809">
        <v>9</v>
      </c>
      <c r="AS809">
        <v>5</v>
      </c>
    </row>
    <row r="810" spans="1:45" x14ac:dyDescent="0.25">
      <c r="A810">
        <v>22</v>
      </c>
      <c r="B810" t="s">
        <v>386</v>
      </c>
      <c r="C810">
        <v>1.6</v>
      </c>
      <c r="D810">
        <v>0.5</v>
      </c>
      <c r="E810" t="s">
        <v>382</v>
      </c>
      <c r="U810">
        <v>709</v>
      </c>
      <c r="V810">
        <v>14</v>
      </c>
      <c r="W810">
        <v>13</v>
      </c>
      <c r="X810">
        <v>11</v>
      </c>
      <c r="Y810">
        <v>15</v>
      </c>
      <c r="Z810">
        <v>16</v>
      </c>
      <c r="AA810">
        <v>21</v>
      </c>
      <c r="AB810">
        <v>7</v>
      </c>
      <c r="AC810">
        <v>2</v>
      </c>
      <c r="AD810">
        <v>4</v>
      </c>
      <c r="AE810">
        <v>1</v>
      </c>
      <c r="AF810">
        <v>17</v>
      </c>
      <c r="AG810">
        <v>19</v>
      </c>
      <c r="AH810">
        <v>6</v>
      </c>
      <c r="AI810">
        <v>10</v>
      </c>
      <c r="AJ810">
        <v>8</v>
      </c>
      <c r="AK810">
        <v>22</v>
      </c>
      <c r="AL810">
        <v>23</v>
      </c>
      <c r="AM810">
        <v>24</v>
      </c>
      <c r="AN810">
        <v>3</v>
      </c>
      <c r="AO810">
        <v>20</v>
      </c>
      <c r="AP810">
        <v>9</v>
      </c>
      <c r="AQ810">
        <v>18</v>
      </c>
      <c r="AR810">
        <v>12</v>
      </c>
      <c r="AS810">
        <v>5</v>
      </c>
    </row>
    <row r="811" spans="1:45" x14ac:dyDescent="0.25">
      <c r="A811">
        <v>22</v>
      </c>
      <c r="B811" t="s">
        <v>396</v>
      </c>
      <c r="C811">
        <v>3.9</v>
      </c>
      <c r="D811">
        <v>0.7</v>
      </c>
      <c r="E811" t="s">
        <v>379</v>
      </c>
      <c r="U811">
        <v>710</v>
      </c>
      <c r="V811">
        <v>13</v>
      </c>
      <c r="W811">
        <v>7</v>
      </c>
      <c r="X811">
        <v>12</v>
      </c>
      <c r="Y811">
        <v>14</v>
      </c>
      <c r="Z811">
        <v>10</v>
      </c>
      <c r="AA811">
        <v>21</v>
      </c>
      <c r="AB811">
        <v>9</v>
      </c>
      <c r="AC811">
        <v>2</v>
      </c>
      <c r="AD811">
        <v>3</v>
      </c>
      <c r="AE811">
        <v>1</v>
      </c>
      <c r="AF811">
        <v>11</v>
      </c>
      <c r="AG811">
        <v>22</v>
      </c>
      <c r="AH811">
        <v>15</v>
      </c>
      <c r="AI811">
        <v>17</v>
      </c>
      <c r="AJ811">
        <v>16</v>
      </c>
      <c r="AK811">
        <v>20</v>
      </c>
      <c r="AL811">
        <v>23</v>
      </c>
      <c r="AM811">
        <v>24</v>
      </c>
      <c r="AN811">
        <v>4</v>
      </c>
      <c r="AO811">
        <v>18</v>
      </c>
      <c r="AP811">
        <v>6</v>
      </c>
      <c r="AQ811">
        <v>19</v>
      </c>
      <c r="AR811">
        <v>8</v>
      </c>
      <c r="AS811">
        <v>5</v>
      </c>
    </row>
    <row r="812" spans="1:45" x14ac:dyDescent="0.25">
      <c r="A812">
        <v>22</v>
      </c>
      <c r="B812" t="s">
        <v>384</v>
      </c>
      <c r="C812">
        <v>1.9</v>
      </c>
      <c r="D812">
        <v>0.7</v>
      </c>
      <c r="E812" t="s">
        <v>381</v>
      </c>
      <c r="U812">
        <v>711</v>
      </c>
      <c r="V812">
        <v>18</v>
      </c>
      <c r="W812">
        <v>11</v>
      </c>
      <c r="X812">
        <v>16</v>
      </c>
      <c r="Y812">
        <v>8</v>
      </c>
      <c r="Z812">
        <v>17</v>
      </c>
      <c r="AA812">
        <v>22</v>
      </c>
      <c r="AB812">
        <v>4</v>
      </c>
      <c r="AC812">
        <v>2</v>
      </c>
      <c r="AD812">
        <v>3</v>
      </c>
      <c r="AE812">
        <v>1</v>
      </c>
      <c r="AF812">
        <v>10</v>
      </c>
      <c r="AG812">
        <v>20</v>
      </c>
      <c r="AH812">
        <v>15</v>
      </c>
      <c r="AI812">
        <v>13</v>
      </c>
      <c r="AJ812">
        <v>6</v>
      </c>
      <c r="AK812">
        <v>21</v>
      </c>
      <c r="AL812">
        <v>24</v>
      </c>
      <c r="AM812">
        <v>23</v>
      </c>
      <c r="AN812">
        <v>5</v>
      </c>
      <c r="AO812">
        <v>19</v>
      </c>
      <c r="AP812">
        <v>14</v>
      </c>
      <c r="AQ812">
        <v>12</v>
      </c>
      <c r="AR812">
        <v>9</v>
      </c>
      <c r="AS812">
        <v>7</v>
      </c>
    </row>
    <row r="813" spans="1:45" x14ac:dyDescent="0.25">
      <c r="A813">
        <v>22</v>
      </c>
      <c r="B813" t="s">
        <v>380</v>
      </c>
      <c r="C813">
        <v>1</v>
      </c>
      <c r="D813">
        <v>0.8</v>
      </c>
      <c r="E813" t="s">
        <v>398</v>
      </c>
      <c r="U813">
        <v>712</v>
      </c>
      <c r="V813">
        <v>13</v>
      </c>
      <c r="W813">
        <v>11</v>
      </c>
      <c r="X813">
        <v>10</v>
      </c>
      <c r="Y813">
        <v>15</v>
      </c>
      <c r="Z813">
        <v>14</v>
      </c>
      <c r="AA813">
        <v>21</v>
      </c>
      <c r="AB813">
        <v>4</v>
      </c>
      <c r="AC813">
        <v>2</v>
      </c>
      <c r="AD813">
        <v>3</v>
      </c>
      <c r="AE813">
        <v>1</v>
      </c>
      <c r="AF813">
        <v>9</v>
      </c>
      <c r="AG813">
        <v>19</v>
      </c>
      <c r="AH813">
        <v>12</v>
      </c>
      <c r="AI813">
        <v>18</v>
      </c>
      <c r="AJ813">
        <v>16</v>
      </c>
      <c r="AK813">
        <v>22</v>
      </c>
      <c r="AL813">
        <v>24</v>
      </c>
      <c r="AM813">
        <v>23</v>
      </c>
      <c r="AN813">
        <v>5</v>
      </c>
      <c r="AO813">
        <v>20</v>
      </c>
      <c r="AP813">
        <v>8</v>
      </c>
      <c r="AQ813">
        <v>17</v>
      </c>
      <c r="AR813">
        <v>7</v>
      </c>
      <c r="AS813">
        <v>6</v>
      </c>
    </row>
    <row r="814" spans="1:45" x14ac:dyDescent="0.25">
      <c r="A814">
        <v>22</v>
      </c>
      <c r="B814" t="s">
        <v>395</v>
      </c>
      <c r="C814">
        <v>1.3</v>
      </c>
      <c r="D814">
        <v>0.4</v>
      </c>
      <c r="E814" t="s">
        <v>393</v>
      </c>
      <c r="U814">
        <v>713</v>
      </c>
      <c r="V814">
        <v>13</v>
      </c>
      <c r="W814">
        <v>11</v>
      </c>
      <c r="X814">
        <v>16</v>
      </c>
      <c r="Y814">
        <v>15</v>
      </c>
      <c r="Z814">
        <v>9</v>
      </c>
      <c r="AA814">
        <v>21</v>
      </c>
      <c r="AB814">
        <v>5</v>
      </c>
      <c r="AC814">
        <v>2</v>
      </c>
      <c r="AD814">
        <v>3</v>
      </c>
      <c r="AE814">
        <v>1</v>
      </c>
      <c r="AF814">
        <v>10</v>
      </c>
      <c r="AG814">
        <v>17</v>
      </c>
      <c r="AH814">
        <v>18</v>
      </c>
      <c r="AI814">
        <v>12</v>
      </c>
      <c r="AJ814">
        <v>14</v>
      </c>
      <c r="AK814">
        <v>22</v>
      </c>
      <c r="AL814">
        <v>24</v>
      </c>
      <c r="AM814">
        <v>23</v>
      </c>
      <c r="AN814">
        <v>4</v>
      </c>
      <c r="AO814">
        <v>20</v>
      </c>
      <c r="AP814">
        <v>8</v>
      </c>
      <c r="AQ814">
        <v>19</v>
      </c>
      <c r="AR814">
        <v>7</v>
      </c>
      <c r="AS814">
        <v>6</v>
      </c>
    </row>
    <row r="815" spans="1:45" x14ac:dyDescent="0.25">
      <c r="A815">
        <v>22</v>
      </c>
      <c r="B815" t="s">
        <v>399</v>
      </c>
      <c r="C815">
        <v>1.3</v>
      </c>
      <c r="D815">
        <v>1.1000000000000001</v>
      </c>
      <c r="E815" t="s">
        <v>388</v>
      </c>
      <c r="U815">
        <v>714</v>
      </c>
      <c r="V815">
        <v>18</v>
      </c>
      <c r="W815">
        <v>9</v>
      </c>
      <c r="X815">
        <v>12</v>
      </c>
      <c r="Y815">
        <v>6</v>
      </c>
      <c r="Z815">
        <v>17</v>
      </c>
      <c r="AA815">
        <v>20</v>
      </c>
      <c r="AB815">
        <v>5</v>
      </c>
      <c r="AC815">
        <v>2</v>
      </c>
      <c r="AD815">
        <v>3</v>
      </c>
      <c r="AE815">
        <v>1</v>
      </c>
      <c r="AF815">
        <v>8</v>
      </c>
      <c r="AG815">
        <v>19</v>
      </c>
      <c r="AH815">
        <v>11</v>
      </c>
      <c r="AI815">
        <v>16</v>
      </c>
      <c r="AJ815">
        <v>14</v>
      </c>
      <c r="AK815">
        <v>22</v>
      </c>
      <c r="AL815">
        <v>24</v>
      </c>
      <c r="AM815">
        <v>23</v>
      </c>
      <c r="AN815">
        <v>4</v>
      </c>
      <c r="AO815">
        <v>21</v>
      </c>
      <c r="AP815">
        <v>15</v>
      </c>
      <c r="AQ815">
        <v>7</v>
      </c>
      <c r="AR815">
        <v>10</v>
      </c>
      <c r="AS815">
        <v>13</v>
      </c>
    </row>
    <row r="816" spans="1:45" x14ac:dyDescent="0.25">
      <c r="A816">
        <v>22</v>
      </c>
      <c r="B816" t="s">
        <v>392</v>
      </c>
      <c r="C816">
        <v>2.1</v>
      </c>
      <c r="D816">
        <v>3.3</v>
      </c>
      <c r="E816" t="s">
        <v>400</v>
      </c>
      <c r="U816">
        <v>715</v>
      </c>
      <c r="V816">
        <v>14</v>
      </c>
      <c r="W816">
        <v>8</v>
      </c>
      <c r="X816">
        <v>16</v>
      </c>
      <c r="Y816">
        <v>13</v>
      </c>
      <c r="Z816">
        <v>11</v>
      </c>
      <c r="AA816">
        <v>21</v>
      </c>
      <c r="AB816">
        <v>6</v>
      </c>
      <c r="AC816">
        <v>3</v>
      </c>
      <c r="AD816">
        <v>4</v>
      </c>
      <c r="AE816">
        <v>1</v>
      </c>
      <c r="AF816">
        <v>12</v>
      </c>
      <c r="AG816">
        <v>20</v>
      </c>
      <c r="AH816">
        <v>15</v>
      </c>
      <c r="AI816">
        <v>19</v>
      </c>
      <c r="AJ816">
        <v>9</v>
      </c>
      <c r="AK816">
        <v>17</v>
      </c>
      <c r="AL816">
        <v>23</v>
      </c>
      <c r="AM816">
        <v>24</v>
      </c>
      <c r="AN816">
        <v>2</v>
      </c>
      <c r="AO816">
        <v>22</v>
      </c>
      <c r="AP816">
        <v>7</v>
      </c>
      <c r="AQ816">
        <v>18</v>
      </c>
      <c r="AR816">
        <v>10</v>
      </c>
      <c r="AS816">
        <v>5</v>
      </c>
    </row>
    <row r="817" spans="1:45" x14ac:dyDescent="0.25">
      <c r="A817">
        <v>22</v>
      </c>
      <c r="B817" t="s">
        <v>389</v>
      </c>
      <c r="C817">
        <v>1.4</v>
      </c>
      <c r="D817">
        <v>1.5</v>
      </c>
      <c r="E817" t="s">
        <v>383</v>
      </c>
      <c r="U817">
        <v>716</v>
      </c>
      <c r="V817">
        <v>19</v>
      </c>
      <c r="W817">
        <v>9</v>
      </c>
      <c r="X817">
        <v>12</v>
      </c>
      <c r="Y817">
        <v>11</v>
      </c>
      <c r="Z817">
        <v>14</v>
      </c>
      <c r="AA817">
        <v>20</v>
      </c>
      <c r="AB817">
        <v>6</v>
      </c>
      <c r="AC817">
        <v>3</v>
      </c>
      <c r="AD817">
        <v>4</v>
      </c>
      <c r="AE817">
        <v>1</v>
      </c>
      <c r="AF817">
        <v>17</v>
      </c>
      <c r="AG817">
        <v>18</v>
      </c>
      <c r="AH817">
        <v>13</v>
      </c>
      <c r="AI817">
        <v>15</v>
      </c>
      <c r="AJ817">
        <v>7</v>
      </c>
      <c r="AK817">
        <v>22</v>
      </c>
      <c r="AL817">
        <v>24</v>
      </c>
      <c r="AM817">
        <v>23</v>
      </c>
      <c r="AN817">
        <v>2</v>
      </c>
      <c r="AO817">
        <v>21</v>
      </c>
      <c r="AP817">
        <v>8</v>
      </c>
      <c r="AQ817">
        <v>16</v>
      </c>
      <c r="AR817">
        <v>10</v>
      </c>
      <c r="AS817">
        <v>5</v>
      </c>
    </row>
    <row r="818" spans="1:45" x14ac:dyDescent="0.25">
      <c r="A818">
        <v>22</v>
      </c>
      <c r="B818" t="s">
        <v>401</v>
      </c>
      <c r="C818">
        <v>1.3</v>
      </c>
      <c r="D818">
        <v>0.4</v>
      </c>
      <c r="E818" t="s">
        <v>397</v>
      </c>
      <c r="U818">
        <v>717</v>
      </c>
      <c r="V818">
        <v>14</v>
      </c>
      <c r="W818">
        <v>11</v>
      </c>
      <c r="X818">
        <v>10</v>
      </c>
      <c r="Y818">
        <v>9</v>
      </c>
      <c r="Z818">
        <v>16</v>
      </c>
      <c r="AA818">
        <v>20</v>
      </c>
      <c r="AB818">
        <v>7</v>
      </c>
      <c r="AC818">
        <v>2</v>
      </c>
      <c r="AD818">
        <v>3</v>
      </c>
      <c r="AE818">
        <v>1</v>
      </c>
      <c r="AF818">
        <v>13</v>
      </c>
      <c r="AG818">
        <v>18</v>
      </c>
      <c r="AH818">
        <v>15</v>
      </c>
      <c r="AI818">
        <v>12</v>
      </c>
      <c r="AJ818">
        <v>17</v>
      </c>
      <c r="AK818">
        <v>21</v>
      </c>
      <c r="AL818">
        <v>24</v>
      </c>
      <c r="AM818">
        <v>23</v>
      </c>
      <c r="AN818">
        <v>4</v>
      </c>
      <c r="AO818">
        <v>22</v>
      </c>
      <c r="AP818">
        <v>6</v>
      </c>
      <c r="AQ818">
        <v>19</v>
      </c>
      <c r="AR818">
        <v>8</v>
      </c>
      <c r="AS818">
        <v>5</v>
      </c>
    </row>
    <row r="819" spans="1:45" x14ac:dyDescent="0.25">
      <c r="A819">
        <v>22</v>
      </c>
      <c r="B819" t="s">
        <v>378</v>
      </c>
      <c r="C819">
        <v>0.5</v>
      </c>
      <c r="D819">
        <v>2.2999999999999998</v>
      </c>
      <c r="E819" t="s">
        <v>387</v>
      </c>
      <c r="U819">
        <v>718</v>
      </c>
      <c r="V819">
        <v>13</v>
      </c>
      <c r="W819">
        <v>8</v>
      </c>
      <c r="X819">
        <v>14</v>
      </c>
      <c r="Y819">
        <v>12</v>
      </c>
      <c r="Z819">
        <v>16</v>
      </c>
      <c r="AA819">
        <v>22</v>
      </c>
      <c r="AB819">
        <v>6</v>
      </c>
      <c r="AC819">
        <v>1</v>
      </c>
      <c r="AD819">
        <v>3</v>
      </c>
      <c r="AE819">
        <v>2</v>
      </c>
      <c r="AF819">
        <v>11</v>
      </c>
      <c r="AG819">
        <v>19</v>
      </c>
      <c r="AH819">
        <v>9</v>
      </c>
      <c r="AI819">
        <v>18</v>
      </c>
      <c r="AJ819">
        <v>15</v>
      </c>
      <c r="AK819">
        <v>21</v>
      </c>
      <c r="AL819">
        <v>24</v>
      </c>
      <c r="AM819">
        <v>23</v>
      </c>
      <c r="AN819">
        <v>4</v>
      </c>
      <c r="AO819">
        <v>20</v>
      </c>
      <c r="AP819">
        <v>10</v>
      </c>
      <c r="AQ819">
        <v>17</v>
      </c>
      <c r="AR819">
        <v>7</v>
      </c>
      <c r="AS819">
        <v>5</v>
      </c>
    </row>
    <row r="820" spans="1:45" x14ac:dyDescent="0.25">
      <c r="A820">
        <v>23</v>
      </c>
      <c r="B820" t="s">
        <v>380</v>
      </c>
      <c r="E820" t="s">
        <v>384</v>
      </c>
      <c r="U820">
        <v>719</v>
      </c>
      <c r="V820">
        <v>21</v>
      </c>
      <c r="W820">
        <v>14</v>
      </c>
      <c r="X820">
        <v>15</v>
      </c>
      <c r="Y820">
        <v>8</v>
      </c>
      <c r="Z820">
        <v>13</v>
      </c>
      <c r="AA820">
        <v>19</v>
      </c>
      <c r="AB820">
        <v>5</v>
      </c>
      <c r="AC820">
        <v>3</v>
      </c>
      <c r="AD820">
        <v>2</v>
      </c>
      <c r="AE820">
        <v>1</v>
      </c>
      <c r="AF820">
        <v>12</v>
      </c>
      <c r="AG820">
        <v>18</v>
      </c>
      <c r="AH820">
        <v>10</v>
      </c>
      <c r="AI820">
        <v>20</v>
      </c>
      <c r="AJ820">
        <v>11</v>
      </c>
      <c r="AK820">
        <v>22</v>
      </c>
      <c r="AL820">
        <v>23</v>
      </c>
      <c r="AM820">
        <v>24</v>
      </c>
      <c r="AN820">
        <v>4</v>
      </c>
      <c r="AO820">
        <v>17</v>
      </c>
      <c r="AP820">
        <v>9</v>
      </c>
      <c r="AQ820">
        <v>16</v>
      </c>
      <c r="AR820">
        <v>7</v>
      </c>
      <c r="AS820">
        <v>6</v>
      </c>
    </row>
    <row r="821" spans="1:45" x14ac:dyDescent="0.25">
      <c r="A821">
        <v>23</v>
      </c>
      <c r="B821" t="s">
        <v>399</v>
      </c>
      <c r="E821" t="s">
        <v>392</v>
      </c>
      <c r="U821">
        <v>720</v>
      </c>
      <c r="V821">
        <v>16</v>
      </c>
      <c r="W821">
        <v>10</v>
      </c>
      <c r="X821">
        <v>15</v>
      </c>
      <c r="Y821">
        <v>11</v>
      </c>
      <c r="Z821">
        <v>12</v>
      </c>
      <c r="AA821">
        <v>20</v>
      </c>
      <c r="AB821">
        <v>5</v>
      </c>
      <c r="AC821">
        <v>2</v>
      </c>
      <c r="AD821">
        <v>3</v>
      </c>
      <c r="AE821">
        <v>1</v>
      </c>
      <c r="AF821">
        <v>13</v>
      </c>
      <c r="AG821">
        <v>17</v>
      </c>
      <c r="AH821">
        <v>9</v>
      </c>
      <c r="AI821">
        <v>19</v>
      </c>
      <c r="AJ821">
        <v>14</v>
      </c>
      <c r="AK821">
        <v>22</v>
      </c>
      <c r="AL821">
        <v>24</v>
      </c>
      <c r="AM821">
        <v>23</v>
      </c>
      <c r="AN821">
        <v>4</v>
      </c>
      <c r="AO821">
        <v>21</v>
      </c>
      <c r="AP821">
        <v>6</v>
      </c>
      <c r="AQ821">
        <v>18</v>
      </c>
      <c r="AR821">
        <v>8</v>
      </c>
      <c r="AS821">
        <v>7</v>
      </c>
    </row>
    <row r="822" spans="1:45" x14ac:dyDescent="0.25">
      <c r="A822">
        <v>23</v>
      </c>
      <c r="B822" t="s">
        <v>386</v>
      </c>
      <c r="E822" t="s">
        <v>385</v>
      </c>
      <c r="U822">
        <v>721</v>
      </c>
      <c r="V822">
        <v>18</v>
      </c>
      <c r="W822">
        <v>10</v>
      </c>
      <c r="X822">
        <v>16</v>
      </c>
      <c r="Y822">
        <v>12</v>
      </c>
      <c r="Z822">
        <v>11</v>
      </c>
      <c r="AA822">
        <v>20</v>
      </c>
      <c r="AB822">
        <v>5</v>
      </c>
      <c r="AC822">
        <v>2</v>
      </c>
      <c r="AD822">
        <v>4</v>
      </c>
      <c r="AE822">
        <v>1</v>
      </c>
      <c r="AF822">
        <v>14</v>
      </c>
      <c r="AG822">
        <v>17</v>
      </c>
      <c r="AH822">
        <v>13</v>
      </c>
      <c r="AI822">
        <v>19</v>
      </c>
      <c r="AJ822">
        <v>9</v>
      </c>
      <c r="AK822">
        <v>22</v>
      </c>
      <c r="AL822">
        <v>24</v>
      </c>
      <c r="AM822">
        <v>23</v>
      </c>
      <c r="AN822">
        <v>3</v>
      </c>
      <c r="AO822">
        <v>21</v>
      </c>
      <c r="AP822">
        <v>8</v>
      </c>
      <c r="AQ822">
        <v>15</v>
      </c>
      <c r="AR822">
        <v>7</v>
      </c>
      <c r="AS822">
        <v>6</v>
      </c>
    </row>
    <row r="823" spans="1:45" x14ac:dyDescent="0.25">
      <c r="A823">
        <v>23</v>
      </c>
      <c r="B823" t="s">
        <v>387</v>
      </c>
      <c r="E823" t="s">
        <v>394</v>
      </c>
      <c r="U823">
        <v>722</v>
      </c>
      <c r="V823">
        <v>13</v>
      </c>
      <c r="W823">
        <v>8</v>
      </c>
      <c r="X823">
        <v>20</v>
      </c>
      <c r="Y823">
        <v>12</v>
      </c>
      <c r="Z823">
        <v>14</v>
      </c>
      <c r="AA823">
        <v>21</v>
      </c>
      <c r="AB823">
        <v>6</v>
      </c>
      <c r="AC823">
        <v>2</v>
      </c>
      <c r="AD823">
        <v>5</v>
      </c>
      <c r="AE823">
        <v>1</v>
      </c>
      <c r="AF823">
        <v>10</v>
      </c>
      <c r="AG823">
        <v>18</v>
      </c>
      <c r="AH823">
        <v>15</v>
      </c>
      <c r="AI823">
        <v>17</v>
      </c>
      <c r="AJ823">
        <v>9</v>
      </c>
      <c r="AK823">
        <v>22</v>
      </c>
      <c r="AL823">
        <v>23</v>
      </c>
      <c r="AM823">
        <v>24</v>
      </c>
      <c r="AN823">
        <v>3</v>
      </c>
      <c r="AO823">
        <v>19</v>
      </c>
      <c r="AP823">
        <v>7</v>
      </c>
      <c r="AQ823">
        <v>16</v>
      </c>
      <c r="AR823">
        <v>11</v>
      </c>
      <c r="AS823">
        <v>4</v>
      </c>
    </row>
    <row r="824" spans="1:45" x14ac:dyDescent="0.25">
      <c r="A824">
        <v>23</v>
      </c>
      <c r="B824" t="s">
        <v>393</v>
      </c>
      <c r="E824" t="s">
        <v>396</v>
      </c>
      <c r="U824">
        <v>723</v>
      </c>
      <c r="V824">
        <v>17</v>
      </c>
      <c r="W824">
        <v>10</v>
      </c>
      <c r="X824">
        <v>14</v>
      </c>
      <c r="Y824">
        <v>12</v>
      </c>
      <c r="Z824">
        <v>16</v>
      </c>
      <c r="AA824">
        <v>19</v>
      </c>
      <c r="AB824">
        <v>7</v>
      </c>
      <c r="AC824">
        <v>2</v>
      </c>
      <c r="AD824">
        <v>4</v>
      </c>
      <c r="AE824">
        <v>1</v>
      </c>
      <c r="AF824">
        <v>9</v>
      </c>
      <c r="AG824">
        <v>21</v>
      </c>
      <c r="AH824">
        <v>8</v>
      </c>
      <c r="AI824">
        <v>11</v>
      </c>
      <c r="AJ824">
        <v>15</v>
      </c>
      <c r="AK824">
        <v>22</v>
      </c>
      <c r="AL824">
        <v>24</v>
      </c>
      <c r="AM824">
        <v>23</v>
      </c>
      <c r="AN824">
        <v>3</v>
      </c>
      <c r="AO824">
        <v>20</v>
      </c>
      <c r="AP824">
        <v>13</v>
      </c>
      <c r="AQ824">
        <v>18</v>
      </c>
      <c r="AR824">
        <v>6</v>
      </c>
      <c r="AS824">
        <v>5</v>
      </c>
    </row>
    <row r="825" spans="1:45" x14ac:dyDescent="0.25">
      <c r="A825">
        <v>23</v>
      </c>
      <c r="B825" t="s">
        <v>379</v>
      </c>
      <c r="E825" t="s">
        <v>400</v>
      </c>
      <c r="U825">
        <v>724</v>
      </c>
      <c r="V825">
        <v>11</v>
      </c>
      <c r="W825">
        <v>8</v>
      </c>
      <c r="X825">
        <v>18</v>
      </c>
      <c r="Y825">
        <v>13</v>
      </c>
      <c r="Z825">
        <v>10</v>
      </c>
      <c r="AA825">
        <v>22</v>
      </c>
      <c r="AB825">
        <v>6</v>
      </c>
      <c r="AC825">
        <v>2</v>
      </c>
      <c r="AD825">
        <v>3</v>
      </c>
      <c r="AE825">
        <v>1</v>
      </c>
      <c r="AF825">
        <v>12</v>
      </c>
      <c r="AG825">
        <v>15</v>
      </c>
      <c r="AH825">
        <v>14</v>
      </c>
      <c r="AI825">
        <v>17</v>
      </c>
      <c r="AJ825">
        <v>16</v>
      </c>
      <c r="AK825">
        <v>23</v>
      </c>
      <c r="AL825">
        <v>24</v>
      </c>
      <c r="AM825">
        <v>21</v>
      </c>
      <c r="AN825">
        <v>4</v>
      </c>
      <c r="AO825">
        <v>20</v>
      </c>
      <c r="AP825">
        <v>9</v>
      </c>
      <c r="AQ825">
        <v>19</v>
      </c>
      <c r="AR825">
        <v>7</v>
      </c>
      <c r="AS825">
        <v>5</v>
      </c>
    </row>
    <row r="826" spans="1:45" x14ac:dyDescent="0.25">
      <c r="A826">
        <v>23</v>
      </c>
      <c r="B826" t="s">
        <v>398</v>
      </c>
      <c r="E826" t="s">
        <v>382</v>
      </c>
      <c r="U826">
        <v>725</v>
      </c>
      <c r="V826">
        <v>14</v>
      </c>
      <c r="W826">
        <v>9</v>
      </c>
      <c r="X826">
        <v>16</v>
      </c>
      <c r="Y826">
        <v>12</v>
      </c>
      <c r="Z826">
        <v>10</v>
      </c>
      <c r="AA826">
        <v>21</v>
      </c>
      <c r="AB826">
        <v>6</v>
      </c>
      <c r="AC826">
        <v>3</v>
      </c>
      <c r="AD826">
        <v>2</v>
      </c>
      <c r="AE826">
        <v>1</v>
      </c>
      <c r="AF826">
        <v>15</v>
      </c>
      <c r="AG826">
        <v>19</v>
      </c>
      <c r="AH826">
        <v>13</v>
      </c>
      <c r="AI826">
        <v>17</v>
      </c>
      <c r="AJ826">
        <v>11</v>
      </c>
      <c r="AK826">
        <v>20</v>
      </c>
      <c r="AL826">
        <v>24</v>
      </c>
      <c r="AM826">
        <v>23</v>
      </c>
      <c r="AN826">
        <v>4</v>
      </c>
      <c r="AO826">
        <v>22</v>
      </c>
      <c r="AP826">
        <v>8</v>
      </c>
      <c r="AQ826">
        <v>18</v>
      </c>
      <c r="AR826">
        <v>7</v>
      </c>
      <c r="AS826">
        <v>5</v>
      </c>
    </row>
    <row r="827" spans="1:45" x14ac:dyDescent="0.25">
      <c r="A827">
        <v>23</v>
      </c>
      <c r="B827" t="s">
        <v>395</v>
      </c>
      <c r="E827" t="s">
        <v>381</v>
      </c>
      <c r="U827">
        <v>726</v>
      </c>
      <c r="V827">
        <v>14</v>
      </c>
      <c r="W827">
        <v>11</v>
      </c>
      <c r="X827">
        <v>15</v>
      </c>
      <c r="Y827">
        <v>9</v>
      </c>
      <c r="Z827">
        <v>17</v>
      </c>
      <c r="AA827">
        <v>20</v>
      </c>
      <c r="AB827">
        <v>6</v>
      </c>
      <c r="AC827">
        <v>2</v>
      </c>
      <c r="AD827">
        <v>3</v>
      </c>
      <c r="AE827">
        <v>1</v>
      </c>
      <c r="AF827">
        <v>10</v>
      </c>
      <c r="AG827">
        <v>19</v>
      </c>
      <c r="AH827">
        <v>7</v>
      </c>
      <c r="AI827">
        <v>16</v>
      </c>
      <c r="AJ827">
        <v>12</v>
      </c>
      <c r="AK827">
        <v>22</v>
      </c>
      <c r="AL827">
        <v>24</v>
      </c>
      <c r="AM827">
        <v>23</v>
      </c>
      <c r="AN827">
        <v>4</v>
      </c>
      <c r="AO827">
        <v>21</v>
      </c>
      <c r="AP827">
        <v>13</v>
      </c>
      <c r="AQ827">
        <v>18</v>
      </c>
      <c r="AR827">
        <v>5</v>
      </c>
      <c r="AS827">
        <v>8</v>
      </c>
    </row>
    <row r="828" spans="1:45" x14ac:dyDescent="0.25">
      <c r="A828">
        <v>23</v>
      </c>
      <c r="B828" t="s">
        <v>388</v>
      </c>
      <c r="E828" t="s">
        <v>401</v>
      </c>
      <c r="U828">
        <v>727</v>
      </c>
      <c r="V828">
        <v>18</v>
      </c>
      <c r="W828">
        <v>11</v>
      </c>
      <c r="X828">
        <v>13</v>
      </c>
      <c r="Y828">
        <v>6</v>
      </c>
      <c r="Z828">
        <v>10</v>
      </c>
      <c r="AA828">
        <v>22</v>
      </c>
      <c r="AB828">
        <v>4</v>
      </c>
      <c r="AC828">
        <v>2</v>
      </c>
      <c r="AD828">
        <v>5</v>
      </c>
      <c r="AE828">
        <v>1</v>
      </c>
      <c r="AF828">
        <v>12</v>
      </c>
      <c r="AG828">
        <v>16</v>
      </c>
      <c r="AH828">
        <v>19</v>
      </c>
      <c r="AI828">
        <v>15</v>
      </c>
      <c r="AJ828">
        <v>14</v>
      </c>
      <c r="AK828">
        <v>20</v>
      </c>
      <c r="AL828">
        <v>23</v>
      </c>
      <c r="AM828">
        <v>24</v>
      </c>
      <c r="AN828">
        <v>3</v>
      </c>
      <c r="AO828">
        <v>21</v>
      </c>
      <c r="AP828">
        <v>9</v>
      </c>
      <c r="AQ828">
        <v>17</v>
      </c>
      <c r="AR828">
        <v>8</v>
      </c>
      <c r="AS828">
        <v>7</v>
      </c>
    </row>
    <row r="829" spans="1:45" x14ac:dyDescent="0.25">
      <c r="A829">
        <v>23</v>
      </c>
      <c r="B829" t="s">
        <v>397</v>
      </c>
      <c r="E829" t="s">
        <v>389</v>
      </c>
      <c r="U829">
        <v>728</v>
      </c>
      <c r="V829">
        <v>14</v>
      </c>
      <c r="W829">
        <v>10</v>
      </c>
      <c r="X829">
        <v>18</v>
      </c>
      <c r="Y829">
        <v>8</v>
      </c>
      <c r="Z829">
        <v>15</v>
      </c>
      <c r="AA829">
        <v>22</v>
      </c>
      <c r="AB829">
        <v>6</v>
      </c>
      <c r="AC829">
        <v>2</v>
      </c>
      <c r="AD829">
        <v>3</v>
      </c>
      <c r="AE829">
        <v>1</v>
      </c>
      <c r="AF829">
        <v>7</v>
      </c>
      <c r="AG829">
        <v>21</v>
      </c>
      <c r="AH829">
        <v>16</v>
      </c>
      <c r="AI829">
        <v>13</v>
      </c>
      <c r="AJ829">
        <v>12</v>
      </c>
      <c r="AK829">
        <v>17</v>
      </c>
      <c r="AL829">
        <v>24</v>
      </c>
      <c r="AM829">
        <v>23</v>
      </c>
      <c r="AN829">
        <v>4</v>
      </c>
      <c r="AO829">
        <v>19</v>
      </c>
      <c r="AP829">
        <v>11</v>
      </c>
      <c r="AQ829">
        <v>20</v>
      </c>
      <c r="AR829">
        <v>9</v>
      </c>
      <c r="AS829">
        <v>5</v>
      </c>
    </row>
    <row r="830" spans="1:45" x14ac:dyDescent="0.25">
      <c r="A830">
        <v>23</v>
      </c>
      <c r="B830" t="s">
        <v>390</v>
      </c>
      <c r="E830" t="s">
        <v>383</v>
      </c>
      <c r="U830">
        <v>729</v>
      </c>
      <c r="V830">
        <v>15</v>
      </c>
      <c r="W830">
        <v>12</v>
      </c>
      <c r="X830">
        <v>11</v>
      </c>
      <c r="Y830">
        <v>6</v>
      </c>
      <c r="Z830">
        <v>20</v>
      </c>
      <c r="AA830">
        <v>21</v>
      </c>
      <c r="AB830">
        <v>4</v>
      </c>
      <c r="AC830">
        <v>2</v>
      </c>
      <c r="AD830">
        <v>3</v>
      </c>
      <c r="AE830">
        <v>1</v>
      </c>
      <c r="AF830">
        <v>7</v>
      </c>
      <c r="AG830">
        <v>17</v>
      </c>
      <c r="AH830">
        <v>14</v>
      </c>
      <c r="AI830">
        <v>16</v>
      </c>
      <c r="AJ830">
        <v>13</v>
      </c>
      <c r="AK830">
        <v>22</v>
      </c>
      <c r="AL830">
        <v>24</v>
      </c>
      <c r="AM830">
        <v>23</v>
      </c>
      <c r="AN830">
        <v>10</v>
      </c>
      <c r="AO830">
        <v>19</v>
      </c>
      <c r="AP830">
        <v>5</v>
      </c>
      <c r="AQ830">
        <v>18</v>
      </c>
      <c r="AR830">
        <v>8</v>
      </c>
      <c r="AS830">
        <v>9</v>
      </c>
    </row>
    <row r="831" spans="1:45" x14ac:dyDescent="0.25">
      <c r="A831">
        <v>23</v>
      </c>
      <c r="B831" t="s">
        <v>391</v>
      </c>
      <c r="E831" t="s">
        <v>378</v>
      </c>
      <c r="U831">
        <v>730</v>
      </c>
      <c r="V831">
        <v>16</v>
      </c>
      <c r="W831">
        <v>9</v>
      </c>
      <c r="X831">
        <v>17</v>
      </c>
      <c r="Y831">
        <v>13</v>
      </c>
      <c r="Z831">
        <v>10</v>
      </c>
      <c r="AA831">
        <v>21</v>
      </c>
      <c r="AB831">
        <v>5</v>
      </c>
      <c r="AC831">
        <v>2</v>
      </c>
      <c r="AD831">
        <v>3</v>
      </c>
      <c r="AE831">
        <v>1</v>
      </c>
      <c r="AF831">
        <v>12</v>
      </c>
      <c r="AG831">
        <v>18</v>
      </c>
      <c r="AH831">
        <v>14</v>
      </c>
      <c r="AI831">
        <v>19</v>
      </c>
      <c r="AJ831">
        <v>8</v>
      </c>
      <c r="AK831">
        <v>22</v>
      </c>
      <c r="AL831">
        <v>23</v>
      </c>
      <c r="AM831">
        <v>24</v>
      </c>
      <c r="AN831">
        <v>4</v>
      </c>
      <c r="AO831">
        <v>20</v>
      </c>
      <c r="AP831">
        <v>11</v>
      </c>
      <c r="AQ831">
        <v>15</v>
      </c>
      <c r="AR831">
        <v>7</v>
      </c>
      <c r="AS831">
        <v>6</v>
      </c>
    </row>
    <row r="832" spans="1:45" x14ac:dyDescent="0.25">
      <c r="A832">
        <v>24</v>
      </c>
      <c r="B832" t="s">
        <v>389</v>
      </c>
      <c r="E832" t="s">
        <v>393</v>
      </c>
      <c r="U832">
        <v>731</v>
      </c>
      <c r="V832">
        <v>14</v>
      </c>
      <c r="W832">
        <v>11</v>
      </c>
      <c r="X832">
        <v>7</v>
      </c>
      <c r="Y832">
        <v>9</v>
      </c>
      <c r="Z832">
        <v>8</v>
      </c>
      <c r="AA832">
        <v>21</v>
      </c>
      <c r="AB832">
        <v>5</v>
      </c>
      <c r="AC832">
        <v>2</v>
      </c>
      <c r="AD832">
        <v>3</v>
      </c>
      <c r="AE832">
        <v>1</v>
      </c>
      <c r="AF832">
        <v>18</v>
      </c>
      <c r="AG832">
        <v>22</v>
      </c>
      <c r="AH832">
        <v>15</v>
      </c>
      <c r="AI832">
        <v>16</v>
      </c>
      <c r="AJ832">
        <v>10</v>
      </c>
      <c r="AK832">
        <v>19</v>
      </c>
      <c r="AL832">
        <v>23</v>
      </c>
      <c r="AM832">
        <v>24</v>
      </c>
      <c r="AN832">
        <v>4</v>
      </c>
      <c r="AO832">
        <v>20</v>
      </c>
      <c r="AP832">
        <v>13</v>
      </c>
      <c r="AQ832">
        <v>17</v>
      </c>
      <c r="AR832">
        <v>12</v>
      </c>
      <c r="AS832">
        <v>6</v>
      </c>
    </row>
    <row r="833" spans="1:45" x14ac:dyDescent="0.25">
      <c r="A833">
        <v>24</v>
      </c>
      <c r="B833" t="s">
        <v>400</v>
      </c>
      <c r="E833" t="s">
        <v>380</v>
      </c>
      <c r="U833">
        <v>732</v>
      </c>
      <c r="V833">
        <v>20</v>
      </c>
      <c r="W833">
        <v>12</v>
      </c>
      <c r="X833">
        <v>11</v>
      </c>
      <c r="Y833">
        <v>16</v>
      </c>
      <c r="Z833">
        <v>10</v>
      </c>
      <c r="AA833">
        <v>21</v>
      </c>
      <c r="AB833">
        <v>5</v>
      </c>
      <c r="AC833">
        <v>2</v>
      </c>
      <c r="AD833">
        <v>3</v>
      </c>
      <c r="AE833">
        <v>1</v>
      </c>
      <c r="AF833">
        <v>14</v>
      </c>
      <c r="AG833">
        <v>18</v>
      </c>
      <c r="AH833">
        <v>13</v>
      </c>
      <c r="AI833">
        <v>17</v>
      </c>
      <c r="AJ833">
        <v>15</v>
      </c>
      <c r="AK833">
        <v>22</v>
      </c>
      <c r="AL833">
        <v>24</v>
      </c>
      <c r="AM833">
        <v>23</v>
      </c>
      <c r="AN833">
        <v>4</v>
      </c>
      <c r="AO833">
        <v>19</v>
      </c>
      <c r="AP833">
        <v>9</v>
      </c>
      <c r="AQ833">
        <v>7</v>
      </c>
      <c r="AR833">
        <v>8</v>
      </c>
      <c r="AS833">
        <v>6</v>
      </c>
    </row>
    <row r="834" spans="1:45" x14ac:dyDescent="0.25">
      <c r="A834">
        <v>24</v>
      </c>
      <c r="B834" t="s">
        <v>384</v>
      </c>
      <c r="E834" t="s">
        <v>398</v>
      </c>
      <c r="U834">
        <v>733</v>
      </c>
      <c r="V834">
        <v>20</v>
      </c>
      <c r="W834">
        <v>13</v>
      </c>
      <c r="X834">
        <v>9</v>
      </c>
      <c r="Y834">
        <v>15</v>
      </c>
      <c r="Z834">
        <v>11</v>
      </c>
      <c r="AA834">
        <v>17</v>
      </c>
      <c r="AB834">
        <v>10</v>
      </c>
      <c r="AC834">
        <v>2</v>
      </c>
      <c r="AD834">
        <v>4</v>
      </c>
      <c r="AE834">
        <v>1</v>
      </c>
      <c r="AF834">
        <v>16</v>
      </c>
      <c r="AG834">
        <v>21</v>
      </c>
      <c r="AH834">
        <v>12</v>
      </c>
      <c r="AI834">
        <v>14</v>
      </c>
      <c r="AJ834">
        <v>7</v>
      </c>
      <c r="AK834">
        <v>22</v>
      </c>
      <c r="AL834">
        <v>24</v>
      </c>
      <c r="AM834">
        <v>23</v>
      </c>
      <c r="AN834">
        <v>3</v>
      </c>
      <c r="AO834">
        <v>19</v>
      </c>
      <c r="AP834">
        <v>5</v>
      </c>
      <c r="AQ834">
        <v>18</v>
      </c>
      <c r="AR834">
        <v>8</v>
      </c>
      <c r="AS834">
        <v>6</v>
      </c>
    </row>
    <row r="835" spans="1:45" x14ac:dyDescent="0.25">
      <c r="A835">
        <v>24</v>
      </c>
      <c r="B835" t="s">
        <v>383</v>
      </c>
      <c r="E835" t="s">
        <v>379</v>
      </c>
      <c r="U835">
        <v>734</v>
      </c>
      <c r="V835">
        <v>18</v>
      </c>
      <c r="W835">
        <v>10</v>
      </c>
      <c r="X835">
        <v>11</v>
      </c>
      <c r="Y835">
        <v>14</v>
      </c>
      <c r="Z835">
        <v>12</v>
      </c>
      <c r="AA835">
        <v>22</v>
      </c>
      <c r="AB835">
        <v>5</v>
      </c>
      <c r="AC835">
        <v>2</v>
      </c>
      <c r="AD835">
        <v>4</v>
      </c>
      <c r="AE835">
        <v>1</v>
      </c>
      <c r="AF835">
        <v>13</v>
      </c>
      <c r="AG835">
        <v>17</v>
      </c>
      <c r="AH835">
        <v>15</v>
      </c>
      <c r="AI835">
        <v>8</v>
      </c>
      <c r="AJ835">
        <v>16</v>
      </c>
      <c r="AK835">
        <v>21</v>
      </c>
      <c r="AL835">
        <v>24</v>
      </c>
      <c r="AM835">
        <v>23</v>
      </c>
      <c r="AN835">
        <v>3</v>
      </c>
      <c r="AO835">
        <v>20</v>
      </c>
      <c r="AP835">
        <v>9</v>
      </c>
      <c r="AQ835">
        <v>19</v>
      </c>
      <c r="AR835">
        <v>7</v>
      </c>
      <c r="AS835">
        <v>6</v>
      </c>
    </row>
    <row r="836" spans="1:45" x14ac:dyDescent="0.25">
      <c r="A836">
        <v>24</v>
      </c>
      <c r="B836" t="s">
        <v>394</v>
      </c>
      <c r="E836" t="s">
        <v>388</v>
      </c>
      <c r="U836">
        <v>735</v>
      </c>
      <c r="V836">
        <v>17</v>
      </c>
      <c r="W836">
        <v>10</v>
      </c>
      <c r="X836">
        <v>16</v>
      </c>
      <c r="Y836">
        <v>8</v>
      </c>
      <c r="Z836">
        <v>15</v>
      </c>
      <c r="AA836">
        <v>22</v>
      </c>
      <c r="AB836">
        <v>6</v>
      </c>
      <c r="AC836">
        <v>2</v>
      </c>
      <c r="AD836">
        <v>4</v>
      </c>
      <c r="AE836">
        <v>1</v>
      </c>
      <c r="AF836">
        <v>7</v>
      </c>
      <c r="AG836">
        <v>20</v>
      </c>
      <c r="AH836">
        <v>12</v>
      </c>
      <c r="AI836">
        <v>14</v>
      </c>
      <c r="AJ836">
        <v>13</v>
      </c>
      <c r="AK836">
        <v>23</v>
      </c>
      <c r="AL836">
        <v>24</v>
      </c>
      <c r="AM836">
        <v>21</v>
      </c>
      <c r="AN836">
        <v>3</v>
      </c>
      <c r="AO836">
        <v>19</v>
      </c>
      <c r="AP836">
        <v>9</v>
      </c>
      <c r="AQ836">
        <v>18</v>
      </c>
      <c r="AR836">
        <v>11</v>
      </c>
      <c r="AS836">
        <v>5</v>
      </c>
    </row>
    <row r="837" spans="1:45" x14ac:dyDescent="0.25">
      <c r="A837">
        <v>24</v>
      </c>
      <c r="B837" t="s">
        <v>382</v>
      </c>
      <c r="E837" t="s">
        <v>395</v>
      </c>
      <c r="U837">
        <v>736</v>
      </c>
      <c r="V837">
        <v>19</v>
      </c>
      <c r="W837">
        <v>8</v>
      </c>
      <c r="X837">
        <v>11</v>
      </c>
      <c r="Y837">
        <v>14</v>
      </c>
      <c r="Z837">
        <v>16</v>
      </c>
      <c r="AA837">
        <v>22</v>
      </c>
      <c r="AB837">
        <v>6</v>
      </c>
      <c r="AC837">
        <v>2</v>
      </c>
      <c r="AD837">
        <v>3</v>
      </c>
      <c r="AE837">
        <v>1</v>
      </c>
      <c r="AF837">
        <v>12</v>
      </c>
      <c r="AG837">
        <v>18</v>
      </c>
      <c r="AH837">
        <v>15</v>
      </c>
      <c r="AI837">
        <v>17</v>
      </c>
      <c r="AJ837">
        <v>9</v>
      </c>
      <c r="AK837">
        <v>21</v>
      </c>
      <c r="AL837">
        <v>24</v>
      </c>
      <c r="AM837">
        <v>23</v>
      </c>
      <c r="AN837">
        <v>4</v>
      </c>
      <c r="AO837">
        <v>20</v>
      </c>
      <c r="AP837">
        <v>13</v>
      </c>
      <c r="AQ837">
        <v>10</v>
      </c>
      <c r="AR837">
        <v>5</v>
      </c>
      <c r="AS837">
        <v>7</v>
      </c>
    </row>
    <row r="838" spans="1:45" x14ac:dyDescent="0.25">
      <c r="A838">
        <v>24</v>
      </c>
      <c r="B838" t="s">
        <v>396</v>
      </c>
      <c r="E838" t="s">
        <v>399</v>
      </c>
      <c r="U838">
        <v>737</v>
      </c>
      <c r="V838">
        <v>20</v>
      </c>
      <c r="W838">
        <v>15</v>
      </c>
      <c r="X838">
        <v>16</v>
      </c>
      <c r="Y838">
        <v>9</v>
      </c>
      <c r="Z838">
        <v>12</v>
      </c>
      <c r="AA838">
        <v>18</v>
      </c>
      <c r="AB838">
        <v>5</v>
      </c>
      <c r="AC838">
        <v>3</v>
      </c>
      <c r="AD838">
        <v>2</v>
      </c>
      <c r="AE838">
        <v>1</v>
      </c>
      <c r="AF838">
        <v>10</v>
      </c>
      <c r="AG838">
        <v>17</v>
      </c>
      <c r="AH838">
        <v>13</v>
      </c>
      <c r="AI838">
        <v>14</v>
      </c>
      <c r="AJ838">
        <v>11</v>
      </c>
      <c r="AK838">
        <v>22</v>
      </c>
      <c r="AL838">
        <v>24</v>
      </c>
      <c r="AM838">
        <v>23</v>
      </c>
      <c r="AN838">
        <v>4</v>
      </c>
      <c r="AO838">
        <v>21</v>
      </c>
      <c r="AP838">
        <v>6</v>
      </c>
      <c r="AQ838">
        <v>19</v>
      </c>
      <c r="AR838">
        <v>8</v>
      </c>
      <c r="AS838">
        <v>7</v>
      </c>
    </row>
    <row r="839" spans="1:45" x14ac:dyDescent="0.25">
      <c r="A839">
        <v>24</v>
      </c>
      <c r="B839" t="s">
        <v>378</v>
      </c>
      <c r="E839" t="s">
        <v>397</v>
      </c>
      <c r="U839">
        <v>738</v>
      </c>
      <c r="V839">
        <v>12</v>
      </c>
      <c r="W839">
        <v>8</v>
      </c>
      <c r="X839">
        <v>19</v>
      </c>
      <c r="Y839">
        <v>10</v>
      </c>
      <c r="Z839">
        <v>20</v>
      </c>
      <c r="AA839">
        <v>21</v>
      </c>
      <c r="AB839">
        <v>7</v>
      </c>
      <c r="AC839">
        <v>3</v>
      </c>
      <c r="AD839">
        <v>2</v>
      </c>
      <c r="AE839">
        <v>1</v>
      </c>
      <c r="AF839">
        <v>11</v>
      </c>
      <c r="AG839">
        <v>17</v>
      </c>
      <c r="AH839">
        <v>13</v>
      </c>
      <c r="AI839">
        <v>14</v>
      </c>
      <c r="AJ839">
        <v>15</v>
      </c>
      <c r="AK839">
        <v>22</v>
      </c>
      <c r="AL839">
        <v>24</v>
      </c>
      <c r="AM839">
        <v>23</v>
      </c>
      <c r="AN839">
        <v>4</v>
      </c>
      <c r="AO839">
        <v>18</v>
      </c>
      <c r="AP839">
        <v>9</v>
      </c>
      <c r="AQ839">
        <v>16</v>
      </c>
      <c r="AR839">
        <v>5</v>
      </c>
      <c r="AS839">
        <v>6</v>
      </c>
    </row>
    <row r="840" spans="1:45" x14ac:dyDescent="0.25">
      <c r="A840">
        <v>24</v>
      </c>
      <c r="B840" t="s">
        <v>401</v>
      </c>
      <c r="E840" t="s">
        <v>390</v>
      </c>
      <c r="U840">
        <v>739</v>
      </c>
      <c r="V840">
        <v>17</v>
      </c>
      <c r="W840">
        <v>13</v>
      </c>
      <c r="X840">
        <v>15</v>
      </c>
      <c r="Y840">
        <v>7</v>
      </c>
      <c r="Z840">
        <v>19</v>
      </c>
      <c r="AA840">
        <v>18</v>
      </c>
      <c r="AB840">
        <v>4</v>
      </c>
      <c r="AC840">
        <v>2</v>
      </c>
      <c r="AD840">
        <v>3</v>
      </c>
      <c r="AE840">
        <v>1</v>
      </c>
      <c r="AF840">
        <v>11</v>
      </c>
      <c r="AG840">
        <v>21</v>
      </c>
      <c r="AH840">
        <v>9</v>
      </c>
      <c r="AI840">
        <v>14</v>
      </c>
      <c r="AJ840">
        <v>12</v>
      </c>
      <c r="AK840">
        <v>22</v>
      </c>
      <c r="AL840">
        <v>24</v>
      </c>
      <c r="AM840">
        <v>23</v>
      </c>
      <c r="AN840">
        <v>5</v>
      </c>
      <c r="AO840">
        <v>20</v>
      </c>
      <c r="AP840">
        <v>8</v>
      </c>
      <c r="AQ840">
        <v>16</v>
      </c>
      <c r="AR840">
        <v>10</v>
      </c>
      <c r="AS840">
        <v>6</v>
      </c>
    </row>
    <row r="841" spans="1:45" x14ac:dyDescent="0.25">
      <c r="A841">
        <v>24</v>
      </c>
      <c r="B841" t="s">
        <v>381</v>
      </c>
      <c r="E841" t="s">
        <v>391</v>
      </c>
      <c r="U841">
        <v>740</v>
      </c>
      <c r="V841">
        <v>19</v>
      </c>
      <c r="W841">
        <v>10</v>
      </c>
      <c r="X841">
        <v>12</v>
      </c>
      <c r="Y841">
        <v>11</v>
      </c>
      <c r="Z841">
        <v>16</v>
      </c>
      <c r="AA841">
        <v>22</v>
      </c>
      <c r="AB841">
        <v>6</v>
      </c>
      <c r="AC841">
        <v>2</v>
      </c>
      <c r="AD841">
        <v>4</v>
      </c>
      <c r="AE841">
        <v>1</v>
      </c>
      <c r="AF841">
        <v>7</v>
      </c>
      <c r="AG841">
        <v>21</v>
      </c>
      <c r="AH841">
        <v>8</v>
      </c>
      <c r="AI841">
        <v>14</v>
      </c>
      <c r="AJ841">
        <v>18</v>
      </c>
      <c r="AK841">
        <v>20</v>
      </c>
      <c r="AL841">
        <v>24</v>
      </c>
      <c r="AM841">
        <v>23</v>
      </c>
      <c r="AN841">
        <v>3</v>
      </c>
      <c r="AO841">
        <v>13</v>
      </c>
      <c r="AP841">
        <v>9</v>
      </c>
      <c r="AQ841">
        <v>17</v>
      </c>
      <c r="AR841">
        <v>15</v>
      </c>
      <c r="AS841">
        <v>5</v>
      </c>
    </row>
    <row r="842" spans="1:45" x14ac:dyDescent="0.25">
      <c r="A842">
        <v>24</v>
      </c>
      <c r="B842" t="s">
        <v>392</v>
      </c>
      <c r="E842" t="s">
        <v>386</v>
      </c>
      <c r="U842">
        <v>741</v>
      </c>
      <c r="V842">
        <v>17</v>
      </c>
      <c r="W842">
        <v>14</v>
      </c>
      <c r="X842">
        <v>16</v>
      </c>
      <c r="Y842">
        <v>10</v>
      </c>
      <c r="Z842">
        <v>13</v>
      </c>
      <c r="AA842">
        <v>21</v>
      </c>
      <c r="AB842">
        <v>3</v>
      </c>
      <c r="AC842">
        <v>2</v>
      </c>
      <c r="AD842">
        <v>4</v>
      </c>
      <c r="AE842">
        <v>1</v>
      </c>
      <c r="AF842">
        <v>12</v>
      </c>
      <c r="AG842">
        <v>20</v>
      </c>
      <c r="AH842">
        <v>11</v>
      </c>
      <c r="AI842">
        <v>8</v>
      </c>
      <c r="AJ842">
        <v>18</v>
      </c>
      <c r="AK842">
        <v>22</v>
      </c>
      <c r="AL842">
        <v>24</v>
      </c>
      <c r="AM842">
        <v>23</v>
      </c>
      <c r="AN842">
        <v>5</v>
      </c>
      <c r="AO842">
        <v>19</v>
      </c>
      <c r="AP842">
        <v>6</v>
      </c>
      <c r="AQ842">
        <v>15</v>
      </c>
      <c r="AR842">
        <v>7</v>
      </c>
      <c r="AS842">
        <v>9</v>
      </c>
    </row>
    <row r="843" spans="1:45" x14ac:dyDescent="0.25">
      <c r="A843">
        <v>24</v>
      </c>
      <c r="B843" t="s">
        <v>385</v>
      </c>
      <c r="E843" t="s">
        <v>387</v>
      </c>
      <c r="U843">
        <v>742</v>
      </c>
      <c r="V843">
        <v>15</v>
      </c>
      <c r="W843">
        <v>16</v>
      </c>
      <c r="X843">
        <v>8</v>
      </c>
      <c r="Y843">
        <v>11</v>
      </c>
      <c r="Z843">
        <v>13</v>
      </c>
      <c r="AA843">
        <v>20</v>
      </c>
      <c r="AB843">
        <v>6</v>
      </c>
      <c r="AC843">
        <v>2</v>
      </c>
      <c r="AD843">
        <v>4</v>
      </c>
      <c r="AE843">
        <v>1</v>
      </c>
      <c r="AF843">
        <v>9</v>
      </c>
      <c r="AG843">
        <v>19</v>
      </c>
      <c r="AH843">
        <v>17</v>
      </c>
      <c r="AI843">
        <v>14</v>
      </c>
      <c r="AJ843">
        <v>12</v>
      </c>
      <c r="AK843">
        <v>21</v>
      </c>
      <c r="AL843">
        <v>24</v>
      </c>
      <c r="AM843">
        <v>23</v>
      </c>
      <c r="AN843">
        <v>3</v>
      </c>
      <c r="AO843">
        <v>22</v>
      </c>
      <c r="AP843">
        <v>5</v>
      </c>
      <c r="AQ843">
        <v>18</v>
      </c>
      <c r="AR843">
        <v>10</v>
      </c>
      <c r="AS843">
        <v>7</v>
      </c>
    </row>
    <row r="844" spans="1:45" x14ac:dyDescent="0.25">
      <c r="A844">
        <v>25</v>
      </c>
      <c r="B844" t="s">
        <v>394</v>
      </c>
      <c r="E844" t="s">
        <v>398</v>
      </c>
      <c r="U844">
        <v>743</v>
      </c>
      <c r="V844">
        <v>12</v>
      </c>
      <c r="W844">
        <v>15</v>
      </c>
      <c r="X844">
        <v>16</v>
      </c>
      <c r="Y844">
        <v>14</v>
      </c>
      <c r="Z844">
        <v>11</v>
      </c>
      <c r="AA844">
        <v>21</v>
      </c>
      <c r="AB844">
        <v>10</v>
      </c>
      <c r="AC844">
        <v>2</v>
      </c>
      <c r="AD844">
        <v>3</v>
      </c>
      <c r="AE844">
        <v>1</v>
      </c>
      <c r="AF844">
        <v>9</v>
      </c>
      <c r="AG844">
        <v>20</v>
      </c>
      <c r="AH844">
        <v>5</v>
      </c>
      <c r="AI844">
        <v>18</v>
      </c>
      <c r="AJ844">
        <v>13</v>
      </c>
      <c r="AK844">
        <v>24</v>
      </c>
      <c r="AL844">
        <v>23</v>
      </c>
      <c r="AM844">
        <v>22</v>
      </c>
      <c r="AN844">
        <v>4</v>
      </c>
      <c r="AO844">
        <v>19</v>
      </c>
      <c r="AP844">
        <v>7</v>
      </c>
      <c r="AQ844">
        <v>17</v>
      </c>
      <c r="AR844">
        <v>6</v>
      </c>
      <c r="AS844">
        <v>8</v>
      </c>
    </row>
    <row r="845" spans="1:45" x14ac:dyDescent="0.25">
      <c r="A845">
        <v>25</v>
      </c>
      <c r="B845" t="s">
        <v>382</v>
      </c>
      <c r="E845" t="s">
        <v>399</v>
      </c>
      <c r="U845">
        <v>744</v>
      </c>
      <c r="V845">
        <v>12</v>
      </c>
      <c r="W845">
        <v>7</v>
      </c>
      <c r="X845">
        <v>8</v>
      </c>
      <c r="Y845">
        <v>15</v>
      </c>
      <c r="Z845">
        <v>9</v>
      </c>
      <c r="AA845">
        <v>21</v>
      </c>
      <c r="AB845">
        <v>4</v>
      </c>
      <c r="AC845">
        <v>2</v>
      </c>
      <c r="AD845">
        <v>3</v>
      </c>
      <c r="AE845">
        <v>1</v>
      </c>
      <c r="AF845">
        <v>13</v>
      </c>
      <c r="AG845">
        <v>19</v>
      </c>
      <c r="AH845">
        <v>16</v>
      </c>
      <c r="AI845">
        <v>10</v>
      </c>
      <c r="AJ845">
        <v>17</v>
      </c>
      <c r="AK845">
        <v>22</v>
      </c>
      <c r="AL845">
        <v>24</v>
      </c>
      <c r="AM845">
        <v>23</v>
      </c>
      <c r="AN845">
        <v>5</v>
      </c>
      <c r="AO845">
        <v>20</v>
      </c>
      <c r="AP845">
        <v>14</v>
      </c>
      <c r="AQ845">
        <v>18</v>
      </c>
      <c r="AR845">
        <v>11</v>
      </c>
      <c r="AS845">
        <v>6</v>
      </c>
    </row>
    <row r="846" spans="1:45" x14ac:dyDescent="0.25">
      <c r="A846">
        <v>25</v>
      </c>
      <c r="B846" t="s">
        <v>396</v>
      </c>
      <c r="E846" t="s">
        <v>391</v>
      </c>
      <c r="U846">
        <v>745</v>
      </c>
      <c r="V846">
        <v>13</v>
      </c>
      <c r="W846">
        <v>12</v>
      </c>
      <c r="X846">
        <v>16</v>
      </c>
      <c r="Y846">
        <v>15</v>
      </c>
      <c r="Z846">
        <v>11</v>
      </c>
      <c r="AA846">
        <v>22</v>
      </c>
      <c r="AB846">
        <v>7</v>
      </c>
      <c r="AC846">
        <v>2</v>
      </c>
      <c r="AD846">
        <v>4</v>
      </c>
      <c r="AE846">
        <v>1</v>
      </c>
      <c r="AF846">
        <v>10</v>
      </c>
      <c r="AG846">
        <v>20</v>
      </c>
      <c r="AH846">
        <v>14</v>
      </c>
      <c r="AI846">
        <v>17</v>
      </c>
      <c r="AJ846">
        <v>6</v>
      </c>
      <c r="AK846">
        <v>19</v>
      </c>
      <c r="AL846">
        <v>24</v>
      </c>
      <c r="AM846">
        <v>23</v>
      </c>
      <c r="AN846">
        <v>3</v>
      </c>
      <c r="AO846">
        <v>21</v>
      </c>
      <c r="AP846">
        <v>9</v>
      </c>
      <c r="AQ846">
        <v>18</v>
      </c>
      <c r="AR846">
        <v>5</v>
      </c>
      <c r="AS846">
        <v>8</v>
      </c>
    </row>
    <row r="847" spans="1:45" x14ac:dyDescent="0.25">
      <c r="A847">
        <v>25</v>
      </c>
      <c r="B847" t="s">
        <v>383</v>
      </c>
      <c r="E847" t="s">
        <v>388</v>
      </c>
      <c r="U847">
        <v>746</v>
      </c>
      <c r="V847">
        <v>21</v>
      </c>
      <c r="W847">
        <v>12</v>
      </c>
      <c r="X847">
        <v>15</v>
      </c>
      <c r="Y847">
        <v>8</v>
      </c>
      <c r="Z847">
        <v>14</v>
      </c>
      <c r="AA847">
        <v>22</v>
      </c>
      <c r="AB847">
        <v>6</v>
      </c>
      <c r="AC847">
        <v>2</v>
      </c>
      <c r="AD847">
        <v>4</v>
      </c>
      <c r="AE847">
        <v>1</v>
      </c>
      <c r="AF847">
        <v>11</v>
      </c>
      <c r="AG847">
        <v>20</v>
      </c>
      <c r="AH847">
        <v>13</v>
      </c>
      <c r="AI847">
        <v>18</v>
      </c>
      <c r="AJ847">
        <v>9</v>
      </c>
      <c r="AK847">
        <v>17</v>
      </c>
      <c r="AL847">
        <v>23</v>
      </c>
      <c r="AM847">
        <v>24</v>
      </c>
      <c r="AN847">
        <v>3</v>
      </c>
      <c r="AO847">
        <v>16</v>
      </c>
      <c r="AP847">
        <v>10</v>
      </c>
      <c r="AQ847">
        <v>19</v>
      </c>
      <c r="AR847">
        <v>7</v>
      </c>
      <c r="AS847">
        <v>5</v>
      </c>
    </row>
    <row r="848" spans="1:45" x14ac:dyDescent="0.25">
      <c r="A848">
        <v>25</v>
      </c>
      <c r="B848" t="s">
        <v>378</v>
      </c>
      <c r="E848" t="s">
        <v>380</v>
      </c>
      <c r="U848">
        <v>747</v>
      </c>
      <c r="V848">
        <v>19</v>
      </c>
      <c r="W848">
        <v>14</v>
      </c>
      <c r="X848">
        <v>18</v>
      </c>
      <c r="Y848">
        <v>13</v>
      </c>
      <c r="Z848">
        <v>20</v>
      </c>
      <c r="AA848">
        <v>17</v>
      </c>
      <c r="AB848">
        <v>4</v>
      </c>
      <c r="AC848">
        <v>2</v>
      </c>
      <c r="AD848">
        <v>3</v>
      </c>
      <c r="AE848">
        <v>1</v>
      </c>
      <c r="AF848">
        <v>9</v>
      </c>
      <c r="AG848">
        <v>16</v>
      </c>
      <c r="AH848">
        <v>11</v>
      </c>
      <c r="AI848">
        <v>21</v>
      </c>
      <c r="AJ848">
        <v>12</v>
      </c>
      <c r="AK848">
        <v>22</v>
      </c>
      <c r="AL848">
        <v>24</v>
      </c>
      <c r="AM848">
        <v>23</v>
      </c>
      <c r="AN848">
        <v>6</v>
      </c>
      <c r="AO848">
        <v>15</v>
      </c>
      <c r="AP848">
        <v>10</v>
      </c>
      <c r="AQ848">
        <v>8</v>
      </c>
      <c r="AR848">
        <v>5</v>
      </c>
      <c r="AS848">
        <v>7</v>
      </c>
    </row>
    <row r="849" spans="1:45" x14ac:dyDescent="0.25">
      <c r="A849">
        <v>25</v>
      </c>
      <c r="B849" t="s">
        <v>392</v>
      </c>
      <c r="E849" t="s">
        <v>395</v>
      </c>
      <c r="U849">
        <v>748</v>
      </c>
      <c r="V849">
        <v>17</v>
      </c>
      <c r="W849">
        <v>9</v>
      </c>
      <c r="X849">
        <v>11</v>
      </c>
      <c r="Y849">
        <v>15</v>
      </c>
      <c r="Z849">
        <v>16</v>
      </c>
      <c r="AA849">
        <v>21</v>
      </c>
      <c r="AB849">
        <v>5</v>
      </c>
      <c r="AC849">
        <v>1</v>
      </c>
      <c r="AD849">
        <v>4</v>
      </c>
      <c r="AE849">
        <v>2</v>
      </c>
      <c r="AF849">
        <v>8</v>
      </c>
      <c r="AG849">
        <v>19</v>
      </c>
      <c r="AH849">
        <v>12</v>
      </c>
      <c r="AI849">
        <v>10</v>
      </c>
      <c r="AJ849">
        <v>14</v>
      </c>
      <c r="AK849">
        <v>22</v>
      </c>
      <c r="AL849">
        <v>24</v>
      </c>
      <c r="AM849">
        <v>23</v>
      </c>
      <c r="AN849">
        <v>3</v>
      </c>
      <c r="AO849">
        <v>20</v>
      </c>
      <c r="AP849">
        <v>13</v>
      </c>
      <c r="AQ849">
        <v>18</v>
      </c>
      <c r="AR849">
        <v>7</v>
      </c>
      <c r="AS849">
        <v>6</v>
      </c>
    </row>
    <row r="850" spans="1:45" x14ac:dyDescent="0.25">
      <c r="A850">
        <v>25</v>
      </c>
      <c r="B850" t="s">
        <v>384</v>
      </c>
      <c r="E850" t="s">
        <v>379</v>
      </c>
      <c r="U850">
        <v>749</v>
      </c>
      <c r="V850">
        <v>17</v>
      </c>
      <c r="W850">
        <v>8</v>
      </c>
      <c r="X850">
        <v>18</v>
      </c>
      <c r="Y850">
        <v>10</v>
      </c>
      <c r="Z850">
        <v>11</v>
      </c>
      <c r="AA850">
        <v>22</v>
      </c>
      <c r="AB850">
        <v>7</v>
      </c>
      <c r="AC850">
        <v>2</v>
      </c>
      <c r="AD850">
        <v>6</v>
      </c>
      <c r="AE850">
        <v>1</v>
      </c>
      <c r="AF850">
        <v>12</v>
      </c>
      <c r="AG850">
        <v>20</v>
      </c>
      <c r="AH850">
        <v>14</v>
      </c>
      <c r="AI850">
        <v>16</v>
      </c>
      <c r="AJ850">
        <v>13</v>
      </c>
      <c r="AK850">
        <v>21</v>
      </c>
      <c r="AL850">
        <v>24</v>
      </c>
      <c r="AM850">
        <v>23</v>
      </c>
      <c r="AN850">
        <v>3</v>
      </c>
      <c r="AO850">
        <v>19</v>
      </c>
      <c r="AP850">
        <v>9</v>
      </c>
      <c r="AQ850">
        <v>15</v>
      </c>
      <c r="AR850">
        <v>4</v>
      </c>
      <c r="AS850">
        <v>5</v>
      </c>
    </row>
    <row r="851" spans="1:45" x14ac:dyDescent="0.25">
      <c r="A851">
        <v>25</v>
      </c>
      <c r="B851" t="s">
        <v>400</v>
      </c>
      <c r="E851" t="s">
        <v>397</v>
      </c>
      <c r="U851">
        <v>750</v>
      </c>
      <c r="V851">
        <v>20</v>
      </c>
      <c r="W851">
        <v>9</v>
      </c>
      <c r="X851">
        <v>15</v>
      </c>
      <c r="Y851">
        <v>17</v>
      </c>
      <c r="Z851">
        <v>16</v>
      </c>
      <c r="AA851">
        <v>21</v>
      </c>
      <c r="AB851">
        <v>5</v>
      </c>
      <c r="AC851">
        <v>2</v>
      </c>
      <c r="AD851">
        <v>3</v>
      </c>
      <c r="AE851">
        <v>1</v>
      </c>
      <c r="AF851">
        <v>8</v>
      </c>
      <c r="AG851">
        <v>18</v>
      </c>
      <c r="AH851">
        <v>12</v>
      </c>
      <c r="AI851">
        <v>14</v>
      </c>
      <c r="AJ851">
        <v>10</v>
      </c>
      <c r="AK851">
        <v>22</v>
      </c>
      <c r="AL851">
        <v>24</v>
      </c>
      <c r="AM851">
        <v>23</v>
      </c>
      <c r="AN851">
        <v>4</v>
      </c>
      <c r="AO851">
        <v>19</v>
      </c>
      <c r="AP851">
        <v>13</v>
      </c>
      <c r="AQ851">
        <v>11</v>
      </c>
      <c r="AR851">
        <v>6</v>
      </c>
      <c r="AS851">
        <v>7</v>
      </c>
    </row>
    <row r="852" spans="1:45" x14ac:dyDescent="0.25">
      <c r="A852">
        <v>25</v>
      </c>
      <c r="B852" t="s">
        <v>389</v>
      </c>
      <c r="E852" t="s">
        <v>390</v>
      </c>
      <c r="U852">
        <v>751</v>
      </c>
      <c r="V852">
        <v>19</v>
      </c>
      <c r="W852">
        <v>8</v>
      </c>
      <c r="X852">
        <v>15</v>
      </c>
      <c r="Y852">
        <v>11</v>
      </c>
      <c r="Z852">
        <v>13</v>
      </c>
      <c r="AA852">
        <v>21</v>
      </c>
      <c r="AB852">
        <v>5</v>
      </c>
      <c r="AC852">
        <v>2</v>
      </c>
      <c r="AD852">
        <v>4</v>
      </c>
      <c r="AE852">
        <v>1</v>
      </c>
      <c r="AF852">
        <v>10</v>
      </c>
      <c r="AG852">
        <v>18</v>
      </c>
      <c r="AH852">
        <v>14</v>
      </c>
      <c r="AI852">
        <v>16</v>
      </c>
      <c r="AJ852">
        <v>12</v>
      </c>
      <c r="AK852">
        <v>22</v>
      </c>
      <c r="AL852">
        <v>24</v>
      </c>
      <c r="AM852">
        <v>23</v>
      </c>
      <c r="AN852">
        <v>3</v>
      </c>
      <c r="AO852">
        <v>20</v>
      </c>
      <c r="AP852">
        <v>9</v>
      </c>
      <c r="AQ852">
        <v>17</v>
      </c>
      <c r="AR852">
        <v>7</v>
      </c>
      <c r="AS852">
        <v>6</v>
      </c>
    </row>
    <row r="853" spans="1:45" x14ac:dyDescent="0.25">
      <c r="A853">
        <v>25</v>
      </c>
      <c r="B853" t="s">
        <v>381</v>
      </c>
      <c r="E853" t="s">
        <v>387</v>
      </c>
      <c r="U853">
        <v>752</v>
      </c>
      <c r="V853">
        <v>18</v>
      </c>
      <c r="W853">
        <v>12</v>
      </c>
      <c r="X853">
        <v>21</v>
      </c>
      <c r="Y853">
        <v>15</v>
      </c>
      <c r="Z853">
        <v>9</v>
      </c>
      <c r="AA853">
        <v>20</v>
      </c>
      <c r="AB853">
        <v>6</v>
      </c>
      <c r="AC853">
        <v>3</v>
      </c>
      <c r="AD853">
        <v>2</v>
      </c>
      <c r="AE853">
        <v>1</v>
      </c>
      <c r="AF853">
        <v>14</v>
      </c>
      <c r="AG853">
        <v>16</v>
      </c>
      <c r="AH853">
        <v>11</v>
      </c>
      <c r="AI853">
        <v>13</v>
      </c>
      <c r="AJ853">
        <v>8</v>
      </c>
      <c r="AK853">
        <v>22</v>
      </c>
      <c r="AL853">
        <v>24</v>
      </c>
      <c r="AM853">
        <v>23</v>
      </c>
      <c r="AN853">
        <v>4</v>
      </c>
      <c r="AO853">
        <v>19</v>
      </c>
      <c r="AP853">
        <v>10</v>
      </c>
      <c r="AQ853">
        <v>17</v>
      </c>
      <c r="AR853">
        <v>7</v>
      </c>
      <c r="AS853">
        <v>5</v>
      </c>
    </row>
    <row r="854" spans="1:45" x14ac:dyDescent="0.25">
      <c r="A854">
        <v>25</v>
      </c>
      <c r="B854" t="s">
        <v>385</v>
      </c>
      <c r="E854" t="s">
        <v>393</v>
      </c>
      <c r="U854">
        <v>753</v>
      </c>
      <c r="V854">
        <v>14</v>
      </c>
      <c r="W854">
        <v>10</v>
      </c>
      <c r="X854">
        <v>15</v>
      </c>
      <c r="Y854">
        <v>12</v>
      </c>
      <c r="Z854">
        <v>17</v>
      </c>
      <c r="AA854">
        <v>22</v>
      </c>
      <c r="AB854">
        <v>9</v>
      </c>
      <c r="AC854">
        <v>1</v>
      </c>
      <c r="AD854">
        <v>4</v>
      </c>
      <c r="AE854">
        <v>2</v>
      </c>
      <c r="AF854">
        <v>6</v>
      </c>
      <c r="AG854">
        <v>20</v>
      </c>
      <c r="AH854">
        <v>13</v>
      </c>
      <c r="AI854">
        <v>18</v>
      </c>
      <c r="AJ854">
        <v>16</v>
      </c>
      <c r="AK854">
        <v>21</v>
      </c>
      <c r="AL854">
        <v>24</v>
      </c>
      <c r="AM854">
        <v>23</v>
      </c>
      <c r="AN854">
        <v>3</v>
      </c>
      <c r="AO854">
        <v>19</v>
      </c>
      <c r="AP854">
        <v>8</v>
      </c>
      <c r="AQ854">
        <v>11</v>
      </c>
      <c r="AR854">
        <v>5</v>
      </c>
      <c r="AS854">
        <v>7</v>
      </c>
    </row>
    <row r="855" spans="1:45" x14ac:dyDescent="0.25">
      <c r="A855">
        <v>25</v>
      </c>
      <c r="B855" t="s">
        <v>401</v>
      </c>
      <c r="E855" t="s">
        <v>386</v>
      </c>
      <c r="U855">
        <v>754</v>
      </c>
      <c r="V855">
        <v>15</v>
      </c>
      <c r="W855">
        <v>17</v>
      </c>
      <c r="X855">
        <v>12</v>
      </c>
      <c r="Y855">
        <v>7</v>
      </c>
      <c r="Z855">
        <v>16</v>
      </c>
      <c r="AA855">
        <v>21</v>
      </c>
      <c r="AB855">
        <v>6</v>
      </c>
      <c r="AC855">
        <v>3</v>
      </c>
      <c r="AD855">
        <v>2</v>
      </c>
      <c r="AE855">
        <v>1</v>
      </c>
      <c r="AF855">
        <v>9</v>
      </c>
      <c r="AG855">
        <v>19</v>
      </c>
      <c r="AH855">
        <v>13</v>
      </c>
      <c r="AI855">
        <v>11</v>
      </c>
      <c r="AJ855">
        <v>10</v>
      </c>
      <c r="AK855">
        <v>20</v>
      </c>
      <c r="AL855">
        <v>24</v>
      </c>
      <c r="AM855">
        <v>23</v>
      </c>
      <c r="AN855">
        <v>5</v>
      </c>
      <c r="AO855">
        <v>18</v>
      </c>
      <c r="AP855">
        <v>8</v>
      </c>
      <c r="AQ855">
        <v>22</v>
      </c>
      <c r="AR855">
        <v>14</v>
      </c>
      <c r="AS855">
        <v>4</v>
      </c>
    </row>
    <row r="856" spans="1:45" x14ac:dyDescent="0.25">
      <c r="A856">
        <v>26</v>
      </c>
      <c r="B856" t="s">
        <v>398</v>
      </c>
      <c r="E856" t="s">
        <v>392</v>
      </c>
      <c r="U856">
        <v>755</v>
      </c>
      <c r="V856">
        <v>21</v>
      </c>
      <c r="W856">
        <v>14</v>
      </c>
      <c r="X856">
        <v>13</v>
      </c>
      <c r="Y856">
        <v>15</v>
      </c>
      <c r="Z856">
        <v>16</v>
      </c>
      <c r="AA856">
        <v>22</v>
      </c>
      <c r="AB856">
        <v>7</v>
      </c>
      <c r="AC856">
        <v>2</v>
      </c>
      <c r="AD856">
        <v>3</v>
      </c>
      <c r="AE856">
        <v>1</v>
      </c>
      <c r="AF856">
        <v>11</v>
      </c>
      <c r="AG856">
        <v>20</v>
      </c>
      <c r="AH856">
        <v>9</v>
      </c>
      <c r="AI856">
        <v>12</v>
      </c>
      <c r="AJ856">
        <v>10</v>
      </c>
      <c r="AK856">
        <v>17</v>
      </c>
      <c r="AL856">
        <v>23</v>
      </c>
      <c r="AM856">
        <v>24</v>
      </c>
      <c r="AN856">
        <v>4</v>
      </c>
      <c r="AO856">
        <v>19</v>
      </c>
      <c r="AP856">
        <v>6</v>
      </c>
      <c r="AQ856">
        <v>18</v>
      </c>
      <c r="AR856">
        <v>8</v>
      </c>
      <c r="AS856">
        <v>5</v>
      </c>
    </row>
    <row r="857" spans="1:45" x14ac:dyDescent="0.25">
      <c r="A857">
        <v>26</v>
      </c>
      <c r="B857" t="s">
        <v>391</v>
      </c>
      <c r="E857" t="s">
        <v>400</v>
      </c>
      <c r="U857">
        <v>756</v>
      </c>
      <c r="V857">
        <v>20</v>
      </c>
      <c r="W857">
        <v>5</v>
      </c>
      <c r="X857">
        <v>12</v>
      </c>
      <c r="Y857">
        <v>13</v>
      </c>
      <c r="Z857" t="e">
        <v>#N/A</v>
      </c>
      <c r="AA857">
        <v>16</v>
      </c>
      <c r="AB857">
        <v>7</v>
      </c>
      <c r="AC857">
        <v>2</v>
      </c>
      <c r="AD857">
        <v>3</v>
      </c>
      <c r="AE857">
        <v>1</v>
      </c>
      <c r="AF857">
        <v>10</v>
      </c>
      <c r="AG857">
        <v>18</v>
      </c>
      <c r="AH857">
        <v>19</v>
      </c>
      <c r="AI857">
        <v>11</v>
      </c>
      <c r="AJ857">
        <v>15</v>
      </c>
      <c r="AK857">
        <v>22</v>
      </c>
      <c r="AL857">
        <v>24</v>
      </c>
      <c r="AM857">
        <v>23</v>
      </c>
      <c r="AN857">
        <v>4</v>
      </c>
      <c r="AO857">
        <v>17</v>
      </c>
      <c r="AP857">
        <v>8</v>
      </c>
      <c r="AQ857">
        <v>21</v>
      </c>
      <c r="AR857">
        <v>9</v>
      </c>
      <c r="AS857">
        <v>6</v>
      </c>
    </row>
    <row r="858" spans="1:45" x14ac:dyDescent="0.25">
      <c r="A858">
        <v>26</v>
      </c>
      <c r="B858" t="s">
        <v>397</v>
      </c>
      <c r="E858" t="s">
        <v>385</v>
      </c>
      <c r="U858">
        <v>757</v>
      </c>
      <c r="V858">
        <v>16</v>
      </c>
      <c r="W858">
        <v>12</v>
      </c>
      <c r="X858">
        <v>10</v>
      </c>
      <c r="Y858">
        <v>14</v>
      </c>
      <c r="Z858">
        <v>8</v>
      </c>
      <c r="AA858">
        <v>22</v>
      </c>
      <c r="AB858">
        <v>5</v>
      </c>
      <c r="AC858">
        <v>2</v>
      </c>
      <c r="AD858">
        <v>3</v>
      </c>
      <c r="AE858">
        <v>1</v>
      </c>
      <c r="AF858">
        <v>9</v>
      </c>
      <c r="AG858">
        <v>21</v>
      </c>
      <c r="AH858">
        <v>18</v>
      </c>
      <c r="AI858">
        <v>11</v>
      </c>
      <c r="AJ858">
        <v>15</v>
      </c>
      <c r="AK858">
        <v>19</v>
      </c>
      <c r="AL858">
        <v>24</v>
      </c>
      <c r="AM858">
        <v>23</v>
      </c>
      <c r="AN858">
        <v>4</v>
      </c>
      <c r="AO858">
        <v>20</v>
      </c>
      <c r="AP858">
        <v>7</v>
      </c>
      <c r="AQ858">
        <v>17</v>
      </c>
      <c r="AR858">
        <v>13</v>
      </c>
      <c r="AS858">
        <v>6</v>
      </c>
    </row>
    <row r="859" spans="1:45" x14ac:dyDescent="0.25">
      <c r="A859">
        <v>26</v>
      </c>
      <c r="B859" t="s">
        <v>379</v>
      </c>
      <c r="E859" t="s">
        <v>394</v>
      </c>
      <c r="U859">
        <v>758</v>
      </c>
      <c r="V859">
        <v>15</v>
      </c>
      <c r="W859">
        <v>16</v>
      </c>
      <c r="X859">
        <v>10</v>
      </c>
      <c r="Y859">
        <v>9</v>
      </c>
      <c r="Z859">
        <v>14</v>
      </c>
      <c r="AA859">
        <v>18</v>
      </c>
      <c r="AB859">
        <v>7</v>
      </c>
      <c r="AC859">
        <v>2</v>
      </c>
      <c r="AD859">
        <v>3</v>
      </c>
      <c r="AE859">
        <v>1</v>
      </c>
      <c r="AF859">
        <v>13</v>
      </c>
      <c r="AG859">
        <v>19</v>
      </c>
      <c r="AH859">
        <v>11</v>
      </c>
      <c r="AI859">
        <v>17</v>
      </c>
      <c r="AJ859">
        <v>12</v>
      </c>
      <c r="AK859">
        <v>20</v>
      </c>
      <c r="AL859">
        <v>23</v>
      </c>
      <c r="AM859">
        <v>24</v>
      </c>
      <c r="AN859">
        <v>5</v>
      </c>
      <c r="AO859">
        <v>21</v>
      </c>
      <c r="AP859">
        <v>6</v>
      </c>
      <c r="AQ859">
        <v>22</v>
      </c>
      <c r="AR859">
        <v>8</v>
      </c>
      <c r="AS859">
        <v>4</v>
      </c>
    </row>
    <row r="860" spans="1:45" x14ac:dyDescent="0.25">
      <c r="A860">
        <v>26</v>
      </c>
      <c r="B860" t="s">
        <v>386</v>
      </c>
      <c r="E860" t="s">
        <v>378</v>
      </c>
      <c r="U860">
        <v>759</v>
      </c>
      <c r="V860">
        <v>19</v>
      </c>
      <c r="W860">
        <v>10</v>
      </c>
      <c r="X860">
        <v>16</v>
      </c>
      <c r="Y860">
        <v>18</v>
      </c>
      <c r="Z860">
        <v>12</v>
      </c>
      <c r="AA860">
        <v>21</v>
      </c>
      <c r="AB860">
        <v>5</v>
      </c>
      <c r="AC860">
        <v>2</v>
      </c>
      <c r="AD860">
        <v>3</v>
      </c>
      <c r="AE860">
        <v>1</v>
      </c>
      <c r="AF860">
        <v>14</v>
      </c>
      <c r="AG860">
        <v>17</v>
      </c>
      <c r="AH860">
        <v>7</v>
      </c>
      <c r="AI860">
        <v>11</v>
      </c>
      <c r="AJ860">
        <v>15</v>
      </c>
      <c r="AK860">
        <v>23</v>
      </c>
      <c r="AL860">
        <v>24</v>
      </c>
      <c r="AM860">
        <v>20</v>
      </c>
      <c r="AN860">
        <v>4</v>
      </c>
      <c r="AO860">
        <v>22</v>
      </c>
      <c r="AP860">
        <v>9</v>
      </c>
      <c r="AQ860">
        <v>13</v>
      </c>
      <c r="AR860">
        <v>8</v>
      </c>
      <c r="AS860">
        <v>6</v>
      </c>
    </row>
    <row r="861" spans="1:45" x14ac:dyDescent="0.25">
      <c r="A861">
        <v>26</v>
      </c>
      <c r="B861" t="s">
        <v>390</v>
      </c>
      <c r="E861" t="s">
        <v>396</v>
      </c>
      <c r="U861">
        <v>760</v>
      </c>
      <c r="V861">
        <v>18</v>
      </c>
      <c r="W861">
        <v>13</v>
      </c>
      <c r="X861">
        <v>17</v>
      </c>
      <c r="Y861">
        <v>9</v>
      </c>
      <c r="Z861">
        <v>12</v>
      </c>
      <c r="AA861">
        <v>22</v>
      </c>
      <c r="AB861">
        <v>5</v>
      </c>
      <c r="AC861">
        <v>2</v>
      </c>
      <c r="AD861">
        <v>3</v>
      </c>
      <c r="AE861">
        <v>1</v>
      </c>
      <c r="AF861">
        <v>8</v>
      </c>
      <c r="AG861">
        <v>14</v>
      </c>
      <c r="AH861">
        <v>10</v>
      </c>
      <c r="AI861">
        <v>15</v>
      </c>
      <c r="AJ861">
        <v>11</v>
      </c>
      <c r="AK861">
        <v>21</v>
      </c>
      <c r="AL861">
        <v>23</v>
      </c>
      <c r="AM861">
        <v>24</v>
      </c>
      <c r="AN861">
        <v>4</v>
      </c>
      <c r="AO861">
        <v>19</v>
      </c>
      <c r="AP861">
        <v>7</v>
      </c>
      <c r="AQ861">
        <v>20</v>
      </c>
      <c r="AR861">
        <v>16</v>
      </c>
      <c r="AS861">
        <v>6</v>
      </c>
    </row>
    <row r="862" spans="1:45" x14ac:dyDescent="0.25">
      <c r="A862">
        <v>26</v>
      </c>
      <c r="B862" t="s">
        <v>380</v>
      </c>
      <c r="E862" t="s">
        <v>389</v>
      </c>
      <c r="U862">
        <v>761</v>
      </c>
      <c r="V862">
        <v>19</v>
      </c>
      <c r="W862">
        <v>10</v>
      </c>
      <c r="X862">
        <v>18</v>
      </c>
      <c r="Y862">
        <v>14</v>
      </c>
      <c r="Z862">
        <v>12</v>
      </c>
      <c r="AA862">
        <v>20</v>
      </c>
      <c r="AB862">
        <v>7</v>
      </c>
      <c r="AC862">
        <v>2</v>
      </c>
      <c r="AD862">
        <v>3</v>
      </c>
      <c r="AE862">
        <v>1</v>
      </c>
      <c r="AF862">
        <v>9</v>
      </c>
      <c r="AG862">
        <v>21</v>
      </c>
      <c r="AH862">
        <v>15</v>
      </c>
      <c r="AI862">
        <v>13</v>
      </c>
      <c r="AJ862">
        <v>11</v>
      </c>
      <c r="AK862">
        <v>16</v>
      </c>
      <c r="AL862">
        <v>24</v>
      </c>
      <c r="AM862">
        <v>23</v>
      </c>
      <c r="AN862">
        <v>4</v>
      </c>
      <c r="AO862">
        <v>22</v>
      </c>
      <c r="AP862">
        <v>5</v>
      </c>
      <c r="AQ862">
        <v>17</v>
      </c>
      <c r="AR862">
        <v>8</v>
      </c>
      <c r="AS862">
        <v>6</v>
      </c>
    </row>
    <row r="863" spans="1:45" x14ac:dyDescent="0.25">
      <c r="A863">
        <v>26</v>
      </c>
      <c r="B863" t="s">
        <v>388</v>
      </c>
      <c r="E863" t="s">
        <v>382</v>
      </c>
      <c r="U863">
        <v>762</v>
      </c>
      <c r="V863">
        <v>14</v>
      </c>
      <c r="W863">
        <v>10</v>
      </c>
      <c r="X863">
        <v>18</v>
      </c>
      <c r="Y863">
        <v>11</v>
      </c>
      <c r="Z863">
        <v>20</v>
      </c>
      <c r="AA863">
        <v>21</v>
      </c>
      <c r="AB863">
        <v>4</v>
      </c>
      <c r="AC863">
        <v>2</v>
      </c>
      <c r="AD863">
        <v>3</v>
      </c>
      <c r="AE863">
        <v>1</v>
      </c>
      <c r="AF863">
        <v>8</v>
      </c>
      <c r="AG863">
        <v>16</v>
      </c>
      <c r="AH863">
        <v>12</v>
      </c>
      <c r="AI863">
        <v>13</v>
      </c>
      <c r="AJ863">
        <v>17</v>
      </c>
      <c r="AK863">
        <v>23</v>
      </c>
      <c r="AL863">
        <v>24</v>
      </c>
      <c r="AM863">
        <v>22</v>
      </c>
      <c r="AN863">
        <v>5</v>
      </c>
      <c r="AO863">
        <v>19</v>
      </c>
      <c r="AP863">
        <v>7</v>
      </c>
      <c r="AQ863">
        <v>15</v>
      </c>
      <c r="AR863">
        <v>9</v>
      </c>
      <c r="AS863">
        <v>6</v>
      </c>
    </row>
    <row r="864" spans="1:45" x14ac:dyDescent="0.25">
      <c r="A864">
        <v>26</v>
      </c>
      <c r="B864" t="s">
        <v>387</v>
      </c>
      <c r="E864" t="s">
        <v>383</v>
      </c>
      <c r="U864">
        <v>763</v>
      </c>
      <c r="V864">
        <v>18</v>
      </c>
      <c r="W864">
        <v>10</v>
      </c>
      <c r="X864">
        <v>16</v>
      </c>
      <c r="Y864">
        <v>14</v>
      </c>
      <c r="Z864">
        <v>19</v>
      </c>
      <c r="AA864">
        <v>22</v>
      </c>
      <c r="AB864">
        <v>6</v>
      </c>
      <c r="AC864">
        <v>2</v>
      </c>
      <c r="AD864">
        <v>3</v>
      </c>
      <c r="AE864">
        <v>1</v>
      </c>
      <c r="AF864">
        <v>9</v>
      </c>
      <c r="AG864">
        <v>13</v>
      </c>
      <c r="AH864">
        <v>11</v>
      </c>
      <c r="AI864">
        <v>17</v>
      </c>
      <c r="AJ864">
        <v>12</v>
      </c>
      <c r="AK864">
        <v>20</v>
      </c>
      <c r="AL864">
        <v>24</v>
      </c>
      <c r="AM864">
        <v>23</v>
      </c>
      <c r="AN864">
        <v>4</v>
      </c>
      <c r="AO864">
        <v>21</v>
      </c>
      <c r="AP864">
        <v>8</v>
      </c>
      <c r="AQ864">
        <v>15</v>
      </c>
      <c r="AR864">
        <v>5</v>
      </c>
      <c r="AS864">
        <v>7</v>
      </c>
    </row>
    <row r="865" spans="1:45" x14ac:dyDescent="0.25">
      <c r="A865">
        <v>26</v>
      </c>
      <c r="B865" t="s">
        <v>399</v>
      </c>
      <c r="E865" t="s">
        <v>401</v>
      </c>
      <c r="U865">
        <v>764</v>
      </c>
      <c r="V865">
        <v>15</v>
      </c>
      <c r="W865">
        <v>14</v>
      </c>
      <c r="X865">
        <v>11</v>
      </c>
      <c r="Y865">
        <v>12</v>
      </c>
      <c r="Z865">
        <v>7</v>
      </c>
      <c r="AA865">
        <v>19</v>
      </c>
      <c r="AB865">
        <v>5</v>
      </c>
      <c r="AC865">
        <v>2</v>
      </c>
      <c r="AD865">
        <v>3</v>
      </c>
      <c r="AE865">
        <v>1</v>
      </c>
      <c r="AF865">
        <v>10</v>
      </c>
      <c r="AG865">
        <v>20</v>
      </c>
      <c r="AH865">
        <v>16</v>
      </c>
      <c r="AI865">
        <v>22</v>
      </c>
      <c r="AJ865">
        <v>18</v>
      </c>
      <c r="AK865">
        <v>17</v>
      </c>
      <c r="AL865">
        <v>24</v>
      </c>
      <c r="AM865">
        <v>23</v>
      </c>
      <c r="AN865">
        <v>4</v>
      </c>
      <c r="AO865">
        <v>21</v>
      </c>
      <c r="AP865">
        <v>8</v>
      </c>
      <c r="AQ865">
        <v>13</v>
      </c>
      <c r="AR865">
        <v>9</v>
      </c>
      <c r="AS865">
        <v>6</v>
      </c>
    </row>
    <row r="866" spans="1:45" x14ac:dyDescent="0.25">
      <c r="A866">
        <v>26</v>
      </c>
      <c r="B866" t="s">
        <v>393</v>
      </c>
      <c r="E866" t="s">
        <v>381</v>
      </c>
      <c r="U866">
        <v>765</v>
      </c>
      <c r="V866">
        <v>17</v>
      </c>
      <c r="W866">
        <v>10</v>
      </c>
      <c r="X866">
        <v>13</v>
      </c>
      <c r="Y866">
        <v>12</v>
      </c>
      <c r="Z866">
        <v>14</v>
      </c>
      <c r="AA866">
        <v>22</v>
      </c>
      <c r="AB866">
        <v>6</v>
      </c>
      <c r="AC866">
        <v>3</v>
      </c>
      <c r="AD866">
        <v>4</v>
      </c>
      <c r="AE866">
        <v>1</v>
      </c>
      <c r="AF866">
        <v>9</v>
      </c>
      <c r="AG866">
        <v>20</v>
      </c>
      <c r="AH866">
        <v>11</v>
      </c>
      <c r="AI866">
        <v>18</v>
      </c>
      <c r="AJ866">
        <v>15</v>
      </c>
      <c r="AK866">
        <v>21</v>
      </c>
      <c r="AL866">
        <v>23</v>
      </c>
      <c r="AM866">
        <v>24</v>
      </c>
      <c r="AN866">
        <v>2</v>
      </c>
      <c r="AO866">
        <v>19</v>
      </c>
      <c r="AP866">
        <v>8</v>
      </c>
      <c r="AQ866">
        <v>16</v>
      </c>
      <c r="AR866">
        <v>7</v>
      </c>
      <c r="AS866">
        <v>5</v>
      </c>
    </row>
    <row r="867" spans="1:45" x14ac:dyDescent="0.25">
      <c r="A867">
        <v>26</v>
      </c>
      <c r="B867" t="s">
        <v>395</v>
      </c>
      <c r="E867" t="s">
        <v>384</v>
      </c>
      <c r="U867">
        <v>766</v>
      </c>
      <c r="V867">
        <v>17</v>
      </c>
      <c r="W867">
        <v>6</v>
      </c>
      <c r="X867">
        <v>16</v>
      </c>
      <c r="Y867">
        <v>10</v>
      </c>
      <c r="Z867">
        <v>15</v>
      </c>
      <c r="AA867">
        <v>19</v>
      </c>
      <c r="AB867">
        <v>8</v>
      </c>
      <c r="AC867">
        <v>2</v>
      </c>
      <c r="AD867">
        <v>3</v>
      </c>
      <c r="AE867">
        <v>1</v>
      </c>
      <c r="AF867">
        <v>7</v>
      </c>
      <c r="AG867">
        <v>20</v>
      </c>
      <c r="AH867">
        <v>9</v>
      </c>
      <c r="AI867">
        <v>18</v>
      </c>
      <c r="AJ867">
        <v>14</v>
      </c>
      <c r="AK867">
        <v>22</v>
      </c>
      <c r="AL867">
        <v>23</v>
      </c>
      <c r="AM867">
        <v>24</v>
      </c>
      <c r="AN867">
        <v>4</v>
      </c>
      <c r="AO867">
        <v>21</v>
      </c>
      <c r="AP867">
        <v>5</v>
      </c>
      <c r="AQ867">
        <v>13</v>
      </c>
      <c r="AR867">
        <v>12</v>
      </c>
      <c r="AS867">
        <v>11</v>
      </c>
    </row>
    <row r="868" spans="1:45" x14ac:dyDescent="0.25">
      <c r="A868">
        <v>27</v>
      </c>
      <c r="B868" t="s">
        <v>382</v>
      </c>
      <c r="E868" t="s">
        <v>387</v>
      </c>
      <c r="U868">
        <v>767</v>
      </c>
      <c r="V868">
        <v>17</v>
      </c>
      <c r="W868">
        <v>8</v>
      </c>
      <c r="X868">
        <v>16</v>
      </c>
      <c r="Y868">
        <v>6</v>
      </c>
      <c r="Z868">
        <v>11</v>
      </c>
      <c r="AA868">
        <v>19</v>
      </c>
      <c r="AB868">
        <v>4</v>
      </c>
      <c r="AC868">
        <v>2</v>
      </c>
      <c r="AD868">
        <v>3</v>
      </c>
      <c r="AE868">
        <v>1</v>
      </c>
      <c r="AF868">
        <v>9</v>
      </c>
      <c r="AG868">
        <v>20</v>
      </c>
      <c r="AH868">
        <v>13</v>
      </c>
      <c r="AI868">
        <v>15</v>
      </c>
      <c r="AJ868">
        <v>14</v>
      </c>
      <c r="AK868">
        <v>23</v>
      </c>
      <c r="AL868">
        <v>22</v>
      </c>
      <c r="AM868">
        <v>24</v>
      </c>
      <c r="AN868">
        <v>5</v>
      </c>
      <c r="AO868">
        <v>21</v>
      </c>
      <c r="AP868">
        <v>12</v>
      </c>
      <c r="AQ868">
        <v>18</v>
      </c>
      <c r="AR868">
        <v>10</v>
      </c>
      <c r="AS868">
        <v>7</v>
      </c>
    </row>
    <row r="869" spans="1:45" x14ac:dyDescent="0.25">
      <c r="A869">
        <v>27</v>
      </c>
      <c r="B869" t="s">
        <v>394</v>
      </c>
      <c r="E869" t="s">
        <v>397</v>
      </c>
      <c r="U869">
        <v>768</v>
      </c>
      <c r="V869">
        <v>15</v>
      </c>
      <c r="W869">
        <v>9</v>
      </c>
      <c r="X869">
        <v>17</v>
      </c>
      <c r="Y869">
        <v>16</v>
      </c>
      <c r="Z869">
        <v>13</v>
      </c>
      <c r="AA869">
        <v>20</v>
      </c>
      <c r="AB869">
        <v>4</v>
      </c>
      <c r="AC869">
        <v>2</v>
      </c>
      <c r="AD869">
        <v>3</v>
      </c>
      <c r="AE869">
        <v>1</v>
      </c>
      <c r="AF869">
        <v>8</v>
      </c>
      <c r="AG869">
        <v>19</v>
      </c>
      <c r="AH869">
        <v>10</v>
      </c>
      <c r="AI869">
        <v>18</v>
      </c>
      <c r="AJ869">
        <v>11</v>
      </c>
      <c r="AK869">
        <v>22</v>
      </c>
      <c r="AL869">
        <v>24</v>
      </c>
      <c r="AM869">
        <v>23</v>
      </c>
      <c r="AN869">
        <v>5</v>
      </c>
      <c r="AO869">
        <v>21</v>
      </c>
      <c r="AP869">
        <v>12</v>
      </c>
      <c r="AQ869">
        <v>14</v>
      </c>
      <c r="AR869">
        <v>6</v>
      </c>
      <c r="AS869">
        <v>7</v>
      </c>
    </row>
    <row r="870" spans="1:45" x14ac:dyDescent="0.25">
      <c r="A870">
        <v>27</v>
      </c>
      <c r="B870" t="s">
        <v>392</v>
      </c>
      <c r="E870" t="s">
        <v>380</v>
      </c>
      <c r="U870">
        <v>769</v>
      </c>
      <c r="V870">
        <v>19</v>
      </c>
      <c r="W870">
        <v>13</v>
      </c>
      <c r="X870">
        <v>11</v>
      </c>
      <c r="Y870">
        <v>9</v>
      </c>
      <c r="Z870">
        <v>14</v>
      </c>
      <c r="AA870">
        <v>21</v>
      </c>
      <c r="AB870">
        <v>6</v>
      </c>
      <c r="AC870">
        <v>3</v>
      </c>
      <c r="AD870">
        <v>4</v>
      </c>
      <c r="AE870">
        <v>1</v>
      </c>
      <c r="AF870">
        <v>10</v>
      </c>
      <c r="AG870">
        <v>20</v>
      </c>
      <c r="AH870">
        <v>18</v>
      </c>
      <c r="AI870">
        <v>16</v>
      </c>
      <c r="AJ870">
        <v>15</v>
      </c>
      <c r="AK870">
        <v>22</v>
      </c>
      <c r="AL870">
        <v>24</v>
      </c>
      <c r="AM870">
        <v>23</v>
      </c>
      <c r="AN870">
        <v>2</v>
      </c>
      <c r="AO870">
        <v>12</v>
      </c>
      <c r="AP870">
        <v>8</v>
      </c>
      <c r="AQ870">
        <v>17</v>
      </c>
      <c r="AR870">
        <v>7</v>
      </c>
      <c r="AS870">
        <v>5</v>
      </c>
    </row>
    <row r="871" spans="1:45" x14ac:dyDescent="0.25">
      <c r="A871">
        <v>27</v>
      </c>
      <c r="B871" t="s">
        <v>385</v>
      </c>
      <c r="E871" t="s">
        <v>398</v>
      </c>
      <c r="U871">
        <v>770</v>
      </c>
      <c r="V871">
        <v>11</v>
      </c>
      <c r="W871">
        <v>10</v>
      </c>
      <c r="X871">
        <v>17</v>
      </c>
      <c r="Y871">
        <v>16</v>
      </c>
      <c r="Z871">
        <v>19</v>
      </c>
      <c r="AA871">
        <v>21</v>
      </c>
      <c r="AB871">
        <v>9</v>
      </c>
      <c r="AC871">
        <v>2</v>
      </c>
      <c r="AD871">
        <v>3</v>
      </c>
      <c r="AE871">
        <v>1</v>
      </c>
      <c r="AF871">
        <v>7</v>
      </c>
      <c r="AG871">
        <v>13</v>
      </c>
      <c r="AH871">
        <v>15</v>
      </c>
      <c r="AI871">
        <v>14</v>
      </c>
      <c r="AJ871">
        <v>12</v>
      </c>
      <c r="AK871">
        <v>22</v>
      </c>
      <c r="AL871">
        <v>23</v>
      </c>
      <c r="AM871">
        <v>24</v>
      </c>
      <c r="AN871">
        <v>4</v>
      </c>
      <c r="AO871">
        <v>20</v>
      </c>
      <c r="AP871">
        <v>5</v>
      </c>
      <c r="AQ871">
        <v>18</v>
      </c>
      <c r="AR871">
        <v>8</v>
      </c>
      <c r="AS871">
        <v>6</v>
      </c>
    </row>
    <row r="872" spans="1:45" x14ac:dyDescent="0.25">
      <c r="A872">
        <v>27</v>
      </c>
      <c r="B872" t="s">
        <v>393</v>
      </c>
      <c r="E872" t="s">
        <v>400</v>
      </c>
      <c r="U872">
        <v>771</v>
      </c>
      <c r="V872">
        <v>16</v>
      </c>
      <c r="W872">
        <v>11</v>
      </c>
      <c r="X872">
        <v>15</v>
      </c>
      <c r="Y872">
        <v>9</v>
      </c>
      <c r="Z872">
        <v>17</v>
      </c>
      <c r="AA872">
        <v>20</v>
      </c>
      <c r="AB872">
        <v>6</v>
      </c>
      <c r="AC872">
        <v>1</v>
      </c>
      <c r="AD872">
        <v>4</v>
      </c>
      <c r="AE872">
        <v>2</v>
      </c>
      <c r="AF872">
        <v>13</v>
      </c>
      <c r="AG872">
        <v>18</v>
      </c>
      <c r="AH872">
        <v>10</v>
      </c>
      <c r="AI872">
        <v>14</v>
      </c>
      <c r="AJ872">
        <v>12</v>
      </c>
      <c r="AK872">
        <v>22</v>
      </c>
      <c r="AL872">
        <v>24</v>
      </c>
      <c r="AM872">
        <v>23</v>
      </c>
      <c r="AN872">
        <v>3</v>
      </c>
      <c r="AO872">
        <v>21</v>
      </c>
      <c r="AP872">
        <v>8</v>
      </c>
      <c r="AQ872">
        <v>19</v>
      </c>
      <c r="AR872">
        <v>5</v>
      </c>
      <c r="AS872">
        <v>7</v>
      </c>
    </row>
    <row r="873" spans="1:45" x14ac:dyDescent="0.25">
      <c r="A873">
        <v>27</v>
      </c>
      <c r="B873" t="s">
        <v>396</v>
      </c>
      <c r="E873" t="s">
        <v>395</v>
      </c>
      <c r="U873">
        <v>772</v>
      </c>
      <c r="V873">
        <v>16</v>
      </c>
      <c r="W873">
        <v>9</v>
      </c>
      <c r="X873">
        <v>13</v>
      </c>
      <c r="Y873">
        <v>15</v>
      </c>
      <c r="Z873">
        <v>11</v>
      </c>
      <c r="AA873">
        <v>20</v>
      </c>
      <c r="AB873">
        <v>5</v>
      </c>
      <c r="AC873">
        <v>3</v>
      </c>
      <c r="AD873">
        <v>2</v>
      </c>
      <c r="AE873">
        <v>1</v>
      </c>
      <c r="AF873">
        <v>17</v>
      </c>
      <c r="AG873">
        <v>12</v>
      </c>
      <c r="AH873">
        <v>10</v>
      </c>
      <c r="AI873">
        <v>14</v>
      </c>
      <c r="AJ873">
        <v>18</v>
      </c>
      <c r="AK873">
        <v>22</v>
      </c>
      <c r="AL873">
        <v>23</v>
      </c>
      <c r="AM873">
        <v>24</v>
      </c>
      <c r="AN873">
        <v>4</v>
      </c>
      <c r="AO873">
        <v>19</v>
      </c>
      <c r="AP873">
        <v>8</v>
      </c>
      <c r="AQ873">
        <v>21</v>
      </c>
      <c r="AR873">
        <v>6</v>
      </c>
      <c r="AS873">
        <v>7</v>
      </c>
    </row>
    <row r="874" spans="1:45" x14ac:dyDescent="0.25">
      <c r="A874">
        <v>27</v>
      </c>
      <c r="B874" t="s">
        <v>384</v>
      </c>
      <c r="E874" t="s">
        <v>390</v>
      </c>
      <c r="U874">
        <v>773</v>
      </c>
      <c r="V874">
        <v>17</v>
      </c>
      <c r="W874">
        <v>5</v>
      </c>
      <c r="X874">
        <v>9</v>
      </c>
      <c r="Y874">
        <v>21</v>
      </c>
      <c r="Z874">
        <v>12</v>
      </c>
      <c r="AA874">
        <v>22</v>
      </c>
      <c r="AB874">
        <v>7</v>
      </c>
      <c r="AC874">
        <v>2</v>
      </c>
      <c r="AD874">
        <v>3</v>
      </c>
      <c r="AE874">
        <v>1</v>
      </c>
      <c r="AF874">
        <v>16</v>
      </c>
      <c r="AG874">
        <v>18</v>
      </c>
      <c r="AH874">
        <v>14</v>
      </c>
      <c r="AI874">
        <v>15</v>
      </c>
      <c r="AJ874">
        <v>13</v>
      </c>
      <c r="AK874">
        <v>20</v>
      </c>
      <c r="AL874">
        <v>24</v>
      </c>
      <c r="AM874">
        <v>23</v>
      </c>
      <c r="AN874">
        <v>4</v>
      </c>
      <c r="AO874">
        <v>19</v>
      </c>
      <c r="AP874">
        <v>10</v>
      </c>
      <c r="AQ874">
        <v>11</v>
      </c>
      <c r="AR874">
        <v>8</v>
      </c>
      <c r="AS874">
        <v>6</v>
      </c>
    </row>
    <row r="875" spans="1:45" x14ac:dyDescent="0.25">
      <c r="A875">
        <v>27</v>
      </c>
      <c r="B875" t="s">
        <v>383</v>
      </c>
      <c r="E875" t="s">
        <v>391</v>
      </c>
      <c r="U875">
        <v>774</v>
      </c>
      <c r="V875">
        <v>16</v>
      </c>
      <c r="W875">
        <v>18</v>
      </c>
      <c r="X875">
        <v>12</v>
      </c>
      <c r="Y875">
        <v>10</v>
      </c>
      <c r="Z875">
        <v>14</v>
      </c>
      <c r="AA875">
        <v>22</v>
      </c>
      <c r="AB875">
        <v>5</v>
      </c>
      <c r="AC875">
        <v>2</v>
      </c>
      <c r="AD875">
        <v>3</v>
      </c>
      <c r="AE875">
        <v>1</v>
      </c>
      <c r="AF875">
        <v>13</v>
      </c>
      <c r="AG875">
        <v>17</v>
      </c>
      <c r="AH875">
        <v>7</v>
      </c>
      <c r="AI875">
        <v>20</v>
      </c>
      <c r="AJ875">
        <v>11</v>
      </c>
      <c r="AK875">
        <v>21</v>
      </c>
      <c r="AL875">
        <v>24</v>
      </c>
      <c r="AM875">
        <v>23</v>
      </c>
      <c r="AN875">
        <v>4</v>
      </c>
      <c r="AO875">
        <v>19</v>
      </c>
      <c r="AP875">
        <v>6</v>
      </c>
      <c r="AQ875">
        <v>15</v>
      </c>
      <c r="AR875">
        <v>9</v>
      </c>
      <c r="AS875">
        <v>8</v>
      </c>
    </row>
    <row r="876" spans="1:45" x14ac:dyDescent="0.25">
      <c r="A876">
        <v>27</v>
      </c>
      <c r="B876" t="s">
        <v>381</v>
      </c>
      <c r="E876" t="s">
        <v>386</v>
      </c>
      <c r="U876">
        <v>775</v>
      </c>
      <c r="V876">
        <v>17</v>
      </c>
      <c r="W876">
        <v>15</v>
      </c>
      <c r="X876">
        <v>14</v>
      </c>
      <c r="Y876">
        <v>8</v>
      </c>
      <c r="Z876">
        <v>11</v>
      </c>
      <c r="AA876">
        <v>20</v>
      </c>
      <c r="AB876">
        <v>5</v>
      </c>
      <c r="AC876">
        <v>2</v>
      </c>
      <c r="AD876">
        <v>3</v>
      </c>
      <c r="AE876">
        <v>1</v>
      </c>
      <c r="AF876">
        <v>12</v>
      </c>
      <c r="AG876">
        <v>19</v>
      </c>
      <c r="AH876">
        <v>13</v>
      </c>
      <c r="AI876">
        <v>18</v>
      </c>
      <c r="AJ876">
        <v>9</v>
      </c>
      <c r="AK876">
        <v>22</v>
      </c>
      <c r="AL876">
        <v>24</v>
      </c>
      <c r="AM876">
        <v>23</v>
      </c>
      <c r="AN876">
        <v>4</v>
      </c>
      <c r="AO876">
        <v>21</v>
      </c>
      <c r="AP876">
        <v>16</v>
      </c>
      <c r="AQ876">
        <v>10</v>
      </c>
      <c r="AR876">
        <v>7</v>
      </c>
      <c r="AS876">
        <v>6</v>
      </c>
    </row>
    <row r="877" spans="1:45" x14ac:dyDescent="0.25">
      <c r="A877">
        <v>27</v>
      </c>
      <c r="B877" t="s">
        <v>401</v>
      </c>
      <c r="E877" t="s">
        <v>379</v>
      </c>
      <c r="U877">
        <v>776</v>
      </c>
      <c r="V877">
        <v>12</v>
      </c>
      <c r="W877">
        <v>11</v>
      </c>
      <c r="X877">
        <v>10</v>
      </c>
      <c r="Y877">
        <v>8</v>
      </c>
      <c r="Z877">
        <v>19</v>
      </c>
      <c r="AA877">
        <v>20</v>
      </c>
      <c r="AB877">
        <v>5</v>
      </c>
      <c r="AC877">
        <v>2</v>
      </c>
      <c r="AD877">
        <v>3</v>
      </c>
      <c r="AE877">
        <v>1</v>
      </c>
      <c r="AF877">
        <v>9</v>
      </c>
      <c r="AG877">
        <v>17</v>
      </c>
      <c r="AH877">
        <v>15</v>
      </c>
      <c r="AI877">
        <v>18</v>
      </c>
      <c r="AJ877">
        <v>14</v>
      </c>
      <c r="AK877">
        <v>21</v>
      </c>
      <c r="AL877">
        <v>24</v>
      </c>
      <c r="AM877">
        <v>23</v>
      </c>
      <c r="AN877">
        <v>4</v>
      </c>
      <c r="AO877">
        <v>22</v>
      </c>
      <c r="AP877">
        <v>13</v>
      </c>
      <c r="AQ877">
        <v>16</v>
      </c>
      <c r="AR877">
        <v>7</v>
      </c>
      <c r="AS877">
        <v>6</v>
      </c>
    </row>
    <row r="878" spans="1:45" x14ac:dyDescent="0.25">
      <c r="A878">
        <v>27</v>
      </c>
      <c r="B878" t="s">
        <v>378</v>
      </c>
      <c r="E878" t="s">
        <v>399</v>
      </c>
      <c r="U878">
        <v>777</v>
      </c>
      <c r="V878">
        <v>17</v>
      </c>
      <c r="W878">
        <v>8</v>
      </c>
      <c r="X878">
        <v>19</v>
      </c>
      <c r="Y878">
        <v>12</v>
      </c>
      <c r="Z878">
        <v>15</v>
      </c>
      <c r="AA878">
        <v>21</v>
      </c>
      <c r="AB878">
        <v>6</v>
      </c>
      <c r="AC878">
        <v>2</v>
      </c>
      <c r="AD878">
        <v>4</v>
      </c>
      <c r="AE878">
        <v>1</v>
      </c>
      <c r="AF878">
        <v>14</v>
      </c>
      <c r="AG878">
        <v>16</v>
      </c>
      <c r="AH878">
        <v>10</v>
      </c>
      <c r="AI878">
        <v>11</v>
      </c>
      <c r="AJ878">
        <v>18</v>
      </c>
      <c r="AK878">
        <v>22</v>
      </c>
      <c r="AL878">
        <v>24</v>
      </c>
      <c r="AM878">
        <v>23</v>
      </c>
      <c r="AN878">
        <v>3</v>
      </c>
      <c r="AO878">
        <v>20</v>
      </c>
      <c r="AP878">
        <v>7</v>
      </c>
      <c r="AQ878">
        <v>13</v>
      </c>
      <c r="AR878">
        <v>9</v>
      </c>
      <c r="AS878">
        <v>5</v>
      </c>
    </row>
    <row r="879" spans="1:45" x14ac:dyDescent="0.25">
      <c r="A879">
        <v>27</v>
      </c>
      <c r="B879" t="s">
        <v>389</v>
      </c>
      <c r="E879" t="s">
        <v>388</v>
      </c>
      <c r="U879">
        <v>778</v>
      </c>
      <c r="V879">
        <v>12</v>
      </c>
      <c r="W879">
        <v>13</v>
      </c>
      <c r="X879">
        <v>18</v>
      </c>
      <c r="Y879">
        <v>8</v>
      </c>
      <c r="Z879">
        <v>14</v>
      </c>
      <c r="AA879">
        <v>20</v>
      </c>
      <c r="AB879">
        <v>5</v>
      </c>
      <c r="AC879">
        <v>2</v>
      </c>
      <c r="AD879">
        <v>3</v>
      </c>
      <c r="AE879">
        <v>1</v>
      </c>
      <c r="AF879">
        <v>11</v>
      </c>
      <c r="AG879">
        <v>16</v>
      </c>
      <c r="AH879">
        <v>6</v>
      </c>
      <c r="AI879">
        <v>17</v>
      </c>
      <c r="AJ879">
        <v>15</v>
      </c>
      <c r="AK879">
        <v>22</v>
      </c>
      <c r="AL879">
        <v>24</v>
      </c>
      <c r="AM879">
        <v>23</v>
      </c>
      <c r="AN879">
        <v>4</v>
      </c>
      <c r="AO879">
        <v>21</v>
      </c>
      <c r="AP879">
        <v>9</v>
      </c>
      <c r="AQ879">
        <v>19</v>
      </c>
      <c r="AR879">
        <v>7</v>
      </c>
      <c r="AS879">
        <v>10</v>
      </c>
    </row>
    <row r="880" spans="1:45" x14ac:dyDescent="0.25">
      <c r="A880">
        <v>28</v>
      </c>
      <c r="B880" t="s">
        <v>386</v>
      </c>
      <c r="E880" t="s">
        <v>392</v>
      </c>
      <c r="U880">
        <v>779</v>
      </c>
      <c r="V880">
        <v>14</v>
      </c>
      <c r="W880">
        <v>12</v>
      </c>
      <c r="X880">
        <v>16</v>
      </c>
      <c r="Y880">
        <v>8</v>
      </c>
      <c r="Z880">
        <v>10</v>
      </c>
      <c r="AA880">
        <v>22</v>
      </c>
      <c r="AB880">
        <v>6</v>
      </c>
      <c r="AC880">
        <v>2</v>
      </c>
      <c r="AD880">
        <v>4</v>
      </c>
      <c r="AE880">
        <v>1</v>
      </c>
      <c r="AF880">
        <v>15</v>
      </c>
      <c r="AG880">
        <v>18</v>
      </c>
      <c r="AH880">
        <v>11</v>
      </c>
      <c r="AI880">
        <v>20</v>
      </c>
      <c r="AJ880">
        <v>13</v>
      </c>
      <c r="AK880">
        <v>21</v>
      </c>
      <c r="AL880">
        <v>23</v>
      </c>
      <c r="AM880">
        <v>24</v>
      </c>
      <c r="AN880">
        <v>3</v>
      </c>
      <c r="AO880">
        <v>19</v>
      </c>
      <c r="AP880">
        <v>5</v>
      </c>
      <c r="AQ880">
        <v>17</v>
      </c>
      <c r="AR880">
        <v>9</v>
      </c>
      <c r="AS880">
        <v>7</v>
      </c>
    </row>
    <row r="881" spans="1:45" x14ac:dyDescent="0.25">
      <c r="A881">
        <v>28</v>
      </c>
      <c r="B881" t="s">
        <v>390</v>
      </c>
      <c r="E881" t="s">
        <v>401</v>
      </c>
      <c r="U881">
        <v>780</v>
      </c>
      <c r="V881">
        <v>12</v>
      </c>
      <c r="W881">
        <v>8</v>
      </c>
      <c r="X881">
        <v>9</v>
      </c>
      <c r="Y881">
        <v>15</v>
      </c>
      <c r="Z881">
        <v>19</v>
      </c>
      <c r="AA881">
        <v>20</v>
      </c>
      <c r="AB881">
        <v>11</v>
      </c>
      <c r="AC881">
        <v>2</v>
      </c>
      <c r="AD881">
        <v>3</v>
      </c>
      <c r="AE881">
        <v>1</v>
      </c>
      <c r="AF881">
        <v>13</v>
      </c>
      <c r="AG881">
        <v>18</v>
      </c>
      <c r="AH881">
        <v>10</v>
      </c>
      <c r="AI881">
        <v>17</v>
      </c>
      <c r="AJ881">
        <v>16</v>
      </c>
      <c r="AK881">
        <v>21</v>
      </c>
      <c r="AL881">
        <v>24</v>
      </c>
      <c r="AM881">
        <v>23</v>
      </c>
      <c r="AN881">
        <v>4</v>
      </c>
      <c r="AO881">
        <v>22</v>
      </c>
      <c r="AP881">
        <v>5</v>
      </c>
      <c r="AQ881">
        <v>14</v>
      </c>
      <c r="AR881">
        <v>7</v>
      </c>
      <c r="AS881">
        <v>6</v>
      </c>
    </row>
    <row r="882" spans="1:45" x14ac:dyDescent="0.25">
      <c r="A882">
        <v>28</v>
      </c>
      <c r="B882" t="s">
        <v>388</v>
      </c>
      <c r="E882" t="s">
        <v>394</v>
      </c>
      <c r="U882">
        <v>781</v>
      </c>
      <c r="V882">
        <v>8</v>
      </c>
      <c r="W882">
        <v>16</v>
      </c>
      <c r="X882">
        <v>10</v>
      </c>
      <c r="Y882">
        <v>11</v>
      </c>
      <c r="Z882">
        <v>15</v>
      </c>
      <c r="AA882">
        <v>20</v>
      </c>
      <c r="AB882">
        <v>6</v>
      </c>
      <c r="AC882">
        <v>2</v>
      </c>
      <c r="AD882">
        <v>3</v>
      </c>
      <c r="AE882">
        <v>1</v>
      </c>
      <c r="AF882">
        <v>13</v>
      </c>
      <c r="AG882">
        <v>21</v>
      </c>
      <c r="AH882">
        <v>9</v>
      </c>
      <c r="AI882">
        <v>12</v>
      </c>
      <c r="AJ882">
        <v>17</v>
      </c>
      <c r="AK882">
        <v>23</v>
      </c>
      <c r="AL882">
        <v>22</v>
      </c>
      <c r="AM882">
        <v>24</v>
      </c>
      <c r="AN882">
        <v>4</v>
      </c>
      <c r="AO882">
        <v>19</v>
      </c>
      <c r="AP882">
        <v>14</v>
      </c>
      <c r="AQ882">
        <v>18</v>
      </c>
      <c r="AR882">
        <v>5</v>
      </c>
      <c r="AS882">
        <v>7</v>
      </c>
    </row>
    <row r="883" spans="1:45" x14ac:dyDescent="0.25">
      <c r="A883">
        <v>28</v>
      </c>
      <c r="B883" t="s">
        <v>393</v>
      </c>
      <c r="E883" t="s">
        <v>389</v>
      </c>
      <c r="U883">
        <v>782</v>
      </c>
      <c r="V883">
        <v>16</v>
      </c>
      <c r="W883">
        <v>10</v>
      </c>
      <c r="X883">
        <v>14</v>
      </c>
      <c r="Y883">
        <v>11</v>
      </c>
      <c r="Z883">
        <v>12</v>
      </c>
      <c r="AA883">
        <v>20</v>
      </c>
      <c r="AB883">
        <v>5</v>
      </c>
      <c r="AC883">
        <v>2</v>
      </c>
      <c r="AD883">
        <v>3</v>
      </c>
      <c r="AE883">
        <v>1</v>
      </c>
      <c r="AF883">
        <v>7</v>
      </c>
      <c r="AG883">
        <v>19</v>
      </c>
      <c r="AH883">
        <v>13</v>
      </c>
      <c r="AI883">
        <v>15</v>
      </c>
      <c r="AJ883">
        <v>17</v>
      </c>
      <c r="AK883">
        <v>22</v>
      </c>
      <c r="AL883">
        <v>24</v>
      </c>
      <c r="AM883">
        <v>23</v>
      </c>
      <c r="AN883">
        <v>4</v>
      </c>
      <c r="AO883">
        <v>21</v>
      </c>
      <c r="AP883">
        <v>9</v>
      </c>
      <c r="AQ883">
        <v>18</v>
      </c>
      <c r="AR883">
        <v>8</v>
      </c>
      <c r="AS883">
        <v>6</v>
      </c>
    </row>
    <row r="884" spans="1:45" x14ac:dyDescent="0.25">
      <c r="A884">
        <v>28</v>
      </c>
      <c r="B884" t="s">
        <v>379</v>
      </c>
      <c r="E884" t="s">
        <v>383</v>
      </c>
      <c r="U884">
        <v>783</v>
      </c>
      <c r="V884">
        <v>17</v>
      </c>
      <c r="W884">
        <v>10</v>
      </c>
      <c r="X884">
        <v>13</v>
      </c>
      <c r="Y884">
        <v>12</v>
      </c>
      <c r="Z884">
        <v>19</v>
      </c>
      <c r="AA884">
        <v>21</v>
      </c>
      <c r="AB884">
        <v>4</v>
      </c>
      <c r="AC884">
        <v>2</v>
      </c>
      <c r="AD884">
        <v>3</v>
      </c>
      <c r="AE884">
        <v>1</v>
      </c>
      <c r="AF884">
        <v>7</v>
      </c>
      <c r="AG884">
        <v>18</v>
      </c>
      <c r="AH884">
        <v>9</v>
      </c>
      <c r="AI884">
        <v>16</v>
      </c>
      <c r="AJ884">
        <v>14</v>
      </c>
      <c r="AK884">
        <v>23</v>
      </c>
      <c r="AL884">
        <v>24</v>
      </c>
      <c r="AM884">
        <v>22</v>
      </c>
      <c r="AN884">
        <v>5</v>
      </c>
      <c r="AO884">
        <v>20</v>
      </c>
      <c r="AP884">
        <v>15</v>
      </c>
      <c r="AQ884">
        <v>11</v>
      </c>
      <c r="AR884">
        <v>8</v>
      </c>
      <c r="AS884">
        <v>6</v>
      </c>
    </row>
    <row r="885" spans="1:45" x14ac:dyDescent="0.25">
      <c r="A885">
        <v>28</v>
      </c>
      <c r="B885" t="s">
        <v>397</v>
      </c>
      <c r="E885" t="s">
        <v>378</v>
      </c>
      <c r="U885">
        <v>784</v>
      </c>
      <c r="V885">
        <v>18</v>
      </c>
      <c r="W885">
        <v>7</v>
      </c>
      <c r="X885">
        <v>14</v>
      </c>
      <c r="Y885">
        <v>8</v>
      </c>
      <c r="Z885">
        <v>13</v>
      </c>
      <c r="AA885">
        <v>21</v>
      </c>
      <c r="AB885">
        <v>6</v>
      </c>
      <c r="AC885">
        <v>2</v>
      </c>
      <c r="AD885">
        <v>3</v>
      </c>
      <c r="AE885">
        <v>1</v>
      </c>
      <c r="AF885">
        <v>11</v>
      </c>
      <c r="AG885">
        <v>19</v>
      </c>
      <c r="AH885">
        <v>10</v>
      </c>
      <c r="AI885">
        <v>16</v>
      </c>
      <c r="AJ885">
        <v>17</v>
      </c>
      <c r="AK885">
        <v>22</v>
      </c>
      <c r="AL885">
        <v>23</v>
      </c>
      <c r="AM885">
        <v>24</v>
      </c>
      <c r="AN885">
        <v>4</v>
      </c>
      <c r="AO885">
        <v>20</v>
      </c>
      <c r="AP885">
        <v>9</v>
      </c>
      <c r="AQ885">
        <v>15</v>
      </c>
      <c r="AR885">
        <v>12</v>
      </c>
      <c r="AS885">
        <v>5</v>
      </c>
    </row>
    <row r="886" spans="1:45" x14ac:dyDescent="0.25">
      <c r="A886">
        <v>28</v>
      </c>
      <c r="B886" t="s">
        <v>398</v>
      </c>
      <c r="E886" t="s">
        <v>384</v>
      </c>
      <c r="U886">
        <v>785</v>
      </c>
      <c r="V886">
        <v>17</v>
      </c>
      <c r="W886">
        <v>13</v>
      </c>
      <c r="X886">
        <v>15</v>
      </c>
      <c r="Y886">
        <v>11</v>
      </c>
      <c r="Z886">
        <v>14</v>
      </c>
      <c r="AA886">
        <v>20</v>
      </c>
      <c r="AB886">
        <v>7</v>
      </c>
      <c r="AC886">
        <v>2</v>
      </c>
      <c r="AD886">
        <v>5</v>
      </c>
      <c r="AE886">
        <v>1</v>
      </c>
      <c r="AF886">
        <v>10</v>
      </c>
      <c r="AG886">
        <v>22</v>
      </c>
      <c r="AH886">
        <v>6</v>
      </c>
      <c r="AI886">
        <v>18</v>
      </c>
      <c r="AJ886">
        <v>8</v>
      </c>
      <c r="AK886">
        <v>21</v>
      </c>
      <c r="AL886">
        <v>24</v>
      </c>
      <c r="AM886">
        <v>23</v>
      </c>
      <c r="AN886">
        <v>4</v>
      </c>
      <c r="AO886">
        <v>19</v>
      </c>
      <c r="AP886">
        <v>12</v>
      </c>
      <c r="AQ886">
        <v>16</v>
      </c>
      <c r="AR886">
        <v>9</v>
      </c>
      <c r="AS886">
        <v>3</v>
      </c>
    </row>
    <row r="887" spans="1:45" x14ac:dyDescent="0.25">
      <c r="A887">
        <v>28</v>
      </c>
      <c r="B887" t="s">
        <v>380</v>
      </c>
      <c r="E887" t="s">
        <v>400</v>
      </c>
      <c r="U887">
        <v>786</v>
      </c>
      <c r="V887">
        <v>17</v>
      </c>
      <c r="W887">
        <v>15</v>
      </c>
      <c r="X887">
        <v>13</v>
      </c>
      <c r="Y887">
        <v>12</v>
      </c>
      <c r="Z887">
        <v>16</v>
      </c>
      <c r="AA887">
        <v>20</v>
      </c>
      <c r="AB887">
        <v>5</v>
      </c>
      <c r="AC887">
        <v>2</v>
      </c>
      <c r="AD887">
        <v>7</v>
      </c>
      <c r="AE887">
        <v>1</v>
      </c>
      <c r="AF887">
        <v>4</v>
      </c>
      <c r="AG887">
        <v>19</v>
      </c>
      <c r="AH887">
        <v>14</v>
      </c>
      <c r="AI887">
        <v>9</v>
      </c>
      <c r="AJ887">
        <v>10</v>
      </c>
      <c r="AK887">
        <v>22</v>
      </c>
      <c r="AL887">
        <v>24</v>
      </c>
      <c r="AM887">
        <v>23</v>
      </c>
      <c r="AN887">
        <v>6</v>
      </c>
      <c r="AO887">
        <v>21</v>
      </c>
      <c r="AP887">
        <v>11</v>
      </c>
      <c r="AQ887">
        <v>18</v>
      </c>
      <c r="AR887">
        <v>3</v>
      </c>
      <c r="AS887">
        <v>8</v>
      </c>
    </row>
    <row r="888" spans="1:45" x14ac:dyDescent="0.25">
      <c r="A888">
        <v>28</v>
      </c>
      <c r="B888" t="s">
        <v>387</v>
      </c>
      <c r="E888" t="s">
        <v>385</v>
      </c>
      <c r="U888">
        <v>787</v>
      </c>
      <c r="V888">
        <v>12</v>
      </c>
      <c r="W888">
        <v>13</v>
      </c>
      <c r="X888">
        <v>9</v>
      </c>
      <c r="Y888">
        <v>11</v>
      </c>
      <c r="Z888">
        <v>14</v>
      </c>
      <c r="AA888">
        <v>21</v>
      </c>
      <c r="AB888">
        <v>4</v>
      </c>
      <c r="AC888">
        <v>2</v>
      </c>
      <c r="AD888">
        <v>3</v>
      </c>
      <c r="AE888">
        <v>1</v>
      </c>
      <c r="AF888">
        <v>15</v>
      </c>
      <c r="AG888">
        <v>19</v>
      </c>
      <c r="AH888">
        <v>10</v>
      </c>
      <c r="AI888">
        <v>16</v>
      </c>
      <c r="AJ888">
        <v>17</v>
      </c>
      <c r="AK888">
        <v>22</v>
      </c>
      <c r="AL888">
        <v>24</v>
      </c>
      <c r="AM888">
        <v>23</v>
      </c>
      <c r="AN888">
        <v>5</v>
      </c>
      <c r="AO888">
        <v>20</v>
      </c>
      <c r="AP888">
        <v>7</v>
      </c>
      <c r="AQ888">
        <v>18</v>
      </c>
      <c r="AR888">
        <v>8</v>
      </c>
      <c r="AS888">
        <v>6</v>
      </c>
    </row>
    <row r="889" spans="1:45" x14ac:dyDescent="0.25">
      <c r="A889">
        <v>28</v>
      </c>
      <c r="B889" t="s">
        <v>399</v>
      </c>
      <c r="E889" t="s">
        <v>396</v>
      </c>
      <c r="U889">
        <v>788</v>
      </c>
      <c r="V889">
        <v>14</v>
      </c>
      <c r="W889">
        <v>7</v>
      </c>
      <c r="X889">
        <v>12</v>
      </c>
      <c r="Y889">
        <v>8</v>
      </c>
      <c r="Z889">
        <v>18</v>
      </c>
      <c r="AA889">
        <v>21</v>
      </c>
      <c r="AB889">
        <v>11</v>
      </c>
      <c r="AC889">
        <v>2</v>
      </c>
      <c r="AD889">
        <v>3</v>
      </c>
      <c r="AE889">
        <v>1</v>
      </c>
      <c r="AF889">
        <v>10</v>
      </c>
      <c r="AG889">
        <v>20</v>
      </c>
      <c r="AH889">
        <v>13</v>
      </c>
      <c r="AI889">
        <v>16</v>
      </c>
      <c r="AJ889">
        <v>15</v>
      </c>
      <c r="AK889">
        <v>22</v>
      </c>
      <c r="AL889">
        <v>24</v>
      </c>
      <c r="AM889">
        <v>23</v>
      </c>
      <c r="AN889">
        <v>4</v>
      </c>
      <c r="AO889">
        <v>19</v>
      </c>
      <c r="AP889">
        <v>9</v>
      </c>
      <c r="AQ889">
        <v>17</v>
      </c>
      <c r="AR889">
        <v>6</v>
      </c>
      <c r="AS889">
        <v>5</v>
      </c>
    </row>
    <row r="890" spans="1:45" x14ac:dyDescent="0.25">
      <c r="A890">
        <v>28</v>
      </c>
      <c r="B890" t="s">
        <v>391</v>
      </c>
      <c r="E890" t="s">
        <v>381</v>
      </c>
      <c r="U890">
        <v>789</v>
      </c>
      <c r="V890">
        <v>16</v>
      </c>
      <c r="W890">
        <v>11</v>
      </c>
      <c r="X890">
        <v>10</v>
      </c>
      <c r="Y890">
        <v>15</v>
      </c>
      <c r="Z890">
        <v>17</v>
      </c>
      <c r="AA890">
        <v>21</v>
      </c>
      <c r="AB890">
        <v>7</v>
      </c>
      <c r="AC890">
        <v>2</v>
      </c>
      <c r="AD890">
        <v>4</v>
      </c>
      <c r="AE890">
        <v>1</v>
      </c>
      <c r="AF890">
        <v>12</v>
      </c>
      <c r="AG890">
        <v>13</v>
      </c>
      <c r="AH890">
        <v>8</v>
      </c>
      <c r="AI890">
        <v>18</v>
      </c>
      <c r="AJ890">
        <v>14</v>
      </c>
      <c r="AK890">
        <v>22</v>
      </c>
      <c r="AL890">
        <v>24</v>
      </c>
      <c r="AM890">
        <v>23</v>
      </c>
      <c r="AN890">
        <v>3</v>
      </c>
      <c r="AO890">
        <v>20</v>
      </c>
      <c r="AP890">
        <v>6</v>
      </c>
      <c r="AQ890">
        <v>19</v>
      </c>
      <c r="AR890">
        <v>9</v>
      </c>
      <c r="AS890">
        <v>5</v>
      </c>
    </row>
    <row r="891" spans="1:45" x14ac:dyDescent="0.25">
      <c r="A891">
        <v>28</v>
      </c>
      <c r="B891" t="s">
        <v>395</v>
      </c>
      <c r="E891" t="s">
        <v>382</v>
      </c>
      <c r="U891">
        <v>790</v>
      </c>
      <c r="V891">
        <v>21</v>
      </c>
      <c r="W891">
        <v>11</v>
      </c>
      <c r="X891">
        <v>14</v>
      </c>
      <c r="Y891">
        <v>15</v>
      </c>
      <c r="Z891">
        <v>17</v>
      </c>
      <c r="AA891">
        <v>18</v>
      </c>
      <c r="AB891">
        <v>5</v>
      </c>
      <c r="AC891">
        <v>2</v>
      </c>
      <c r="AD891">
        <v>3</v>
      </c>
      <c r="AE891">
        <v>1</v>
      </c>
      <c r="AF891">
        <v>13</v>
      </c>
      <c r="AG891">
        <v>19</v>
      </c>
      <c r="AH891">
        <v>12</v>
      </c>
      <c r="AI891">
        <v>10</v>
      </c>
      <c r="AJ891">
        <v>9</v>
      </c>
      <c r="AK891">
        <v>22</v>
      </c>
      <c r="AL891">
        <v>23</v>
      </c>
      <c r="AM891">
        <v>24</v>
      </c>
      <c r="AN891">
        <v>4</v>
      </c>
      <c r="AO891">
        <v>20</v>
      </c>
      <c r="AP891">
        <v>6</v>
      </c>
      <c r="AQ891">
        <v>16</v>
      </c>
      <c r="AR891">
        <v>8</v>
      </c>
      <c r="AS891">
        <v>7</v>
      </c>
    </row>
    <row r="892" spans="1:45" x14ac:dyDescent="0.25">
      <c r="A892">
        <v>29</v>
      </c>
      <c r="B892" t="s">
        <v>386</v>
      </c>
      <c r="E892" t="s">
        <v>390</v>
      </c>
      <c r="U892">
        <v>791</v>
      </c>
      <c r="V892">
        <v>19</v>
      </c>
      <c r="W892">
        <v>11</v>
      </c>
      <c r="X892">
        <v>16</v>
      </c>
      <c r="Y892">
        <v>9</v>
      </c>
      <c r="Z892">
        <v>14</v>
      </c>
      <c r="AA892">
        <v>23</v>
      </c>
      <c r="AB892">
        <v>13</v>
      </c>
      <c r="AC892">
        <v>2</v>
      </c>
      <c r="AD892">
        <v>3</v>
      </c>
      <c r="AE892">
        <v>1</v>
      </c>
      <c r="AF892">
        <v>10</v>
      </c>
      <c r="AG892">
        <v>18</v>
      </c>
      <c r="AH892">
        <v>8</v>
      </c>
      <c r="AI892">
        <v>17</v>
      </c>
      <c r="AJ892">
        <v>12</v>
      </c>
      <c r="AK892">
        <v>21</v>
      </c>
      <c r="AL892">
        <v>24</v>
      </c>
      <c r="AM892">
        <v>22</v>
      </c>
      <c r="AN892">
        <v>4</v>
      </c>
      <c r="AO892">
        <v>20</v>
      </c>
      <c r="AP892">
        <v>7</v>
      </c>
      <c r="AQ892">
        <v>15</v>
      </c>
      <c r="AR892">
        <v>6</v>
      </c>
      <c r="AS892">
        <v>5</v>
      </c>
    </row>
    <row r="893" spans="1:45" x14ac:dyDescent="0.25">
      <c r="A893">
        <v>29</v>
      </c>
      <c r="B893" t="s">
        <v>378</v>
      </c>
      <c r="E893" t="s">
        <v>388</v>
      </c>
      <c r="U893">
        <v>792</v>
      </c>
      <c r="V893">
        <v>10</v>
      </c>
      <c r="W893">
        <v>11</v>
      </c>
      <c r="X893">
        <v>15</v>
      </c>
      <c r="Y893">
        <v>14</v>
      </c>
      <c r="Z893">
        <v>18</v>
      </c>
      <c r="AA893">
        <v>21</v>
      </c>
      <c r="AB893">
        <v>6</v>
      </c>
      <c r="AC893">
        <v>2</v>
      </c>
      <c r="AD893">
        <v>5</v>
      </c>
      <c r="AE893">
        <v>1</v>
      </c>
      <c r="AF893">
        <v>12</v>
      </c>
      <c r="AG893">
        <v>19</v>
      </c>
      <c r="AH893">
        <v>9</v>
      </c>
      <c r="AI893">
        <v>16</v>
      </c>
      <c r="AJ893">
        <v>13</v>
      </c>
      <c r="AK893">
        <v>20</v>
      </c>
      <c r="AL893">
        <v>23</v>
      </c>
      <c r="AM893">
        <v>24</v>
      </c>
      <c r="AN893">
        <v>3</v>
      </c>
      <c r="AO893">
        <v>22</v>
      </c>
      <c r="AP893">
        <v>8</v>
      </c>
      <c r="AQ893">
        <v>17</v>
      </c>
      <c r="AR893">
        <v>7</v>
      </c>
      <c r="AS893">
        <v>4</v>
      </c>
    </row>
    <row r="894" spans="1:45" x14ac:dyDescent="0.25">
      <c r="A894">
        <v>29</v>
      </c>
      <c r="B894" t="s">
        <v>381</v>
      </c>
      <c r="E894" t="s">
        <v>379</v>
      </c>
      <c r="U894">
        <v>793</v>
      </c>
      <c r="V894">
        <v>17</v>
      </c>
      <c r="W894">
        <v>8</v>
      </c>
      <c r="X894">
        <v>16</v>
      </c>
      <c r="Y894">
        <v>15</v>
      </c>
      <c r="Z894">
        <v>11</v>
      </c>
      <c r="AA894">
        <v>21</v>
      </c>
      <c r="AB894">
        <v>7</v>
      </c>
      <c r="AC894">
        <v>2</v>
      </c>
      <c r="AD894">
        <v>4</v>
      </c>
      <c r="AE894">
        <v>1</v>
      </c>
      <c r="AF894">
        <v>9</v>
      </c>
      <c r="AG894">
        <v>20</v>
      </c>
      <c r="AH894">
        <v>12</v>
      </c>
      <c r="AI894">
        <v>19</v>
      </c>
      <c r="AJ894">
        <v>13</v>
      </c>
      <c r="AK894">
        <v>23</v>
      </c>
      <c r="AL894">
        <v>24</v>
      </c>
      <c r="AM894">
        <v>22</v>
      </c>
      <c r="AN894">
        <v>3</v>
      </c>
      <c r="AO894">
        <v>18</v>
      </c>
      <c r="AP894">
        <v>10</v>
      </c>
      <c r="AQ894">
        <v>14</v>
      </c>
      <c r="AR894">
        <v>6</v>
      </c>
      <c r="AS894">
        <v>5</v>
      </c>
    </row>
    <row r="895" spans="1:45" x14ac:dyDescent="0.25">
      <c r="A895">
        <v>29</v>
      </c>
      <c r="B895" t="s">
        <v>391</v>
      </c>
      <c r="E895" t="s">
        <v>401</v>
      </c>
      <c r="U895">
        <v>794</v>
      </c>
      <c r="V895">
        <v>17</v>
      </c>
      <c r="W895">
        <v>18</v>
      </c>
      <c r="X895">
        <v>7</v>
      </c>
      <c r="Y895">
        <v>13</v>
      </c>
      <c r="Z895">
        <v>19</v>
      </c>
      <c r="AA895">
        <v>21</v>
      </c>
      <c r="AB895">
        <v>6</v>
      </c>
      <c r="AC895">
        <v>2</v>
      </c>
      <c r="AD895">
        <v>4</v>
      </c>
      <c r="AE895">
        <v>1</v>
      </c>
      <c r="AF895">
        <v>12</v>
      </c>
      <c r="AG895">
        <v>16</v>
      </c>
      <c r="AH895">
        <v>8</v>
      </c>
      <c r="AI895">
        <v>11</v>
      </c>
      <c r="AJ895">
        <v>14</v>
      </c>
      <c r="AK895">
        <v>20</v>
      </c>
      <c r="AL895">
        <v>24</v>
      </c>
      <c r="AM895">
        <v>22</v>
      </c>
      <c r="AN895">
        <v>3</v>
      </c>
      <c r="AO895">
        <v>23</v>
      </c>
      <c r="AP895">
        <v>9</v>
      </c>
      <c r="AQ895">
        <v>15</v>
      </c>
      <c r="AR895">
        <v>10</v>
      </c>
      <c r="AS895">
        <v>5</v>
      </c>
    </row>
    <row r="896" spans="1:45" x14ac:dyDescent="0.25">
      <c r="A896">
        <v>29</v>
      </c>
      <c r="B896" t="s">
        <v>382</v>
      </c>
      <c r="E896" t="s">
        <v>380</v>
      </c>
      <c r="U896">
        <v>795</v>
      </c>
      <c r="V896">
        <v>15</v>
      </c>
      <c r="W896">
        <v>16</v>
      </c>
      <c r="X896">
        <v>12</v>
      </c>
      <c r="Y896">
        <v>10</v>
      </c>
      <c r="Z896">
        <v>11</v>
      </c>
      <c r="AA896">
        <v>21</v>
      </c>
      <c r="AB896">
        <v>6</v>
      </c>
      <c r="AC896">
        <v>2</v>
      </c>
      <c r="AD896">
        <v>3</v>
      </c>
      <c r="AE896">
        <v>1</v>
      </c>
      <c r="AF896">
        <v>18</v>
      </c>
      <c r="AG896">
        <v>19</v>
      </c>
      <c r="AH896">
        <v>9</v>
      </c>
      <c r="AI896">
        <v>14</v>
      </c>
      <c r="AJ896">
        <v>13</v>
      </c>
      <c r="AK896">
        <v>22</v>
      </c>
      <c r="AL896">
        <v>23</v>
      </c>
      <c r="AM896">
        <v>24</v>
      </c>
      <c r="AN896">
        <v>5</v>
      </c>
      <c r="AO896">
        <v>20</v>
      </c>
      <c r="AP896">
        <v>7</v>
      </c>
      <c r="AQ896">
        <v>17</v>
      </c>
      <c r="AR896">
        <v>8</v>
      </c>
      <c r="AS896">
        <v>4</v>
      </c>
    </row>
    <row r="897" spans="1:45" x14ac:dyDescent="0.25">
      <c r="A897">
        <v>29</v>
      </c>
      <c r="B897" t="s">
        <v>395</v>
      </c>
      <c r="E897" t="s">
        <v>400</v>
      </c>
      <c r="U897">
        <v>796</v>
      </c>
      <c r="V897">
        <v>18</v>
      </c>
      <c r="W897">
        <v>12</v>
      </c>
      <c r="X897">
        <v>15</v>
      </c>
      <c r="Y897">
        <v>9</v>
      </c>
      <c r="Z897">
        <v>11</v>
      </c>
      <c r="AA897">
        <v>20</v>
      </c>
      <c r="AB897">
        <v>6</v>
      </c>
      <c r="AC897">
        <v>2</v>
      </c>
      <c r="AD897">
        <v>3</v>
      </c>
      <c r="AE897">
        <v>1</v>
      </c>
      <c r="AF897">
        <v>7</v>
      </c>
      <c r="AG897">
        <v>22</v>
      </c>
      <c r="AH897">
        <v>17</v>
      </c>
      <c r="AI897">
        <v>13</v>
      </c>
      <c r="AJ897">
        <v>10</v>
      </c>
      <c r="AK897">
        <v>19</v>
      </c>
      <c r="AL897">
        <v>23</v>
      </c>
      <c r="AM897">
        <v>24</v>
      </c>
      <c r="AN897">
        <v>4</v>
      </c>
      <c r="AO897">
        <v>21</v>
      </c>
      <c r="AP897">
        <v>14</v>
      </c>
      <c r="AQ897">
        <v>16</v>
      </c>
      <c r="AR897">
        <v>8</v>
      </c>
      <c r="AS897">
        <v>5</v>
      </c>
    </row>
    <row r="898" spans="1:45" x14ac:dyDescent="0.25">
      <c r="A898">
        <v>29</v>
      </c>
      <c r="B898" t="s">
        <v>385</v>
      </c>
      <c r="E898" t="s">
        <v>394</v>
      </c>
      <c r="U898">
        <v>797</v>
      </c>
      <c r="V898">
        <v>16</v>
      </c>
      <c r="W898">
        <v>7</v>
      </c>
      <c r="X898">
        <v>9</v>
      </c>
      <c r="Y898">
        <v>10</v>
      </c>
      <c r="Z898">
        <v>13</v>
      </c>
      <c r="AA898">
        <v>21</v>
      </c>
      <c r="AB898">
        <v>6</v>
      </c>
      <c r="AC898">
        <v>2</v>
      </c>
      <c r="AD898">
        <v>3</v>
      </c>
      <c r="AE898">
        <v>1</v>
      </c>
      <c r="AF898">
        <v>12</v>
      </c>
      <c r="AG898">
        <v>19</v>
      </c>
      <c r="AH898">
        <v>15</v>
      </c>
      <c r="AI898">
        <v>14</v>
      </c>
      <c r="AJ898">
        <v>17</v>
      </c>
      <c r="AK898">
        <v>23</v>
      </c>
      <c r="AL898">
        <v>24</v>
      </c>
      <c r="AM898">
        <v>22</v>
      </c>
      <c r="AN898">
        <v>4</v>
      </c>
      <c r="AO898">
        <v>20</v>
      </c>
      <c r="AP898">
        <v>8</v>
      </c>
      <c r="AQ898">
        <v>18</v>
      </c>
      <c r="AR898">
        <v>11</v>
      </c>
      <c r="AS898">
        <v>5</v>
      </c>
    </row>
    <row r="899" spans="1:45" x14ac:dyDescent="0.25">
      <c r="A899">
        <v>29</v>
      </c>
      <c r="B899" t="s">
        <v>396</v>
      </c>
      <c r="E899" t="s">
        <v>384</v>
      </c>
      <c r="U899">
        <v>798</v>
      </c>
      <c r="V899">
        <v>17</v>
      </c>
      <c r="W899">
        <v>6</v>
      </c>
      <c r="X899">
        <v>14</v>
      </c>
      <c r="Y899">
        <v>12</v>
      </c>
      <c r="Z899">
        <v>16</v>
      </c>
      <c r="AA899">
        <v>22</v>
      </c>
      <c r="AB899">
        <v>4</v>
      </c>
      <c r="AC899">
        <v>3</v>
      </c>
      <c r="AD899">
        <v>2</v>
      </c>
      <c r="AE899">
        <v>1</v>
      </c>
      <c r="AF899">
        <v>9</v>
      </c>
      <c r="AG899">
        <v>19</v>
      </c>
      <c r="AH899">
        <v>13</v>
      </c>
      <c r="AI899">
        <v>18</v>
      </c>
      <c r="AJ899">
        <v>11</v>
      </c>
      <c r="AK899">
        <v>21</v>
      </c>
      <c r="AL899">
        <v>24</v>
      </c>
      <c r="AM899">
        <v>23</v>
      </c>
      <c r="AN899">
        <v>5</v>
      </c>
      <c r="AO899">
        <v>20</v>
      </c>
      <c r="AP899">
        <v>10</v>
      </c>
      <c r="AQ899">
        <v>15</v>
      </c>
      <c r="AR899">
        <v>7</v>
      </c>
      <c r="AS899">
        <v>8</v>
      </c>
    </row>
    <row r="900" spans="1:45" x14ac:dyDescent="0.25">
      <c r="A900">
        <v>29</v>
      </c>
      <c r="B900" t="s">
        <v>389</v>
      </c>
      <c r="E900" t="s">
        <v>392</v>
      </c>
      <c r="U900">
        <v>799</v>
      </c>
      <c r="V900">
        <v>17</v>
      </c>
      <c r="W900">
        <v>13</v>
      </c>
      <c r="X900">
        <v>15</v>
      </c>
      <c r="Y900">
        <v>9</v>
      </c>
      <c r="Z900">
        <v>16</v>
      </c>
      <c r="AA900">
        <v>19</v>
      </c>
      <c r="AB900">
        <v>3</v>
      </c>
      <c r="AC900">
        <v>2</v>
      </c>
      <c r="AD900">
        <v>5</v>
      </c>
      <c r="AE900">
        <v>1</v>
      </c>
      <c r="AF900">
        <v>18</v>
      </c>
      <c r="AG900">
        <v>20</v>
      </c>
      <c r="AH900">
        <v>12</v>
      </c>
      <c r="AI900">
        <v>14</v>
      </c>
      <c r="AJ900">
        <v>8</v>
      </c>
      <c r="AK900">
        <v>22</v>
      </c>
      <c r="AL900">
        <v>23</v>
      </c>
      <c r="AM900">
        <v>24</v>
      </c>
      <c r="AN900">
        <v>4</v>
      </c>
      <c r="AO900">
        <v>21</v>
      </c>
      <c r="AP900">
        <v>6</v>
      </c>
      <c r="AQ900">
        <v>7</v>
      </c>
      <c r="AR900">
        <v>10</v>
      </c>
      <c r="AS900">
        <v>11</v>
      </c>
    </row>
    <row r="901" spans="1:45" x14ac:dyDescent="0.25">
      <c r="A901">
        <v>29</v>
      </c>
      <c r="B901" t="s">
        <v>387</v>
      </c>
      <c r="E901" t="s">
        <v>399</v>
      </c>
      <c r="U901">
        <v>800</v>
      </c>
      <c r="V901">
        <v>16</v>
      </c>
      <c r="W901">
        <v>9</v>
      </c>
      <c r="X901">
        <v>13</v>
      </c>
      <c r="Y901">
        <v>12</v>
      </c>
      <c r="Z901">
        <v>8</v>
      </c>
      <c r="AA901">
        <v>20</v>
      </c>
      <c r="AB901">
        <v>5</v>
      </c>
      <c r="AC901">
        <v>2</v>
      </c>
      <c r="AD901">
        <v>6</v>
      </c>
      <c r="AE901">
        <v>1</v>
      </c>
      <c r="AF901">
        <v>14</v>
      </c>
      <c r="AG901">
        <v>19</v>
      </c>
      <c r="AH901">
        <v>10</v>
      </c>
      <c r="AI901">
        <v>18</v>
      </c>
      <c r="AJ901">
        <v>11</v>
      </c>
      <c r="AK901">
        <v>22</v>
      </c>
      <c r="AL901">
        <v>24</v>
      </c>
      <c r="AM901">
        <v>23</v>
      </c>
      <c r="AN901">
        <v>3</v>
      </c>
      <c r="AO901">
        <v>21</v>
      </c>
      <c r="AP901">
        <v>15</v>
      </c>
      <c r="AQ901">
        <v>17</v>
      </c>
      <c r="AR901">
        <v>7</v>
      </c>
      <c r="AS901">
        <v>4</v>
      </c>
    </row>
    <row r="902" spans="1:45" x14ac:dyDescent="0.25">
      <c r="A902">
        <v>29</v>
      </c>
      <c r="B902" t="s">
        <v>398</v>
      </c>
      <c r="E902" t="s">
        <v>397</v>
      </c>
      <c r="U902">
        <v>801</v>
      </c>
      <c r="V902">
        <v>19</v>
      </c>
      <c r="W902">
        <v>10</v>
      </c>
      <c r="X902">
        <v>16</v>
      </c>
      <c r="Y902">
        <v>11</v>
      </c>
      <c r="Z902">
        <v>17</v>
      </c>
      <c r="AA902">
        <v>20</v>
      </c>
      <c r="AB902">
        <v>6</v>
      </c>
      <c r="AC902">
        <v>2</v>
      </c>
      <c r="AD902">
        <v>3</v>
      </c>
      <c r="AE902">
        <v>1</v>
      </c>
      <c r="AF902">
        <v>9</v>
      </c>
      <c r="AG902">
        <v>13</v>
      </c>
      <c r="AH902">
        <v>14</v>
      </c>
      <c r="AI902">
        <v>12</v>
      </c>
      <c r="AJ902">
        <v>15</v>
      </c>
      <c r="AK902">
        <v>22</v>
      </c>
      <c r="AL902">
        <v>24</v>
      </c>
      <c r="AM902">
        <v>23</v>
      </c>
      <c r="AN902">
        <v>4</v>
      </c>
      <c r="AO902">
        <v>21</v>
      </c>
      <c r="AP902">
        <v>7</v>
      </c>
      <c r="AQ902">
        <v>18</v>
      </c>
      <c r="AR902">
        <v>8</v>
      </c>
      <c r="AS902">
        <v>5</v>
      </c>
    </row>
    <row r="903" spans="1:45" x14ac:dyDescent="0.25">
      <c r="A903">
        <v>29</v>
      </c>
      <c r="B903" t="s">
        <v>393</v>
      </c>
      <c r="E903" t="s">
        <v>383</v>
      </c>
      <c r="U903">
        <v>802</v>
      </c>
      <c r="V903">
        <v>17</v>
      </c>
      <c r="W903">
        <v>10</v>
      </c>
      <c r="X903">
        <v>13</v>
      </c>
      <c r="Y903">
        <v>15</v>
      </c>
      <c r="Z903">
        <v>14</v>
      </c>
      <c r="AA903">
        <v>20</v>
      </c>
      <c r="AB903">
        <v>6</v>
      </c>
      <c r="AC903">
        <v>2</v>
      </c>
      <c r="AD903">
        <v>3</v>
      </c>
      <c r="AE903">
        <v>1</v>
      </c>
      <c r="AF903">
        <v>11</v>
      </c>
      <c r="AG903">
        <v>18</v>
      </c>
      <c r="AH903">
        <v>9</v>
      </c>
      <c r="AI903">
        <v>19</v>
      </c>
      <c r="AJ903">
        <v>12</v>
      </c>
      <c r="AK903">
        <v>22</v>
      </c>
      <c r="AL903">
        <v>24</v>
      </c>
      <c r="AM903">
        <v>23</v>
      </c>
      <c r="AN903">
        <v>4</v>
      </c>
      <c r="AO903">
        <v>21</v>
      </c>
      <c r="AP903">
        <v>8</v>
      </c>
      <c r="AQ903">
        <v>16</v>
      </c>
      <c r="AR903">
        <v>7</v>
      </c>
      <c r="AS903">
        <v>5</v>
      </c>
    </row>
    <row r="904" spans="1:45" x14ac:dyDescent="0.25">
      <c r="A904">
        <v>30</v>
      </c>
      <c r="B904" t="s">
        <v>380</v>
      </c>
      <c r="E904" t="s">
        <v>386</v>
      </c>
      <c r="U904">
        <v>803</v>
      </c>
      <c r="V904">
        <v>10</v>
      </c>
      <c r="W904">
        <v>15</v>
      </c>
      <c r="X904">
        <v>13</v>
      </c>
      <c r="Y904">
        <v>7</v>
      </c>
      <c r="Z904">
        <v>18</v>
      </c>
      <c r="AA904">
        <v>22</v>
      </c>
      <c r="AB904">
        <v>8</v>
      </c>
      <c r="AC904">
        <v>2</v>
      </c>
      <c r="AD904">
        <v>3</v>
      </c>
      <c r="AE904">
        <v>1</v>
      </c>
      <c r="AF904">
        <v>6</v>
      </c>
      <c r="AG904">
        <v>21</v>
      </c>
      <c r="AH904">
        <v>14</v>
      </c>
      <c r="AI904">
        <v>17</v>
      </c>
      <c r="AJ904">
        <v>16</v>
      </c>
      <c r="AK904">
        <v>19</v>
      </c>
      <c r="AL904">
        <v>24</v>
      </c>
      <c r="AM904">
        <v>23</v>
      </c>
      <c r="AN904">
        <v>4</v>
      </c>
      <c r="AO904">
        <v>20</v>
      </c>
      <c r="AP904">
        <v>9</v>
      </c>
      <c r="AQ904">
        <v>12</v>
      </c>
      <c r="AR904">
        <v>11</v>
      </c>
      <c r="AS904">
        <v>5</v>
      </c>
    </row>
    <row r="905" spans="1:45" x14ac:dyDescent="0.25">
      <c r="A905">
        <v>30</v>
      </c>
      <c r="B905" t="s">
        <v>394</v>
      </c>
      <c r="E905" t="s">
        <v>396</v>
      </c>
      <c r="U905">
        <v>804</v>
      </c>
      <c r="V905">
        <v>17</v>
      </c>
      <c r="W905">
        <v>13</v>
      </c>
      <c r="X905">
        <v>8</v>
      </c>
      <c r="Y905">
        <v>10</v>
      </c>
      <c r="Z905">
        <v>19</v>
      </c>
      <c r="AA905">
        <v>22</v>
      </c>
      <c r="AB905">
        <v>6</v>
      </c>
      <c r="AC905">
        <v>2</v>
      </c>
      <c r="AD905">
        <v>3</v>
      </c>
      <c r="AE905">
        <v>1</v>
      </c>
      <c r="AF905">
        <v>9</v>
      </c>
      <c r="AG905">
        <v>14</v>
      </c>
      <c r="AH905">
        <v>12</v>
      </c>
      <c r="AI905">
        <v>18</v>
      </c>
      <c r="AJ905">
        <v>15</v>
      </c>
      <c r="AK905">
        <v>21</v>
      </c>
      <c r="AL905">
        <v>24</v>
      </c>
      <c r="AM905">
        <v>23</v>
      </c>
      <c r="AN905">
        <v>4</v>
      </c>
      <c r="AO905">
        <v>20</v>
      </c>
      <c r="AP905">
        <v>11</v>
      </c>
      <c r="AQ905">
        <v>16</v>
      </c>
      <c r="AR905">
        <v>5</v>
      </c>
      <c r="AS905">
        <v>7</v>
      </c>
    </row>
    <row r="906" spans="1:45" x14ac:dyDescent="0.25">
      <c r="A906">
        <v>30</v>
      </c>
      <c r="B906" t="s">
        <v>379</v>
      </c>
      <c r="E906" t="s">
        <v>393</v>
      </c>
      <c r="U906">
        <v>805</v>
      </c>
      <c r="V906">
        <v>15</v>
      </c>
      <c r="W906">
        <v>10</v>
      </c>
      <c r="X906">
        <v>12</v>
      </c>
      <c r="Y906" t="e">
        <v>#N/A</v>
      </c>
      <c r="Z906">
        <v>17</v>
      </c>
      <c r="AA906">
        <v>22</v>
      </c>
      <c r="AB906">
        <v>9</v>
      </c>
      <c r="AC906">
        <v>2</v>
      </c>
      <c r="AD906">
        <v>3</v>
      </c>
      <c r="AE906">
        <v>1</v>
      </c>
      <c r="AF906">
        <v>11</v>
      </c>
      <c r="AG906">
        <v>19</v>
      </c>
      <c r="AH906">
        <v>7</v>
      </c>
      <c r="AI906">
        <v>18</v>
      </c>
      <c r="AJ906">
        <v>14</v>
      </c>
      <c r="AK906">
        <v>21</v>
      </c>
      <c r="AL906">
        <v>24</v>
      </c>
      <c r="AM906">
        <v>23</v>
      </c>
      <c r="AN906">
        <v>4</v>
      </c>
      <c r="AO906">
        <v>20</v>
      </c>
      <c r="AP906">
        <v>6</v>
      </c>
      <c r="AQ906">
        <v>16</v>
      </c>
      <c r="AR906">
        <v>8</v>
      </c>
      <c r="AS906">
        <v>5</v>
      </c>
    </row>
    <row r="907" spans="1:45" x14ac:dyDescent="0.25">
      <c r="A907">
        <v>30</v>
      </c>
      <c r="B907" t="s">
        <v>392</v>
      </c>
      <c r="E907" t="s">
        <v>385</v>
      </c>
      <c r="U907">
        <v>806</v>
      </c>
      <c r="V907">
        <v>17</v>
      </c>
      <c r="W907">
        <v>6</v>
      </c>
      <c r="X907">
        <v>16</v>
      </c>
      <c r="Y907">
        <v>11</v>
      </c>
      <c r="Z907">
        <v>10</v>
      </c>
      <c r="AA907">
        <v>21</v>
      </c>
      <c r="AB907">
        <v>8</v>
      </c>
      <c r="AC907">
        <v>2</v>
      </c>
      <c r="AD907">
        <v>4</v>
      </c>
      <c r="AE907">
        <v>1</v>
      </c>
      <c r="AF907">
        <v>13</v>
      </c>
      <c r="AG907">
        <v>18</v>
      </c>
      <c r="AH907">
        <v>9</v>
      </c>
      <c r="AI907">
        <v>15</v>
      </c>
      <c r="AJ907">
        <v>14</v>
      </c>
      <c r="AK907">
        <v>22</v>
      </c>
      <c r="AL907">
        <v>24</v>
      </c>
      <c r="AM907">
        <v>23</v>
      </c>
      <c r="AN907">
        <v>3</v>
      </c>
      <c r="AO907">
        <v>19</v>
      </c>
      <c r="AP907">
        <v>12</v>
      </c>
      <c r="AQ907">
        <v>20</v>
      </c>
      <c r="AR907">
        <v>5</v>
      </c>
      <c r="AS907">
        <v>7</v>
      </c>
    </row>
    <row r="908" spans="1:45" x14ac:dyDescent="0.25">
      <c r="A908">
        <v>30</v>
      </c>
      <c r="B908" t="s">
        <v>384</v>
      </c>
      <c r="E908" t="s">
        <v>389</v>
      </c>
      <c r="U908">
        <v>807</v>
      </c>
      <c r="V908">
        <v>20</v>
      </c>
      <c r="W908">
        <v>15</v>
      </c>
      <c r="X908">
        <v>9</v>
      </c>
      <c r="Y908">
        <v>13</v>
      </c>
      <c r="Z908">
        <v>22</v>
      </c>
      <c r="AA908">
        <v>17</v>
      </c>
      <c r="AB908">
        <v>5</v>
      </c>
      <c r="AC908">
        <v>2</v>
      </c>
      <c r="AD908">
        <v>3</v>
      </c>
      <c r="AE908">
        <v>1</v>
      </c>
      <c r="AF908">
        <v>10</v>
      </c>
      <c r="AG908">
        <v>16</v>
      </c>
      <c r="AH908">
        <v>14</v>
      </c>
      <c r="AI908">
        <v>11</v>
      </c>
      <c r="AJ908">
        <v>12</v>
      </c>
      <c r="AK908">
        <v>21</v>
      </c>
      <c r="AL908">
        <v>23</v>
      </c>
      <c r="AM908">
        <v>24</v>
      </c>
      <c r="AN908">
        <v>4</v>
      </c>
      <c r="AO908">
        <v>18</v>
      </c>
      <c r="AP908">
        <v>7</v>
      </c>
      <c r="AQ908">
        <v>19</v>
      </c>
      <c r="AR908">
        <v>8</v>
      </c>
      <c r="AS908">
        <v>6</v>
      </c>
    </row>
    <row r="909" spans="1:45" x14ac:dyDescent="0.25">
      <c r="A909">
        <v>30</v>
      </c>
      <c r="B909" t="s">
        <v>401</v>
      </c>
      <c r="E909" t="s">
        <v>378</v>
      </c>
      <c r="U909">
        <v>808</v>
      </c>
      <c r="V909">
        <v>15</v>
      </c>
      <c r="W909">
        <v>9</v>
      </c>
      <c r="X909">
        <v>13</v>
      </c>
      <c r="Y909">
        <v>8</v>
      </c>
      <c r="Z909">
        <v>12</v>
      </c>
      <c r="AA909">
        <v>22</v>
      </c>
      <c r="AB909">
        <v>5</v>
      </c>
      <c r="AC909">
        <v>2</v>
      </c>
      <c r="AD909">
        <v>6</v>
      </c>
      <c r="AE909">
        <v>1</v>
      </c>
      <c r="AF909">
        <v>16</v>
      </c>
      <c r="AG909">
        <v>18</v>
      </c>
      <c r="AH909">
        <v>14</v>
      </c>
      <c r="AI909">
        <v>17</v>
      </c>
      <c r="AJ909">
        <v>10</v>
      </c>
      <c r="AK909">
        <v>21</v>
      </c>
      <c r="AL909">
        <v>24</v>
      </c>
      <c r="AM909">
        <v>23</v>
      </c>
      <c r="AN909">
        <v>3</v>
      </c>
      <c r="AO909">
        <v>19</v>
      </c>
      <c r="AP909">
        <v>11</v>
      </c>
      <c r="AQ909">
        <v>20</v>
      </c>
      <c r="AR909">
        <v>7</v>
      </c>
      <c r="AS909">
        <v>4</v>
      </c>
    </row>
    <row r="910" spans="1:45" x14ac:dyDescent="0.25">
      <c r="A910">
        <v>30</v>
      </c>
      <c r="B910" t="s">
        <v>400</v>
      </c>
      <c r="E910" t="s">
        <v>381</v>
      </c>
      <c r="U910">
        <v>809</v>
      </c>
      <c r="V910">
        <v>13</v>
      </c>
      <c r="W910">
        <v>10</v>
      </c>
      <c r="X910">
        <v>16</v>
      </c>
      <c r="Y910">
        <v>9</v>
      </c>
      <c r="Z910">
        <v>17</v>
      </c>
      <c r="AA910">
        <v>20</v>
      </c>
      <c r="AB910">
        <v>7</v>
      </c>
      <c r="AC910">
        <v>1</v>
      </c>
      <c r="AD910">
        <v>3</v>
      </c>
      <c r="AE910">
        <v>2</v>
      </c>
      <c r="AF910">
        <v>12</v>
      </c>
      <c r="AG910">
        <v>19</v>
      </c>
      <c r="AH910">
        <v>8</v>
      </c>
      <c r="AI910">
        <v>18</v>
      </c>
      <c r="AJ910">
        <v>14</v>
      </c>
      <c r="AK910">
        <v>22</v>
      </c>
      <c r="AL910">
        <v>24</v>
      </c>
      <c r="AM910">
        <v>23</v>
      </c>
      <c r="AN910">
        <v>5</v>
      </c>
      <c r="AO910">
        <v>21</v>
      </c>
      <c r="AP910">
        <v>11</v>
      </c>
      <c r="AQ910">
        <v>15</v>
      </c>
      <c r="AR910">
        <v>4</v>
      </c>
      <c r="AS910">
        <v>6</v>
      </c>
    </row>
    <row r="911" spans="1:45" x14ac:dyDescent="0.25">
      <c r="A911">
        <v>30</v>
      </c>
      <c r="B911" t="s">
        <v>388</v>
      </c>
      <c r="E911" t="s">
        <v>398</v>
      </c>
      <c r="U911">
        <v>810</v>
      </c>
      <c r="V911">
        <v>12</v>
      </c>
      <c r="W911">
        <v>13</v>
      </c>
      <c r="X911">
        <v>17</v>
      </c>
      <c r="Y911">
        <v>10</v>
      </c>
      <c r="Z911">
        <v>7</v>
      </c>
      <c r="AA911">
        <v>20</v>
      </c>
      <c r="AB911">
        <v>5</v>
      </c>
      <c r="AC911">
        <v>2</v>
      </c>
      <c r="AD911">
        <v>3</v>
      </c>
      <c r="AE911">
        <v>1</v>
      </c>
      <c r="AF911">
        <v>8</v>
      </c>
      <c r="AG911">
        <v>18</v>
      </c>
      <c r="AH911">
        <v>14</v>
      </c>
      <c r="AI911">
        <v>16</v>
      </c>
      <c r="AJ911">
        <v>19</v>
      </c>
      <c r="AK911">
        <v>21</v>
      </c>
      <c r="AL911">
        <v>24</v>
      </c>
      <c r="AM911">
        <v>22</v>
      </c>
      <c r="AN911">
        <v>4</v>
      </c>
      <c r="AO911">
        <v>23</v>
      </c>
      <c r="AP911">
        <v>9</v>
      </c>
      <c r="AQ911">
        <v>15</v>
      </c>
      <c r="AR911">
        <v>11</v>
      </c>
      <c r="AS911">
        <v>6</v>
      </c>
    </row>
    <row r="912" spans="1:45" x14ac:dyDescent="0.25">
      <c r="A912">
        <v>30</v>
      </c>
      <c r="B912" t="s">
        <v>399</v>
      </c>
      <c r="E912" t="s">
        <v>391</v>
      </c>
      <c r="U912">
        <v>811</v>
      </c>
      <c r="V912">
        <v>14</v>
      </c>
      <c r="W912">
        <v>5</v>
      </c>
      <c r="X912">
        <v>15</v>
      </c>
      <c r="Y912">
        <v>11</v>
      </c>
      <c r="Z912">
        <v>13</v>
      </c>
      <c r="AA912">
        <v>22</v>
      </c>
      <c r="AB912">
        <v>12</v>
      </c>
      <c r="AC912">
        <v>2</v>
      </c>
      <c r="AD912">
        <v>3</v>
      </c>
      <c r="AE912">
        <v>1</v>
      </c>
      <c r="AF912">
        <v>10</v>
      </c>
      <c r="AG912">
        <v>19</v>
      </c>
      <c r="AH912">
        <v>16</v>
      </c>
      <c r="AI912">
        <v>17</v>
      </c>
      <c r="AJ912">
        <v>9</v>
      </c>
      <c r="AK912">
        <v>21</v>
      </c>
      <c r="AL912">
        <v>24</v>
      </c>
      <c r="AM912">
        <v>23</v>
      </c>
      <c r="AN912">
        <v>4</v>
      </c>
      <c r="AO912">
        <v>20</v>
      </c>
      <c r="AP912">
        <v>8</v>
      </c>
      <c r="AQ912">
        <v>18</v>
      </c>
      <c r="AR912">
        <v>7</v>
      </c>
      <c r="AS912">
        <v>6</v>
      </c>
    </row>
    <row r="913" spans="1:45" x14ac:dyDescent="0.25">
      <c r="A913">
        <v>30</v>
      </c>
      <c r="B913" t="s">
        <v>383</v>
      </c>
      <c r="E913" t="s">
        <v>395</v>
      </c>
      <c r="U913">
        <v>812</v>
      </c>
      <c r="V913">
        <v>19</v>
      </c>
      <c r="W913">
        <v>5</v>
      </c>
      <c r="X913">
        <v>18</v>
      </c>
      <c r="Y913">
        <v>14</v>
      </c>
      <c r="Z913">
        <v>16</v>
      </c>
      <c r="AA913">
        <v>21</v>
      </c>
      <c r="AB913">
        <v>11</v>
      </c>
      <c r="AC913">
        <v>1</v>
      </c>
      <c r="AD913">
        <v>4</v>
      </c>
      <c r="AE913">
        <v>2</v>
      </c>
      <c r="AF913">
        <v>12</v>
      </c>
      <c r="AG913">
        <v>20</v>
      </c>
      <c r="AH913">
        <v>7</v>
      </c>
      <c r="AI913">
        <v>9</v>
      </c>
      <c r="AJ913">
        <v>10</v>
      </c>
      <c r="AK913">
        <v>22</v>
      </c>
      <c r="AL913">
        <v>24</v>
      </c>
      <c r="AM913">
        <v>23</v>
      </c>
      <c r="AN913">
        <v>3</v>
      </c>
      <c r="AO913">
        <v>17</v>
      </c>
      <c r="AP913">
        <v>13</v>
      </c>
      <c r="AQ913">
        <v>15</v>
      </c>
      <c r="AR913">
        <v>8</v>
      </c>
      <c r="AS913">
        <v>6</v>
      </c>
    </row>
    <row r="914" spans="1:45" x14ac:dyDescent="0.25">
      <c r="A914">
        <v>30</v>
      </c>
      <c r="B914" t="s">
        <v>397</v>
      </c>
      <c r="E914" t="s">
        <v>387</v>
      </c>
      <c r="U914">
        <v>813</v>
      </c>
      <c r="V914">
        <v>16</v>
      </c>
      <c r="W914">
        <v>11</v>
      </c>
      <c r="X914">
        <v>13</v>
      </c>
      <c r="Y914">
        <v>7</v>
      </c>
      <c r="Z914">
        <v>9</v>
      </c>
      <c r="AA914">
        <v>21</v>
      </c>
      <c r="AB914">
        <v>5</v>
      </c>
      <c r="AC914">
        <v>2</v>
      </c>
      <c r="AD914">
        <v>4</v>
      </c>
      <c r="AE914">
        <v>1</v>
      </c>
      <c r="AF914">
        <v>14</v>
      </c>
      <c r="AG914">
        <v>22</v>
      </c>
      <c r="AH914">
        <v>8</v>
      </c>
      <c r="AI914">
        <v>18</v>
      </c>
      <c r="AJ914">
        <v>17</v>
      </c>
      <c r="AK914">
        <v>19</v>
      </c>
      <c r="AL914">
        <v>24</v>
      </c>
      <c r="AM914">
        <v>23</v>
      </c>
      <c r="AN914">
        <v>3</v>
      </c>
      <c r="AO914">
        <v>20</v>
      </c>
      <c r="AP914">
        <v>10</v>
      </c>
      <c r="AQ914">
        <v>15</v>
      </c>
      <c r="AR914">
        <v>12</v>
      </c>
      <c r="AS914">
        <v>6</v>
      </c>
    </row>
    <row r="915" spans="1:45" x14ac:dyDescent="0.25">
      <c r="A915">
        <v>30</v>
      </c>
      <c r="B915" t="s">
        <v>390</v>
      </c>
      <c r="E915" t="s">
        <v>382</v>
      </c>
      <c r="U915">
        <v>814</v>
      </c>
      <c r="V915">
        <v>8</v>
      </c>
      <c r="W915">
        <v>12</v>
      </c>
      <c r="X915">
        <v>10</v>
      </c>
      <c r="Y915">
        <v>6</v>
      </c>
      <c r="Z915">
        <v>18</v>
      </c>
      <c r="AA915">
        <v>22</v>
      </c>
      <c r="AB915">
        <v>5</v>
      </c>
      <c r="AC915">
        <v>2</v>
      </c>
      <c r="AD915">
        <v>4</v>
      </c>
      <c r="AE915">
        <v>1</v>
      </c>
      <c r="AF915">
        <v>7</v>
      </c>
      <c r="AG915">
        <v>16</v>
      </c>
      <c r="AH915">
        <v>15</v>
      </c>
      <c r="AI915">
        <v>17</v>
      </c>
      <c r="AJ915">
        <v>9</v>
      </c>
      <c r="AK915">
        <v>20</v>
      </c>
      <c r="AL915">
        <v>24</v>
      </c>
      <c r="AM915">
        <v>23</v>
      </c>
      <c r="AN915">
        <v>3</v>
      </c>
      <c r="AO915">
        <v>21</v>
      </c>
      <c r="AP915">
        <v>14</v>
      </c>
      <c r="AQ915">
        <v>19</v>
      </c>
      <c r="AR915">
        <v>13</v>
      </c>
      <c r="AS915">
        <v>11</v>
      </c>
    </row>
    <row r="916" spans="1:45" x14ac:dyDescent="0.25">
      <c r="A916">
        <v>31</v>
      </c>
      <c r="B916" t="s">
        <v>393</v>
      </c>
      <c r="E916" t="s">
        <v>390</v>
      </c>
      <c r="U916">
        <v>815</v>
      </c>
      <c r="V916">
        <v>15</v>
      </c>
      <c r="W916">
        <v>7</v>
      </c>
      <c r="X916">
        <v>11</v>
      </c>
      <c r="Y916">
        <v>16</v>
      </c>
      <c r="Z916">
        <v>18</v>
      </c>
      <c r="AA916">
        <v>20</v>
      </c>
      <c r="AB916">
        <v>5</v>
      </c>
      <c r="AC916">
        <v>4</v>
      </c>
      <c r="AD916">
        <v>3</v>
      </c>
      <c r="AE916">
        <v>1</v>
      </c>
      <c r="AF916">
        <v>13</v>
      </c>
      <c r="AG916">
        <v>17</v>
      </c>
      <c r="AH916">
        <v>6</v>
      </c>
      <c r="AI916">
        <v>14</v>
      </c>
      <c r="AJ916">
        <v>10</v>
      </c>
      <c r="AK916">
        <v>22</v>
      </c>
      <c r="AL916">
        <v>24</v>
      </c>
      <c r="AM916">
        <v>23</v>
      </c>
      <c r="AN916">
        <v>2</v>
      </c>
      <c r="AO916">
        <v>19</v>
      </c>
      <c r="AP916">
        <v>8</v>
      </c>
      <c r="AQ916">
        <v>21</v>
      </c>
      <c r="AR916">
        <v>9</v>
      </c>
      <c r="AS916">
        <v>12</v>
      </c>
    </row>
    <row r="917" spans="1:45" x14ac:dyDescent="0.25">
      <c r="A917">
        <v>31</v>
      </c>
      <c r="B917" t="s">
        <v>381</v>
      </c>
      <c r="E917" t="s">
        <v>392</v>
      </c>
      <c r="U917">
        <v>816</v>
      </c>
      <c r="V917">
        <v>18</v>
      </c>
      <c r="W917">
        <v>13</v>
      </c>
      <c r="X917">
        <v>10</v>
      </c>
      <c r="Y917">
        <v>12</v>
      </c>
      <c r="Z917">
        <v>16</v>
      </c>
      <c r="AA917">
        <v>21</v>
      </c>
      <c r="AB917">
        <v>5</v>
      </c>
      <c r="AC917">
        <v>2</v>
      </c>
      <c r="AD917">
        <v>3</v>
      </c>
      <c r="AE917">
        <v>1</v>
      </c>
      <c r="AF917">
        <v>11</v>
      </c>
      <c r="AG917">
        <v>22</v>
      </c>
      <c r="AH917">
        <v>9</v>
      </c>
      <c r="AI917">
        <v>14</v>
      </c>
      <c r="AJ917">
        <v>15</v>
      </c>
      <c r="AK917">
        <v>19</v>
      </c>
      <c r="AL917">
        <v>24</v>
      </c>
      <c r="AM917">
        <v>23</v>
      </c>
      <c r="AN917">
        <v>6</v>
      </c>
      <c r="AO917">
        <v>20</v>
      </c>
      <c r="AP917">
        <v>8</v>
      </c>
      <c r="AQ917">
        <v>17</v>
      </c>
      <c r="AR917">
        <v>7</v>
      </c>
      <c r="AS917">
        <v>4</v>
      </c>
    </row>
    <row r="918" spans="1:45" x14ac:dyDescent="0.25">
      <c r="A918">
        <v>31</v>
      </c>
      <c r="B918" t="s">
        <v>384</v>
      </c>
      <c r="E918" t="s">
        <v>399</v>
      </c>
      <c r="U918">
        <v>817</v>
      </c>
      <c r="V918">
        <v>20</v>
      </c>
      <c r="W918">
        <v>12</v>
      </c>
      <c r="X918">
        <v>19</v>
      </c>
      <c r="Y918">
        <v>13</v>
      </c>
      <c r="Z918">
        <v>15</v>
      </c>
      <c r="AA918">
        <v>21</v>
      </c>
      <c r="AB918">
        <v>6</v>
      </c>
      <c r="AC918">
        <v>3</v>
      </c>
      <c r="AD918">
        <v>2</v>
      </c>
      <c r="AE918">
        <v>1</v>
      </c>
      <c r="AF918">
        <v>11</v>
      </c>
      <c r="AG918">
        <v>16</v>
      </c>
      <c r="AH918">
        <v>7</v>
      </c>
      <c r="AI918">
        <v>17</v>
      </c>
      <c r="AJ918">
        <v>10</v>
      </c>
      <c r="AK918">
        <v>22</v>
      </c>
      <c r="AL918">
        <v>24</v>
      </c>
      <c r="AM918">
        <v>23</v>
      </c>
      <c r="AN918">
        <v>4</v>
      </c>
      <c r="AO918">
        <v>18</v>
      </c>
      <c r="AP918">
        <v>9</v>
      </c>
      <c r="AQ918">
        <v>14</v>
      </c>
      <c r="AR918">
        <v>8</v>
      </c>
      <c r="AS918">
        <v>5</v>
      </c>
    </row>
    <row r="919" spans="1:45" x14ac:dyDescent="0.25">
      <c r="A919">
        <v>31</v>
      </c>
      <c r="B919" t="s">
        <v>398</v>
      </c>
      <c r="E919" t="s">
        <v>391</v>
      </c>
      <c r="U919">
        <v>818</v>
      </c>
      <c r="V919">
        <v>20</v>
      </c>
      <c r="W919">
        <v>9</v>
      </c>
      <c r="X919">
        <v>14</v>
      </c>
      <c r="Y919">
        <v>12</v>
      </c>
      <c r="Z919">
        <v>17</v>
      </c>
      <c r="AA919">
        <v>23</v>
      </c>
      <c r="AB919">
        <v>5</v>
      </c>
      <c r="AC919">
        <v>2</v>
      </c>
      <c r="AD919">
        <v>3</v>
      </c>
      <c r="AE919">
        <v>1</v>
      </c>
      <c r="AF919">
        <v>7</v>
      </c>
      <c r="AG919">
        <v>11</v>
      </c>
      <c r="AH919">
        <v>8</v>
      </c>
      <c r="AI919">
        <v>15</v>
      </c>
      <c r="AJ919">
        <v>16</v>
      </c>
      <c r="AK919">
        <v>22</v>
      </c>
      <c r="AL919">
        <v>24</v>
      </c>
      <c r="AM919">
        <v>21</v>
      </c>
      <c r="AN919">
        <v>4</v>
      </c>
      <c r="AO919">
        <v>19</v>
      </c>
      <c r="AP919">
        <v>10</v>
      </c>
      <c r="AQ919">
        <v>18</v>
      </c>
      <c r="AR919">
        <v>13</v>
      </c>
      <c r="AS919">
        <v>6</v>
      </c>
    </row>
    <row r="920" spans="1:45" x14ac:dyDescent="0.25">
      <c r="A920">
        <v>31</v>
      </c>
      <c r="B920" t="s">
        <v>379</v>
      </c>
      <c r="E920" t="s">
        <v>397</v>
      </c>
      <c r="U920">
        <v>819</v>
      </c>
      <c r="V920">
        <v>19</v>
      </c>
      <c r="W920">
        <v>14</v>
      </c>
      <c r="X920">
        <v>10</v>
      </c>
      <c r="Y920">
        <v>9</v>
      </c>
      <c r="Z920">
        <v>15</v>
      </c>
      <c r="AA920">
        <v>21</v>
      </c>
      <c r="AB920">
        <v>7</v>
      </c>
      <c r="AC920">
        <v>2</v>
      </c>
      <c r="AD920">
        <v>5</v>
      </c>
      <c r="AE920">
        <v>1</v>
      </c>
      <c r="AF920">
        <v>11</v>
      </c>
      <c r="AG920">
        <v>16</v>
      </c>
      <c r="AH920">
        <v>12</v>
      </c>
      <c r="AI920">
        <v>17</v>
      </c>
      <c r="AJ920">
        <v>13</v>
      </c>
      <c r="AK920">
        <v>22</v>
      </c>
      <c r="AL920">
        <v>24</v>
      </c>
      <c r="AM920">
        <v>23</v>
      </c>
      <c r="AN920">
        <v>4</v>
      </c>
      <c r="AO920">
        <v>20</v>
      </c>
      <c r="AP920">
        <v>8</v>
      </c>
      <c r="AQ920">
        <v>18</v>
      </c>
      <c r="AR920">
        <v>6</v>
      </c>
      <c r="AS920">
        <v>3</v>
      </c>
    </row>
    <row r="921" spans="1:45" x14ac:dyDescent="0.25">
      <c r="A921">
        <v>31</v>
      </c>
      <c r="B921" t="s">
        <v>382</v>
      </c>
      <c r="E921" t="s">
        <v>389</v>
      </c>
      <c r="U921">
        <v>820</v>
      </c>
      <c r="V921">
        <v>21</v>
      </c>
      <c r="W921">
        <v>10</v>
      </c>
      <c r="X921">
        <v>15</v>
      </c>
      <c r="Y921">
        <v>12</v>
      </c>
      <c r="Z921">
        <v>16</v>
      </c>
      <c r="AA921">
        <v>20</v>
      </c>
      <c r="AB921">
        <v>7</v>
      </c>
      <c r="AC921">
        <v>2</v>
      </c>
      <c r="AD921">
        <v>3</v>
      </c>
      <c r="AE921">
        <v>1</v>
      </c>
      <c r="AF921">
        <v>9</v>
      </c>
      <c r="AG921">
        <v>22</v>
      </c>
      <c r="AH921">
        <v>6</v>
      </c>
      <c r="AI921">
        <v>13</v>
      </c>
      <c r="AJ921">
        <v>18</v>
      </c>
      <c r="AK921">
        <v>19</v>
      </c>
      <c r="AL921">
        <v>23</v>
      </c>
      <c r="AM921">
        <v>24</v>
      </c>
      <c r="AN921">
        <v>4</v>
      </c>
      <c r="AO921">
        <v>17</v>
      </c>
      <c r="AP921">
        <v>8</v>
      </c>
      <c r="AQ921">
        <v>14</v>
      </c>
      <c r="AR921">
        <v>11</v>
      </c>
      <c r="AS921">
        <v>5</v>
      </c>
    </row>
    <row r="922" spans="1:45" x14ac:dyDescent="0.25">
      <c r="A922">
        <v>31</v>
      </c>
      <c r="B922" t="s">
        <v>400</v>
      </c>
      <c r="E922" t="s">
        <v>387</v>
      </c>
      <c r="U922">
        <v>821</v>
      </c>
      <c r="V922">
        <v>19</v>
      </c>
      <c r="W922">
        <v>10</v>
      </c>
      <c r="X922">
        <v>16</v>
      </c>
      <c r="Y922">
        <v>14</v>
      </c>
      <c r="Z922">
        <v>15</v>
      </c>
      <c r="AA922">
        <v>23</v>
      </c>
      <c r="AB922">
        <v>5</v>
      </c>
      <c r="AC922">
        <v>2</v>
      </c>
      <c r="AD922">
        <v>4</v>
      </c>
      <c r="AE922">
        <v>1</v>
      </c>
      <c r="AF922">
        <v>6</v>
      </c>
      <c r="AG922">
        <v>17</v>
      </c>
      <c r="AH922">
        <v>9</v>
      </c>
      <c r="AI922">
        <v>12</v>
      </c>
      <c r="AJ922">
        <v>18</v>
      </c>
      <c r="AK922">
        <v>21</v>
      </c>
      <c r="AL922">
        <v>24</v>
      </c>
      <c r="AM922">
        <v>22</v>
      </c>
      <c r="AN922">
        <v>3</v>
      </c>
      <c r="AO922">
        <v>20</v>
      </c>
      <c r="AP922">
        <v>11</v>
      </c>
      <c r="AQ922">
        <v>13</v>
      </c>
      <c r="AR922">
        <v>8</v>
      </c>
      <c r="AS922">
        <v>7</v>
      </c>
    </row>
    <row r="923" spans="1:45" x14ac:dyDescent="0.25">
      <c r="A923">
        <v>31</v>
      </c>
      <c r="B923" t="s">
        <v>385</v>
      </c>
      <c r="E923" t="s">
        <v>401</v>
      </c>
      <c r="U923">
        <v>822</v>
      </c>
      <c r="V923">
        <v>19</v>
      </c>
      <c r="W923">
        <v>11</v>
      </c>
      <c r="X923">
        <v>14</v>
      </c>
      <c r="Y923">
        <v>9</v>
      </c>
      <c r="Z923">
        <v>13</v>
      </c>
      <c r="AA923">
        <v>17</v>
      </c>
      <c r="AB923">
        <v>6</v>
      </c>
      <c r="AC923">
        <v>2</v>
      </c>
      <c r="AD923">
        <v>3</v>
      </c>
      <c r="AE923">
        <v>1</v>
      </c>
      <c r="AF923">
        <v>15</v>
      </c>
      <c r="AG923">
        <v>21</v>
      </c>
      <c r="AH923">
        <v>10</v>
      </c>
      <c r="AI923">
        <v>16</v>
      </c>
      <c r="AJ923">
        <v>7</v>
      </c>
      <c r="AK923">
        <v>22</v>
      </c>
      <c r="AL923">
        <v>24</v>
      </c>
      <c r="AM923">
        <v>23</v>
      </c>
      <c r="AN923">
        <v>5</v>
      </c>
      <c r="AO923">
        <v>20</v>
      </c>
      <c r="AP923">
        <v>8</v>
      </c>
      <c r="AQ923">
        <v>18</v>
      </c>
      <c r="AR923">
        <v>12</v>
      </c>
      <c r="AS923">
        <v>4</v>
      </c>
    </row>
    <row r="924" spans="1:45" x14ac:dyDescent="0.25">
      <c r="A924">
        <v>31</v>
      </c>
      <c r="B924" t="s">
        <v>396</v>
      </c>
      <c r="E924" t="s">
        <v>383</v>
      </c>
      <c r="U924">
        <v>823</v>
      </c>
      <c r="V924">
        <v>18</v>
      </c>
      <c r="W924">
        <v>8</v>
      </c>
      <c r="X924">
        <v>19</v>
      </c>
      <c r="Y924">
        <v>9</v>
      </c>
      <c r="Z924">
        <v>17</v>
      </c>
      <c r="AA924">
        <v>22</v>
      </c>
      <c r="AB924">
        <v>6</v>
      </c>
      <c r="AC924">
        <v>1</v>
      </c>
      <c r="AD924">
        <v>3</v>
      </c>
      <c r="AE924">
        <v>2</v>
      </c>
      <c r="AF924">
        <v>11</v>
      </c>
      <c r="AG924">
        <v>15</v>
      </c>
      <c r="AH924">
        <v>14</v>
      </c>
      <c r="AI924">
        <v>16</v>
      </c>
      <c r="AJ924">
        <v>10</v>
      </c>
      <c r="AK924">
        <v>21</v>
      </c>
      <c r="AL924">
        <v>23</v>
      </c>
      <c r="AM924">
        <v>24</v>
      </c>
      <c r="AN924">
        <v>5</v>
      </c>
      <c r="AO924">
        <v>20</v>
      </c>
      <c r="AP924">
        <v>12</v>
      </c>
      <c r="AQ924">
        <v>13</v>
      </c>
      <c r="AR924">
        <v>7</v>
      </c>
      <c r="AS924">
        <v>4</v>
      </c>
    </row>
    <row r="925" spans="1:45" x14ac:dyDescent="0.25">
      <c r="A925">
        <v>31</v>
      </c>
      <c r="B925" t="s">
        <v>386</v>
      </c>
      <c r="E925" t="s">
        <v>394</v>
      </c>
      <c r="U925">
        <v>824</v>
      </c>
      <c r="V925">
        <v>11</v>
      </c>
      <c r="W925">
        <v>7</v>
      </c>
      <c r="X925">
        <v>10</v>
      </c>
      <c r="Y925">
        <v>9</v>
      </c>
      <c r="Z925">
        <v>15</v>
      </c>
      <c r="AA925">
        <v>19</v>
      </c>
      <c r="AB925">
        <v>5</v>
      </c>
      <c r="AC925">
        <v>2</v>
      </c>
      <c r="AD925">
        <v>3</v>
      </c>
      <c r="AE925">
        <v>1</v>
      </c>
      <c r="AF925">
        <v>14</v>
      </c>
      <c r="AG925">
        <v>22</v>
      </c>
      <c r="AH925">
        <v>13</v>
      </c>
      <c r="AI925">
        <v>17</v>
      </c>
      <c r="AJ925">
        <v>16</v>
      </c>
      <c r="AK925">
        <v>21</v>
      </c>
      <c r="AL925">
        <v>24</v>
      </c>
      <c r="AM925">
        <v>23</v>
      </c>
      <c r="AN925">
        <v>4</v>
      </c>
      <c r="AO925">
        <v>20</v>
      </c>
      <c r="AP925">
        <v>6</v>
      </c>
      <c r="AQ925">
        <v>18</v>
      </c>
      <c r="AR925">
        <v>12</v>
      </c>
      <c r="AS925">
        <v>8</v>
      </c>
    </row>
    <row r="926" spans="1:45" x14ac:dyDescent="0.25">
      <c r="A926">
        <v>31</v>
      </c>
      <c r="B926" t="s">
        <v>395</v>
      </c>
      <c r="E926" t="s">
        <v>378</v>
      </c>
      <c r="U926">
        <v>825</v>
      </c>
      <c r="V926">
        <v>13</v>
      </c>
      <c r="W926">
        <v>9</v>
      </c>
      <c r="X926">
        <v>16</v>
      </c>
      <c r="Y926">
        <v>8</v>
      </c>
      <c r="Z926">
        <v>15</v>
      </c>
      <c r="AA926">
        <v>20</v>
      </c>
      <c r="AB926">
        <v>11</v>
      </c>
      <c r="AC926">
        <v>4</v>
      </c>
      <c r="AD926">
        <v>3</v>
      </c>
      <c r="AE926">
        <v>1</v>
      </c>
      <c r="AF926">
        <v>12</v>
      </c>
      <c r="AG926">
        <v>17</v>
      </c>
      <c r="AH926">
        <v>10</v>
      </c>
      <c r="AI926">
        <v>19</v>
      </c>
      <c r="AJ926">
        <v>14</v>
      </c>
      <c r="AK926">
        <v>21</v>
      </c>
      <c r="AL926">
        <v>24</v>
      </c>
      <c r="AM926">
        <v>23</v>
      </c>
      <c r="AN926">
        <v>2</v>
      </c>
      <c r="AO926">
        <v>22</v>
      </c>
      <c r="AP926">
        <v>7</v>
      </c>
      <c r="AQ926">
        <v>18</v>
      </c>
      <c r="AR926">
        <v>6</v>
      </c>
      <c r="AS926">
        <v>5</v>
      </c>
    </row>
    <row r="927" spans="1:45" x14ac:dyDescent="0.25">
      <c r="A927">
        <v>31</v>
      </c>
      <c r="B927" t="s">
        <v>388</v>
      </c>
      <c r="E927" t="s">
        <v>380</v>
      </c>
      <c r="U927">
        <v>826</v>
      </c>
      <c r="V927">
        <v>15</v>
      </c>
      <c r="W927">
        <v>7</v>
      </c>
      <c r="X927">
        <v>9</v>
      </c>
      <c r="Y927">
        <v>17</v>
      </c>
      <c r="Z927">
        <v>16</v>
      </c>
      <c r="AA927">
        <v>22</v>
      </c>
      <c r="AB927">
        <v>6</v>
      </c>
      <c r="AC927">
        <v>2</v>
      </c>
      <c r="AD927">
        <v>5</v>
      </c>
      <c r="AE927">
        <v>1</v>
      </c>
      <c r="AF927">
        <v>12</v>
      </c>
      <c r="AG927">
        <v>19</v>
      </c>
      <c r="AH927">
        <v>10</v>
      </c>
      <c r="AI927">
        <v>11</v>
      </c>
      <c r="AJ927">
        <v>8</v>
      </c>
      <c r="AK927">
        <v>20</v>
      </c>
      <c r="AL927">
        <v>24</v>
      </c>
      <c r="AM927">
        <v>23</v>
      </c>
      <c r="AN927">
        <v>3</v>
      </c>
      <c r="AO927">
        <v>21</v>
      </c>
      <c r="AP927">
        <v>14</v>
      </c>
      <c r="AQ927">
        <v>18</v>
      </c>
      <c r="AR927">
        <v>13</v>
      </c>
      <c r="AS927">
        <v>4</v>
      </c>
    </row>
    <row r="928" spans="1:45" x14ac:dyDescent="0.25">
      <c r="A928">
        <v>32</v>
      </c>
      <c r="B928" t="s">
        <v>387</v>
      </c>
      <c r="E928" t="s">
        <v>395</v>
      </c>
      <c r="U928">
        <v>827</v>
      </c>
      <c r="V928">
        <v>17</v>
      </c>
      <c r="W928">
        <v>15</v>
      </c>
      <c r="X928">
        <v>12</v>
      </c>
      <c r="Y928">
        <v>10</v>
      </c>
      <c r="Z928">
        <v>13</v>
      </c>
      <c r="AA928">
        <v>16</v>
      </c>
      <c r="AB928">
        <v>7</v>
      </c>
      <c r="AC928">
        <v>2</v>
      </c>
      <c r="AD928">
        <v>3</v>
      </c>
      <c r="AE928">
        <v>1</v>
      </c>
      <c r="AF928">
        <v>11</v>
      </c>
      <c r="AG928">
        <v>18</v>
      </c>
      <c r="AH928">
        <v>9</v>
      </c>
      <c r="AI928">
        <v>21</v>
      </c>
      <c r="AJ928">
        <v>14</v>
      </c>
      <c r="AK928">
        <v>20</v>
      </c>
      <c r="AL928">
        <v>23</v>
      </c>
      <c r="AM928">
        <v>24</v>
      </c>
      <c r="AN928">
        <v>4</v>
      </c>
      <c r="AO928">
        <v>22</v>
      </c>
      <c r="AP928">
        <v>6</v>
      </c>
      <c r="AQ928">
        <v>19</v>
      </c>
      <c r="AR928">
        <v>8</v>
      </c>
      <c r="AS928">
        <v>5</v>
      </c>
    </row>
    <row r="929" spans="1:45" x14ac:dyDescent="0.25">
      <c r="A929">
        <v>32</v>
      </c>
      <c r="B929" t="s">
        <v>399</v>
      </c>
      <c r="E929" t="s">
        <v>386</v>
      </c>
      <c r="U929">
        <v>828</v>
      </c>
      <c r="V929">
        <v>19</v>
      </c>
      <c r="W929">
        <v>5</v>
      </c>
      <c r="X929">
        <v>18</v>
      </c>
      <c r="Y929">
        <v>15</v>
      </c>
      <c r="Z929">
        <v>12</v>
      </c>
      <c r="AA929">
        <v>21</v>
      </c>
      <c r="AB929">
        <v>6</v>
      </c>
      <c r="AC929">
        <v>2</v>
      </c>
      <c r="AD929">
        <v>4</v>
      </c>
      <c r="AE929">
        <v>1</v>
      </c>
      <c r="AF929">
        <v>9</v>
      </c>
      <c r="AG929">
        <v>16</v>
      </c>
      <c r="AH929">
        <v>13</v>
      </c>
      <c r="AI929">
        <v>14</v>
      </c>
      <c r="AJ929">
        <v>10</v>
      </c>
      <c r="AK929">
        <v>22</v>
      </c>
      <c r="AL929">
        <v>24</v>
      </c>
      <c r="AM929">
        <v>23</v>
      </c>
      <c r="AN929">
        <v>3</v>
      </c>
      <c r="AO929">
        <v>20</v>
      </c>
      <c r="AP929">
        <v>11</v>
      </c>
      <c r="AQ929">
        <v>17</v>
      </c>
      <c r="AR929">
        <v>8</v>
      </c>
      <c r="AS929">
        <v>7</v>
      </c>
    </row>
    <row r="930" spans="1:45" x14ac:dyDescent="0.25">
      <c r="A930">
        <v>32</v>
      </c>
      <c r="B930" t="s">
        <v>378</v>
      </c>
      <c r="E930" t="s">
        <v>379</v>
      </c>
      <c r="U930">
        <v>829</v>
      </c>
      <c r="V930">
        <v>15</v>
      </c>
      <c r="W930">
        <v>14</v>
      </c>
      <c r="X930">
        <v>12</v>
      </c>
      <c r="Y930">
        <v>9</v>
      </c>
      <c r="Z930">
        <v>16</v>
      </c>
      <c r="AA930">
        <v>19</v>
      </c>
      <c r="AB930">
        <v>7</v>
      </c>
      <c r="AC930">
        <v>2</v>
      </c>
      <c r="AD930">
        <v>3</v>
      </c>
      <c r="AE930">
        <v>1</v>
      </c>
      <c r="AF930">
        <v>11</v>
      </c>
      <c r="AG930">
        <v>17</v>
      </c>
      <c r="AH930">
        <v>6</v>
      </c>
      <c r="AI930">
        <v>18</v>
      </c>
      <c r="AJ930">
        <v>8</v>
      </c>
      <c r="AK930">
        <v>22</v>
      </c>
      <c r="AL930">
        <v>23</v>
      </c>
      <c r="AM930">
        <v>24</v>
      </c>
      <c r="AN930">
        <v>4</v>
      </c>
      <c r="AO930">
        <v>20</v>
      </c>
      <c r="AP930">
        <v>13</v>
      </c>
      <c r="AQ930">
        <v>21</v>
      </c>
      <c r="AR930">
        <v>5</v>
      </c>
      <c r="AS930">
        <v>10</v>
      </c>
    </row>
    <row r="931" spans="1:45" x14ac:dyDescent="0.25">
      <c r="A931">
        <v>32</v>
      </c>
      <c r="B931" t="s">
        <v>390</v>
      </c>
      <c r="E931" t="s">
        <v>400</v>
      </c>
      <c r="U931">
        <v>830</v>
      </c>
      <c r="V931">
        <v>16</v>
      </c>
      <c r="W931">
        <v>13</v>
      </c>
      <c r="X931">
        <v>8</v>
      </c>
      <c r="Y931">
        <v>9</v>
      </c>
      <c r="Z931">
        <v>11</v>
      </c>
      <c r="AA931">
        <v>22</v>
      </c>
      <c r="AB931">
        <v>7</v>
      </c>
      <c r="AC931">
        <v>2</v>
      </c>
      <c r="AD931">
        <v>4</v>
      </c>
      <c r="AE931">
        <v>1</v>
      </c>
      <c r="AF931">
        <v>12</v>
      </c>
      <c r="AG931">
        <v>18</v>
      </c>
      <c r="AH931">
        <v>10</v>
      </c>
      <c r="AI931">
        <v>19</v>
      </c>
      <c r="AJ931">
        <v>15</v>
      </c>
      <c r="AK931">
        <v>21</v>
      </c>
      <c r="AL931">
        <v>24</v>
      </c>
      <c r="AM931">
        <v>23</v>
      </c>
      <c r="AN931">
        <v>3</v>
      </c>
      <c r="AO931">
        <v>20</v>
      </c>
      <c r="AP931">
        <v>6</v>
      </c>
      <c r="AQ931">
        <v>17</v>
      </c>
      <c r="AR931">
        <v>14</v>
      </c>
      <c r="AS931">
        <v>5</v>
      </c>
    </row>
    <row r="932" spans="1:45" x14ac:dyDescent="0.25">
      <c r="A932">
        <v>32</v>
      </c>
      <c r="B932" t="s">
        <v>394</v>
      </c>
      <c r="E932" t="s">
        <v>384</v>
      </c>
      <c r="U932">
        <v>831</v>
      </c>
      <c r="V932">
        <v>16</v>
      </c>
      <c r="W932">
        <v>7</v>
      </c>
      <c r="X932">
        <v>13</v>
      </c>
      <c r="Y932">
        <v>14</v>
      </c>
      <c r="Z932">
        <v>10</v>
      </c>
      <c r="AA932">
        <v>19</v>
      </c>
      <c r="AB932">
        <v>4</v>
      </c>
      <c r="AC932">
        <v>3</v>
      </c>
      <c r="AD932">
        <v>2</v>
      </c>
      <c r="AE932">
        <v>1</v>
      </c>
      <c r="AF932">
        <v>15</v>
      </c>
      <c r="AG932">
        <v>18</v>
      </c>
      <c r="AH932">
        <v>11</v>
      </c>
      <c r="AI932">
        <v>20</v>
      </c>
      <c r="AJ932">
        <v>12</v>
      </c>
      <c r="AK932">
        <v>21</v>
      </c>
      <c r="AL932">
        <v>24</v>
      </c>
      <c r="AM932">
        <v>23</v>
      </c>
      <c r="AN932">
        <v>5</v>
      </c>
      <c r="AO932">
        <v>22</v>
      </c>
      <c r="AP932">
        <v>9</v>
      </c>
      <c r="AQ932">
        <v>17</v>
      </c>
      <c r="AR932">
        <v>8</v>
      </c>
      <c r="AS932">
        <v>6</v>
      </c>
    </row>
    <row r="933" spans="1:45" x14ac:dyDescent="0.25">
      <c r="A933">
        <v>32</v>
      </c>
      <c r="B933" t="s">
        <v>380</v>
      </c>
      <c r="E933" t="s">
        <v>396</v>
      </c>
      <c r="U933">
        <v>832</v>
      </c>
      <c r="V933">
        <v>18</v>
      </c>
      <c r="W933">
        <v>13</v>
      </c>
      <c r="X933">
        <v>15</v>
      </c>
      <c r="Y933">
        <v>7</v>
      </c>
      <c r="Z933">
        <v>14</v>
      </c>
      <c r="AA933">
        <v>21</v>
      </c>
      <c r="AB933">
        <v>9</v>
      </c>
      <c r="AC933">
        <v>2</v>
      </c>
      <c r="AD933">
        <v>3</v>
      </c>
      <c r="AE933">
        <v>1</v>
      </c>
      <c r="AF933">
        <v>5</v>
      </c>
      <c r="AG933">
        <v>17</v>
      </c>
      <c r="AH933">
        <v>6</v>
      </c>
      <c r="AI933">
        <v>16</v>
      </c>
      <c r="AJ933">
        <v>20</v>
      </c>
      <c r="AK933">
        <v>22</v>
      </c>
      <c r="AL933">
        <v>24</v>
      </c>
      <c r="AM933">
        <v>23</v>
      </c>
      <c r="AN933">
        <v>4</v>
      </c>
      <c r="AO933">
        <v>19</v>
      </c>
      <c r="AP933">
        <v>11</v>
      </c>
      <c r="AQ933">
        <v>12</v>
      </c>
      <c r="AR933">
        <v>10</v>
      </c>
      <c r="AS933">
        <v>8</v>
      </c>
    </row>
    <row r="934" spans="1:45" x14ac:dyDescent="0.25">
      <c r="A934">
        <v>32</v>
      </c>
      <c r="B934" t="s">
        <v>392</v>
      </c>
      <c r="E934" t="s">
        <v>388</v>
      </c>
      <c r="U934">
        <v>833</v>
      </c>
      <c r="V934">
        <v>20</v>
      </c>
      <c r="W934">
        <v>9</v>
      </c>
      <c r="X934">
        <v>16</v>
      </c>
      <c r="Y934">
        <v>12</v>
      </c>
      <c r="Z934">
        <v>14</v>
      </c>
      <c r="AA934">
        <v>21</v>
      </c>
      <c r="AB934">
        <v>7</v>
      </c>
      <c r="AC934">
        <v>2</v>
      </c>
      <c r="AD934">
        <v>3</v>
      </c>
      <c r="AE934">
        <v>1</v>
      </c>
      <c r="AF934">
        <v>10</v>
      </c>
      <c r="AG934">
        <v>18</v>
      </c>
      <c r="AH934">
        <v>13</v>
      </c>
      <c r="AI934">
        <v>11</v>
      </c>
      <c r="AJ934">
        <v>19</v>
      </c>
      <c r="AK934">
        <v>22</v>
      </c>
      <c r="AL934">
        <v>24</v>
      </c>
      <c r="AM934">
        <v>23</v>
      </c>
      <c r="AN934">
        <v>5</v>
      </c>
      <c r="AO934">
        <v>17</v>
      </c>
      <c r="AP934">
        <v>8</v>
      </c>
      <c r="AQ934">
        <v>15</v>
      </c>
      <c r="AR934">
        <v>6</v>
      </c>
      <c r="AS934">
        <v>4</v>
      </c>
    </row>
    <row r="935" spans="1:45" x14ac:dyDescent="0.25">
      <c r="A935">
        <v>32</v>
      </c>
      <c r="B935" t="s">
        <v>389</v>
      </c>
      <c r="E935" t="s">
        <v>385</v>
      </c>
      <c r="U935">
        <v>834</v>
      </c>
      <c r="V935">
        <v>12</v>
      </c>
      <c r="W935">
        <v>14</v>
      </c>
      <c r="X935">
        <v>17</v>
      </c>
      <c r="Y935">
        <v>9</v>
      </c>
      <c r="Z935">
        <v>19</v>
      </c>
      <c r="AA935">
        <v>21</v>
      </c>
      <c r="AB935">
        <v>6</v>
      </c>
      <c r="AC935">
        <v>2</v>
      </c>
      <c r="AD935">
        <v>4</v>
      </c>
      <c r="AE935">
        <v>1</v>
      </c>
      <c r="AF935">
        <v>11</v>
      </c>
      <c r="AG935">
        <v>18</v>
      </c>
      <c r="AH935">
        <v>10</v>
      </c>
      <c r="AI935">
        <v>16</v>
      </c>
      <c r="AJ935">
        <v>13</v>
      </c>
      <c r="AK935">
        <v>22</v>
      </c>
      <c r="AL935">
        <v>24</v>
      </c>
      <c r="AM935">
        <v>23</v>
      </c>
      <c r="AN935">
        <v>3</v>
      </c>
      <c r="AO935">
        <v>20</v>
      </c>
      <c r="AP935">
        <v>8</v>
      </c>
      <c r="AQ935">
        <v>15</v>
      </c>
      <c r="AR935">
        <v>7</v>
      </c>
      <c r="AS935">
        <v>5</v>
      </c>
    </row>
    <row r="936" spans="1:45" x14ac:dyDescent="0.25">
      <c r="A936">
        <v>32</v>
      </c>
      <c r="B936" t="s">
        <v>383</v>
      </c>
      <c r="E936" t="s">
        <v>398</v>
      </c>
      <c r="U936">
        <v>835</v>
      </c>
      <c r="V936">
        <v>13</v>
      </c>
      <c r="W936">
        <v>9</v>
      </c>
      <c r="X936">
        <v>17</v>
      </c>
      <c r="Y936">
        <v>15</v>
      </c>
      <c r="Z936">
        <v>12</v>
      </c>
      <c r="AA936">
        <v>21</v>
      </c>
      <c r="AB936">
        <v>6</v>
      </c>
      <c r="AC936">
        <v>3</v>
      </c>
      <c r="AD936">
        <v>2</v>
      </c>
      <c r="AE936">
        <v>1</v>
      </c>
      <c r="AF936">
        <v>8</v>
      </c>
      <c r="AG936">
        <v>20</v>
      </c>
      <c r="AH936">
        <v>10</v>
      </c>
      <c r="AI936">
        <v>18</v>
      </c>
      <c r="AJ936">
        <v>14</v>
      </c>
      <c r="AK936">
        <v>19</v>
      </c>
      <c r="AL936">
        <v>23</v>
      </c>
      <c r="AM936">
        <v>24</v>
      </c>
      <c r="AN936">
        <v>4</v>
      </c>
      <c r="AO936">
        <v>22</v>
      </c>
      <c r="AP936">
        <v>7</v>
      </c>
      <c r="AQ936">
        <v>16</v>
      </c>
      <c r="AR936">
        <v>11</v>
      </c>
      <c r="AS936">
        <v>5</v>
      </c>
    </row>
    <row r="937" spans="1:45" x14ac:dyDescent="0.25">
      <c r="A937">
        <v>32</v>
      </c>
      <c r="B937" t="s">
        <v>391</v>
      </c>
      <c r="E937" t="s">
        <v>382</v>
      </c>
      <c r="U937">
        <v>836</v>
      </c>
      <c r="V937">
        <v>19</v>
      </c>
      <c r="W937">
        <v>9</v>
      </c>
      <c r="X937">
        <v>15</v>
      </c>
      <c r="Y937">
        <v>13</v>
      </c>
      <c r="Z937">
        <v>10</v>
      </c>
      <c r="AA937">
        <v>20</v>
      </c>
      <c r="AB937">
        <v>6</v>
      </c>
      <c r="AC937">
        <v>2</v>
      </c>
      <c r="AD937">
        <v>4</v>
      </c>
      <c r="AE937">
        <v>1</v>
      </c>
      <c r="AF937">
        <v>11</v>
      </c>
      <c r="AG937">
        <v>17</v>
      </c>
      <c r="AH937">
        <v>12</v>
      </c>
      <c r="AI937">
        <v>14</v>
      </c>
      <c r="AJ937">
        <v>8</v>
      </c>
      <c r="AK937">
        <v>18</v>
      </c>
      <c r="AL937">
        <v>24</v>
      </c>
      <c r="AM937">
        <v>23</v>
      </c>
      <c r="AN937">
        <v>3</v>
      </c>
      <c r="AO937">
        <v>21</v>
      </c>
      <c r="AP937">
        <v>16</v>
      </c>
      <c r="AQ937">
        <v>22</v>
      </c>
      <c r="AR937">
        <v>7</v>
      </c>
      <c r="AS937">
        <v>5</v>
      </c>
    </row>
    <row r="938" spans="1:45" x14ac:dyDescent="0.25">
      <c r="A938">
        <v>32</v>
      </c>
      <c r="B938" t="s">
        <v>397</v>
      </c>
      <c r="E938" t="s">
        <v>393</v>
      </c>
      <c r="U938">
        <v>837</v>
      </c>
      <c r="V938">
        <v>14</v>
      </c>
      <c r="W938">
        <v>13</v>
      </c>
      <c r="X938">
        <v>10</v>
      </c>
      <c r="Y938">
        <v>12</v>
      </c>
      <c r="Z938">
        <v>15</v>
      </c>
      <c r="AA938">
        <v>17</v>
      </c>
      <c r="AB938">
        <v>4</v>
      </c>
      <c r="AC938">
        <v>2</v>
      </c>
      <c r="AD938">
        <v>5</v>
      </c>
      <c r="AE938">
        <v>1</v>
      </c>
      <c r="AF938">
        <v>16</v>
      </c>
      <c r="AG938">
        <v>19</v>
      </c>
      <c r="AH938">
        <v>8</v>
      </c>
      <c r="AI938">
        <v>18</v>
      </c>
      <c r="AJ938">
        <v>6</v>
      </c>
      <c r="AK938">
        <v>22</v>
      </c>
      <c r="AL938">
        <v>23</v>
      </c>
      <c r="AM938">
        <v>24</v>
      </c>
      <c r="AN938">
        <v>3</v>
      </c>
      <c r="AO938">
        <v>21</v>
      </c>
      <c r="AP938">
        <v>11</v>
      </c>
      <c r="AQ938">
        <v>20</v>
      </c>
      <c r="AR938">
        <v>9</v>
      </c>
      <c r="AS938">
        <v>7</v>
      </c>
    </row>
    <row r="939" spans="1:45" x14ac:dyDescent="0.25">
      <c r="A939">
        <v>32</v>
      </c>
      <c r="B939" t="s">
        <v>401</v>
      </c>
      <c r="E939" t="s">
        <v>381</v>
      </c>
      <c r="U939">
        <v>838</v>
      </c>
      <c r="V939">
        <v>15</v>
      </c>
      <c r="W939">
        <v>13</v>
      </c>
      <c r="X939">
        <v>17</v>
      </c>
      <c r="Y939">
        <v>10</v>
      </c>
      <c r="Z939">
        <v>11</v>
      </c>
      <c r="AA939">
        <v>23</v>
      </c>
      <c r="AB939">
        <v>5</v>
      </c>
      <c r="AC939">
        <v>2</v>
      </c>
      <c r="AD939">
        <v>3</v>
      </c>
      <c r="AE939">
        <v>1</v>
      </c>
      <c r="AF939">
        <v>8</v>
      </c>
      <c r="AG939">
        <v>20</v>
      </c>
      <c r="AH939">
        <v>9</v>
      </c>
      <c r="AI939">
        <v>16</v>
      </c>
      <c r="AJ939">
        <v>18</v>
      </c>
      <c r="AK939">
        <v>21</v>
      </c>
      <c r="AL939">
        <v>24</v>
      </c>
      <c r="AM939">
        <v>22</v>
      </c>
      <c r="AN939">
        <v>4</v>
      </c>
      <c r="AO939">
        <v>19</v>
      </c>
      <c r="AP939">
        <v>12</v>
      </c>
      <c r="AQ939">
        <v>14</v>
      </c>
      <c r="AR939">
        <v>7</v>
      </c>
      <c r="AS939">
        <v>6</v>
      </c>
    </row>
    <row r="940" spans="1:45" x14ac:dyDescent="0.25">
      <c r="A940">
        <v>33</v>
      </c>
      <c r="B940" t="s">
        <v>378</v>
      </c>
      <c r="E940" t="s">
        <v>398</v>
      </c>
      <c r="U940">
        <v>839</v>
      </c>
      <c r="V940">
        <v>13</v>
      </c>
      <c r="W940">
        <v>7</v>
      </c>
      <c r="X940">
        <v>10</v>
      </c>
      <c r="Y940">
        <v>17</v>
      </c>
      <c r="Z940">
        <v>19</v>
      </c>
      <c r="AA940">
        <v>22</v>
      </c>
      <c r="AB940">
        <v>5</v>
      </c>
      <c r="AC940">
        <v>2</v>
      </c>
      <c r="AD940">
        <v>3</v>
      </c>
      <c r="AE940">
        <v>1</v>
      </c>
      <c r="AF940">
        <v>11</v>
      </c>
      <c r="AG940">
        <v>18</v>
      </c>
      <c r="AH940">
        <v>16</v>
      </c>
      <c r="AI940">
        <v>15</v>
      </c>
      <c r="AJ940">
        <v>12</v>
      </c>
      <c r="AK940">
        <v>20</v>
      </c>
      <c r="AL940">
        <v>24</v>
      </c>
      <c r="AM940">
        <v>23</v>
      </c>
      <c r="AN940">
        <v>4</v>
      </c>
      <c r="AO940">
        <v>21</v>
      </c>
      <c r="AP940">
        <v>8</v>
      </c>
      <c r="AQ940">
        <v>14</v>
      </c>
      <c r="AR940">
        <v>9</v>
      </c>
      <c r="AS940">
        <v>6</v>
      </c>
    </row>
    <row r="941" spans="1:45" x14ac:dyDescent="0.25">
      <c r="A941">
        <v>33</v>
      </c>
      <c r="B941" t="s">
        <v>401</v>
      </c>
      <c r="E941" t="s">
        <v>396</v>
      </c>
      <c r="U941">
        <v>840</v>
      </c>
      <c r="V941">
        <v>13</v>
      </c>
      <c r="W941">
        <v>5</v>
      </c>
      <c r="X941">
        <v>10</v>
      </c>
      <c r="Y941">
        <v>15</v>
      </c>
      <c r="Z941">
        <v>16</v>
      </c>
      <c r="AA941">
        <v>22</v>
      </c>
      <c r="AB941">
        <v>6</v>
      </c>
      <c r="AC941">
        <v>2</v>
      </c>
      <c r="AD941">
        <v>4</v>
      </c>
      <c r="AE941">
        <v>1</v>
      </c>
      <c r="AF941">
        <v>11</v>
      </c>
      <c r="AG941">
        <v>23</v>
      </c>
      <c r="AH941">
        <v>8</v>
      </c>
      <c r="AI941">
        <v>14</v>
      </c>
      <c r="AJ941">
        <v>18</v>
      </c>
      <c r="AK941">
        <v>20</v>
      </c>
      <c r="AL941">
        <v>24</v>
      </c>
      <c r="AM941">
        <v>21</v>
      </c>
      <c r="AN941">
        <v>3</v>
      </c>
      <c r="AO941">
        <v>19</v>
      </c>
      <c r="AP941">
        <v>7</v>
      </c>
      <c r="AQ941">
        <v>17</v>
      </c>
      <c r="AR941">
        <v>12</v>
      </c>
      <c r="AS941">
        <v>9</v>
      </c>
    </row>
    <row r="942" spans="1:45" x14ac:dyDescent="0.25">
      <c r="A942">
        <v>33</v>
      </c>
      <c r="B942" t="s">
        <v>392</v>
      </c>
      <c r="E942" t="s">
        <v>379</v>
      </c>
      <c r="U942">
        <v>841</v>
      </c>
      <c r="V942">
        <v>14</v>
      </c>
      <c r="W942">
        <v>10</v>
      </c>
      <c r="X942">
        <v>16</v>
      </c>
      <c r="Y942">
        <v>13</v>
      </c>
      <c r="Z942">
        <v>18</v>
      </c>
      <c r="AA942">
        <v>21</v>
      </c>
      <c r="AB942">
        <v>5</v>
      </c>
      <c r="AC942">
        <v>2</v>
      </c>
      <c r="AD942">
        <v>3</v>
      </c>
      <c r="AE942">
        <v>1</v>
      </c>
      <c r="AF942">
        <v>9</v>
      </c>
      <c r="AG942">
        <v>19</v>
      </c>
      <c r="AH942">
        <v>8</v>
      </c>
      <c r="AI942">
        <v>17</v>
      </c>
      <c r="AJ942">
        <v>15</v>
      </c>
      <c r="AK942">
        <v>20</v>
      </c>
      <c r="AL942">
        <v>24</v>
      </c>
      <c r="AM942">
        <v>23</v>
      </c>
      <c r="AN942">
        <v>4</v>
      </c>
      <c r="AO942">
        <v>22</v>
      </c>
      <c r="AP942">
        <v>12</v>
      </c>
      <c r="AQ942">
        <v>7</v>
      </c>
      <c r="AR942">
        <v>6</v>
      </c>
      <c r="AS942">
        <v>11</v>
      </c>
    </row>
    <row r="943" spans="1:45" x14ac:dyDescent="0.25">
      <c r="A943">
        <v>33</v>
      </c>
      <c r="B943" t="s">
        <v>390</v>
      </c>
      <c r="E943" t="s">
        <v>381</v>
      </c>
      <c r="U943">
        <v>842</v>
      </c>
      <c r="V943">
        <v>18</v>
      </c>
      <c r="W943">
        <v>11</v>
      </c>
      <c r="X943">
        <v>8</v>
      </c>
      <c r="Y943">
        <v>12</v>
      </c>
      <c r="Z943">
        <v>14</v>
      </c>
      <c r="AA943">
        <v>23</v>
      </c>
      <c r="AB943">
        <v>5</v>
      </c>
      <c r="AC943">
        <v>1</v>
      </c>
      <c r="AD943">
        <v>7</v>
      </c>
      <c r="AE943">
        <v>2</v>
      </c>
      <c r="AF943">
        <v>6</v>
      </c>
      <c r="AG943">
        <v>20</v>
      </c>
      <c r="AH943">
        <v>16</v>
      </c>
      <c r="AI943">
        <v>15</v>
      </c>
      <c r="AJ943">
        <v>13</v>
      </c>
      <c r="AK943">
        <v>21</v>
      </c>
      <c r="AL943">
        <v>24</v>
      </c>
      <c r="AM943">
        <v>22</v>
      </c>
      <c r="AN943">
        <v>3</v>
      </c>
      <c r="AO943">
        <v>19</v>
      </c>
      <c r="AP943">
        <v>9</v>
      </c>
      <c r="AQ943">
        <v>17</v>
      </c>
      <c r="AR943">
        <v>10</v>
      </c>
      <c r="AS943">
        <v>4</v>
      </c>
    </row>
    <row r="944" spans="1:45" x14ac:dyDescent="0.25">
      <c r="A944">
        <v>33</v>
      </c>
      <c r="B944" t="s">
        <v>387</v>
      </c>
      <c r="E944" t="s">
        <v>388</v>
      </c>
      <c r="U944">
        <v>843</v>
      </c>
      <c r="V944">
        <v>17</v>
      </c>
      <c r="W944">
        <v>9</v>
      </c>
      <c r="X944">
        <v>15</v>
      </c>
      <c r="Y944">
        <v>10</v>
      </c>
      <c r="Z944">
        <v>8</v>
      </c>
      <c r="AA944">
        <v>19</v>
      </c>
      <c r="AB944">
        <v>4</v>
      </c>
      <c r="AC944">
        <v>2</v>
      </c>
      <c r="AD944">
        <v>3</v>
      </c>
      <c r="AE944">
        <v>1</v>
      </c>
      <c r="AF944">
        <v>13</v>
      </c>
      <c r="AG944">
        <v>16</v>
      </c>
      <c r="AH944">
        <v>11</v>
      </c>
      <c r="AI944">
        <v>21</v>
      </c>
      <c r="AJ944">
        <v>12</v>
      </c>
      <c r="AK944">
        <v>22</v>
      </c>
      <c r="AL944">
        <v>24</v>
      </c>
      <c r="AM944">
        <v>23</v>
      </c>
      <c r="AN944">
        <v>5</v>
      </c>
      <c r="AO944">
        <v>20</v>
      </c>
      <c r="AP944">
        <v>6</v>
      </c>
      <c r="AQ944">
        <v>18</v>
      </c>
      <c r="AR944">
        <v>14</v>
      </c>
      <c r="AS944">
        <v>7</v>
      </c>
    </row>
    <row r="945" spans="1:45" x14ac:dyDescent="0.25">
      <c r="A945">
        <v>33</v>
      </c>
      <c r="B945" t="s">
        <v>397</v>
      </c>
      <c r="E945" t="s">
        <v>382</v>
      </c>
      <c r="U945">
        <v>844</v>
      </c>
      <c r="V945">
        <v>18</v>
      </c>
      <c r="W945">
        <v>12</v>
      </c>
      <c r="X945">
        <v>13</v>
      </c>
      <c r="Y945">
        <v>8</v>
      </c>
      <c r="Z945">
        <v>11</v>
      </c>
      <c r="AA945">
        <v>21</v>
      </c>
      <c r="AB945">
        <v>6</v>
      </c>
      <c r="AC945">
        <v>2</v>
      </c>
      <c r="AD945">
        <v>3</v>
      </c>
      <c r="AE945">
        <v>1</v>
      </c>
      <c r="AF945">
        <v>15</v>
      </c>
      <c r="AG945">
        <v>20</v>
      </c>
      <c r="AH945">
        <v>14</v>
      </c>
      <c r="AI945">
        <v>9</v>
      </c>
      <c r="AJ945">
        <v>16</v>
      </c>
      <c r="AK945">
        <v>22</v>
      </c>
      <c r="AL945">
        <v>24</v>
      </c>
      <c r="AM945">
        <v>23</v>
      </c>
      <c r="AN945">
        <v>4</v>
      </c>
      <c r="AO945">
        <v>17</v>
      </c>
      <c r="AP945">
        <v>7</v>
      </c>
      <c r="AQ945">
        <v>19</v>
      </c>
      <c r="AR945">
        <v>10</v>
      </c>
      <c r="AS945">
        <v>5</v>
      </c>
    </row>
    <row r="946" spans="1:45" x14ac:dyDescent="0.25">
      <c r="A946">
        <v>33</v>
      </c>
      <c r="B946" t="s">
        <v>391</v>
      </c>
      <c r="E946" t="s">
        <v>386</v>
      </c>
      <c r="U946">
        <v>845</v>
      </c>
      <c r="V946">
        <v>19</v>
      </c>
      <c r="W946">
        <v>6</v>
      </c>
      <c r="X946">
        <v>12</v>
      </c>
      <c r="Y946">
        <v>9</v>
      </c>
      <c r="Z946">
        <v>17</v>
      </c>
      <c r="AA946">
        <v>20</v>
      </c>
      <c r="AB946">
        <v>5</v>
      </c>
      <c r="AC946">
        <v>2</v>
      </c>
      <c r="AD946">
        <v>4</v>
      </c>
      <c r="AE946">
        <v>1</v>
      </c>
      <c r="AF946">
        <v>11</v>
      </c>
      <c r="AG946">
        <v>13</v>
      </c>
      <c r="AH946">
        <v>14</v>
      </c>
      <c r="AI946">
        <v>18</v>
      </c>
      <c r="AJ946">
        <v>15</v>
      </c>
      <c r="AK946">
        <v>22</v>
      </c>
      <c r="AL946">
        <v>24</v>
      </c>
      <c r="AM946">
        <v>23</v>
      </c>
      <c r="AN946">
        <v>3</v>
      </c>
      <c r="AO946">
        <v>21</v>
      </c>
      <c r="AP946">
        <v>8</v>
      </c>
      <c r="AQ946">
        <v>16</v>
      </c>
      <c r="AR946">
        <v>10</v>
      </c>
      <c r="AS946">
        <v>7</v>
      </c>
    </row>
    <row r="947" spans="1:45" x14ac:dyDescent="0.25">
      <c r="A947">
        <v>33</v>
      </c>
      <c r="B947" t="s">
        <v>380</v>
      </c>
      <c r="E947" t="s">
        <v>393</v>
      </c>
      <c r="U947">
        <v>846</v>
      </c>
      <c r="V947">
        <v>15</v>
      </c>
      <c r="W947">
        <v>7</v>
      </c>
      <c r="X947">
        <v>13</v>
      </c>
      <c r="Y947">
        <v>18</v>
      </c>
      <c r="Z947">
        <v>14</v>
      </c>
      <c r="AA947">
        <v>21</v>
      </c>
      <c r="AB947">
        <v>10</v>
      </c>
      <c r="AC947">
        <v>3</v>
      </c>
      <c r="AD947">
        <v>2</v>
      </c>
      <c r="AE947">
        <v>1</v>
      </c>
      <c r="AF947">
        <v>9</v>
      </c>
      <c r="AG947">
        <v>17</v>
      </c>
      <c r="AH947">
        <v>12</v>
      </c>
      <c r="AI947">
        <v>19</v>
      </c>
      <c r="AJ947">
        <v>11</v>
      </c>
      <c r="AK947">
        <v>20</v>
      </c>
      <c r="AL947">
        <v>24</v>
      </c>
      <c r="AM947">
        <v>23</v>
      </c>
      <c r="AN947">
        <v>4</v>
      </c>
      <c r="AO947">
        <v>22</v>
      </c>
      <c r="AP947">
        <v>8</v>
      </c>
      <c r="AQ947">
        <v>16</v>
      </c>
      <c r="AR947">
        <v>6</v>
      </c>
      <c r="AS947">
        <v>5</v>
      </c>
    </row>
    <row r="948" spans="1:45" x14ac:dyDescent="0.25">
      <c r="A948">
        <v>33</v>
      </c>
      <c r="B948" t="s">
        <v>394</v>
      </c>
      <c r="E948" t="s">
        <v>400</v>
      </c>
      <c r="U948">
        <v>847</v>
      </c>
      <c r="V948">
        <v>20</v>
      </c>
      <c r="W948">
        <v>12</v>
      </c>
      <c r="X948">
        <v>18</v>
      </c>
      <c r="Y948">
        <v>8</v>
      </c>
      <c r="Z948">
        <v>14</v>
      </c>
      <c r="AA948">
        <v>22</v>
      </c>
      <c r="AB948">
        <v>6</v>
      </c>
      <c r="AC948">
        <v>2</v>
      </c>
      <c r="AD948">
        <v>3</v>
      </c>
      <c r="AE948">
        <v>1</v>
      </c>
      <c r="AF948">
        <v>7</v>
      </c>
      <c r="AG948">
        <v>19</v>
      </c>
      <c r="AH948">
        <v>10</v>
      </c>
      <c r="AI948">
        <v>16</v>
      </c>
      <c r="AJ948">
        <v>13</v>
      </c>
      <c r="AK948">
        <v>21</v>
      </c>
      <c r="AL948">
        <v>24</v>
      </c>
      <c r="AM948">
        <v>23</v>
      </c>
      <c r="AN948">
        <v>4</v>
      </c>
      <c r="AO948">
        <v>17</v>
      </c>
      <c r="AP948">
        <v>11</v>
      </c>
      <c r="AQ948">
        <v>15</v>
      </c>
      <c r="AR948">
        <v>9</v>
      </c>
      <c r="AS948">
        <v>5</v>
      </c>
    </row>
    <row r="949" spans="1:45" x14ac:dyDescent="0.25">
      <c r="A949">
        <v>33</v>
      </c>
      <c r="B949" t="s">
        <v>389</v>
      </c>
      <c r="E949" t="s">
        <v>395</v>
      </c>
      <c r="U949">
        <v>848</v>
      </c>
      <c r="V949">
        <v>14</v>
      </c>
      <c r="W949">
        <v>13</v>
      </c>
      <c r="X949">
        <v>21</v>
      </c>
      <c r="Y949">
        <v>10</v>
      </c>
      <c r="Z949">
        <v>16</v>
      </c>
      <c r="AA949">
        <v>22</v>
      </c>
      <c r="AB949">
        <v>6</v>
      </c>
      <c r="AC949">
        <v>2</v>
      </c>
      <c r="AD949">
        <v>3</v>
      </c>
      <c r="AE949">
        <v>1</v>
      </c>
      <c r="AF949">
        <v>8</v>
      </c>
      <c r="AG949">
        <v>19</v>
      </c>
      <c r="AH949">
        <v>11</v>
      </c>
      <c r="AI949">
        <v>18</v>
      </c>
      <c r="AJ949">
        <v>15</v>
      </c>
      <c r="AK949">
        <v>17</v>
      </c>
      <c r="AL949">
        <v>24</v>
      </c>
      <c r="AM949">
        <v>23</v>
      </c>
      <c r="AN949">
        <v>4</v>
      </c>
      <c r="AO949">
        <v>20</v>
      </c>
      <c r="AP949">
        <v>9</v>
      </c>
      <c r="AQ949">
        <v>12</v>
      </c>
      <c r="AR949">
        <v>7</v>
      </c>
      <c r="AS949">
        <v>5</v>
      </c>
    </row>
    <row r="950" spans="1:45" x14ac:dyDescent="0.25">
      <c r="A950">
        <v>33</v>
      </c>
      <c r="B950" t="s">
        <v>383</v>
      </c>
      <c r="E950" t="s">
        <v>384</v>
      </c>
      <c r="U950">
        <v>849</v>
      </c>
      <c r="V950">
        <v>17</v>
      </c>
      <c r="W950">
        <v>14</v>
      </c>
      <c r="X950">
        <v>12</v>
      </c>
      <c r="Y950">
        <v>8</v>
      </c>
      <c r="Z950">
        <v>10</v>
      </c>
      <c r="AA950">
        <v>19</v>
      </c>
      <c r="AB950">
        <v>5</v>
      </c>
      <c r="AC950">
        <v>2</v>
      </c>
      <c r="AD950">
        <v>3</v>
      </c>
      <c r="AE950">
        <v>1</v>
      </c>
      <c r="AF950">
        <v>11</v>
      </c>
      <c r="AG950">
        <v>21</v>
      </c>
      <c r="AH950">
        <v>18</v>
      </c>
      <c r="AI950">
        <v>13</v>
      </c>
      <c r="AJ950">
        <v>16</v>
      </c>
      <c r="AK950">
        <v>22</v>
      </c>
      <c r="AL950">
        <v>24</v>
      </c>
      <c r="AM950">
        <v>23</v>
      </c>
      <c r="AN950">
        <v>4</v>
      </c>
      <c r="AO950">
        <v>20</v>
      </c>
      <c r="AP950">
        <v>9</v>
      </c>
      <c r="AQ950">
        <v>15</v>
      </c>
      <c r="AR950">
        <v>7</v>
      </c>
      <c r="AS950">
        <v>6</v>
      </c>
    </row>
    <row r="951" spans="1:45" x14ac:dyDescent="0.25">
      <c r="A951">
        <v>33</v>
      </c>
      <c r="B951" t="s">
        <v>399</v>
      </c>
      <c r="E951" t="s">
        <v>385</v>
      </c>
      <c r="U951">
        <v>850</v>
      </c>
      <c r="V951">
        <v>15</v>
      </c>
      <c r="W951">
        <v>9</v>
      </c>
      <c r="X951">
        <v>17</v>
      </c>
      <c r="Y951">
        <v>10</v>
      </c>
      <c r="Z951">
        <v>16</v>
      </c>
      <c r="AA951">
        <v>21</v>
      </c>
      <c r="AB951">
        <v>5</v>
      </c>
      <c r="AC951">
        <v>2</v>
      </c>
      <c r="AD951">
        <v>4</v>
      </c>
      <c r="AE951">
        <v>1</v>
      </c>
      <c r="AF951">
        <v>6</v>
      </c>
      <c r="AG951">
        <v>18</v>
      </c>
      <c r="AH951">
        <v>11</v>
      </c>
      <c r="AI951">
        <v>19</v>
      </c>
      <c r="AJ951">
        <v>12</v>
      </c>
      <c r="AK951">
        <v>22</v>
      </c>
      <c r="AL951">
        <v>24</v>
      </c>
      <c r="AM951">
        <v>23</v>
      </c>
      <c r="AN951">
        <v>3</v>
      </c>
      <c r="AO951">
        <v>20</v>
      </c>
      <c r="AP951">
        <v>13</v>
      </c>
      <c r="AQ951">
        <v>14</v>
      </c>
      <c r="AR951">
        <v>8</v>
      </c>
      <c r="AS951">
        <v>7</v>
      </c>
    </row>
    <row r="952" spans="1:45" x14ac:dyDescent="0.25">
      <c r="A952">
        <v>34</v>
      </c>
      <c r="B952" t="s">
        <v>386</v>
      </c>
      <c r="E952" t="s">
        <v>387</v>
      </c>
      <c r="U952">
        <v>851</v>
      </c>
      <c r="V952">
        <v>20</v>
      </c>
      <c r="W952">
        <v>9</v>
      </c>
      <c r="X952">
        <v>13</v>
      </c>
      <c r="Y952">
        <v>15</v>
      </c>
      <c r="Z952">
        <v>14</v>
      </c>
      <c r="AA952">
        <v>21</v>
      </c>
      <c r="AB952">
        <v>7</v>
      </c>
      <c r="AC952">
        <v>2</v>
      </c>
      <c r="AD952">
        <v>5</v>
      </c>
      <c r="AE952">
        <v>1</v>
      </c>
      <c r="AF952">
        <v>16</v>
      </c>
      <c r="AG952">
        <v>19</v>
      </c>
      <c r="AH952">
        <v>8</v>
      </c>
      <c r="AI952">
        <v>12</v>
      </c>
      <c r="AJ952">
        <v>10</v>
      </c>
      <c r="AK952">
        <v>22</v>
      </c>
      <c r="AL952">
        <v>24</v>
      </c>
      <c r="AM952">
        <v>23</v>
      </c>
      <c r="AN952">
        <v>3</v>
      </c>
      <c r="AO952">
        <v>18</v>
      </c>
      <c r="AP952">
        <v>6</v>
      </c>
      <c r="AQ952">
        <v>17</v>
      </c>
      <c r="AR952">
        <v>11</v>
      </c>
      <c r="AS952">
        <v>4</v>
      </c>
    </row>
    <row r="953" spans="1:45" x14ac:dyDescent="0.25">
      <c r="A953">
        <v>34</v>
      </c>
      <c r="B953" t="s">
        <v>395</v>
      </c>
      <c r="E953" t="s">
        <v>380</v>
      </c>
      <c r="U953">
        <v>852</v>
      </c>
      <c r="V953">
        <v>9</v>
      </c>
      <c r="W953">
        <v>14</v>
      </c>
      <c r="X953">
        <v>10</v>
      </c>
      <c r="Y953">
        <v>11</v>
      </c>
      <c r="Z953">
        <v>15</v>
      </c>
      <c r="AA953">
        <v>19</v>
      </c>
      <c r="AB953">
        <v>5</v>
      </c>
      <c r="AC953">
        <v>2</v>
      </c>
      <c r="AD953">
        <v>3</v>
      </c>
      <c r="AE953">
        <v>1</v>
      </c>
      <c r="AF953">
        <v>18</v>
      </c>
      <c r="AG953">
        <v>21</v>
      </c>
      <c r="AH953">
        <v>13</v>
      </c>
      <c r="AI953">
        <v>16</v>
      </c>
      <c r="AJ953">
        <v>12</v>
      </c>
      <c r="AK953">
        <v>22</v>
      </c>
      <c r="AL953">
        <v>23</v>
      </c>
      <c r="AM953">
        <v>24</v>
      </c>
      <c r="AN953">
        <v>4</v>
      </c>
      <c r="AO953">
        <v>20</v>
      </c>
      <c r="AP953">
        <v>7</v>
      </c>
      <c r="AQ953">
        <v>17</v>
      </c>
      <c r="AR953">
        <v>6</v>
      </c>
      <c r="AS953">
        <v>8</v>
      </c>
    </row>
    <row r="954" spans="1:45" x14ac:dyDescent="0.25">
      <c r="A954">
        <v>34</v>
      </c>
      <c r="B954" t="s">
        <v>396</v>
      </c>
      <c r="E954" t="s">
        <v>389</v>
      </c>
      <c r="U954">
        <v>853</v>
      </c>
      <c r="V954">
        <v>18</v>
      </c>
      <c r="W954">
        <v>9</v>
      </c>
      <c r="X954">
        <v>6</v>
      </c>
      <c r="Y954">
        <v>13</v>
      </c>
      <c r="Z954">
        <v>17</v>
      </c>
      <c r="AA954">
        <v>22</v>
      </c>
      <c r="AB954">
        <v>5</v>
      </c>
      <c r="AC954">
        <v>2</v>
      </c>
      <c r="AD954">
        <v>4</v>
      </c>
      <c r="AE954">
        <v>1</v>
      </c>
      <c r="AF954">
        <v>15</v>
      </c>
      <c r="AG954">
        <v>19</v>
      </c>
      <c r="AH954">
        <v>14</v>
      </c>
      <c r="AI954">
        <v>11</v>
      </c>
      <c r="AJ954">
        <v>16</v>
      </c>
      <c r="AK954">
        <v>21</v>
      </c>
      <c r="AL954">
        <v>24</v>
      </c>
      <c r="AM954">
        <v>23</v>
      </c>
      <c r="AN954">
        <v>3</v>
      </c>
      <c r="AO954">
        <v>20</v>
      </c>
      <c r="AP954">
        <v>10</v>
      </c>
      <c r="AQ954">
        <v>12</v>
      </c>
      <c r="AR954">
        <v>7</v>
      </c>
      <c r="AS954">
        <v>8</v>
      </c>
    </row>
    <row r="955" spans="1:45" x14ac:dyDescent="0.25">
      <c r="A955">
        <v>34</v>
      </c>
      <c r="B955" t="s">
        <v>379</v>
      </c>
      <c r="E955" t="s">
        <v>390</v>
      </c>
      <c r="U955">
        <v>854</v>
      </c>
      <c r="V955">
        <v>20</v>
      </c>
      <c r="W955">
        <v>13</v>
      </c>
      <c r="X955">
        <v>10</v>
      </c>
      <c r="Y955">
        <v>11</v>
      </c>
      <c r="Z955">
        <v>15</v>
      </c>
      <c r="AA955">
        <v>22</v>
      </c>
      <c r="AB955">
        <v>6</v>
      </c>
      <c r="AC955">
        <v>2</v>
      </c>
      <c r="AD955">
        <v>3</v>
      </c>
      <c r="AE955">
        <v>1</v>
      </c>
      <c r="AF955">
        <v>9</v>
      </c>
      <c r="AG955">
        <v>16</v>
      </c>
      <c r="AH955">
        <v>7</v>
      </c>
      <c r="AI955">
        <v>14</v>
      </c>
      <c r="AJ955">
        <v>17</v>
      </c>
      <c r="AK955">
        <v>21</v>
      </c>
      <c r="AL955">
        <v>24</v>
      </c>
      <c r="AM955">
        <v>23</v>
      </c>
      <c r="AN955">
        <v>5</v>
      </c>
      <c r="AO955">
        <v>18</v>
      </c>
      <c r="AP955">
        <v>12</v>
      </c>
      <c r="AQ955">
        <v>19</v>
      </c>
      <c r="AR955">
        <v>8</v>
      </c>
      <c r="AS955">
        <v>4</v>
      </c>
    </row>
    <row r="956" spans="1:45" x14ac:dyDescent="0.25">
      <c r="A956">
        <v>34</v>
      </c>
      <c r="B956" t="s">
        <v>384</v>
      </c>
      <c r="E956" t="s">
        <v>401</v>
      </c>
      <c r="U956">
        <v>855</v>
      </c>
      <c r="V956">
        <v>19</v>
      </c>
      <c r="W956">
        <v>8</v>
      </c>
      <c r="X956">
        <v>13</v>
      </c>
      <c r="Y956">
        <v>12</v>
      </c>
      <c r="Z956">
        <v>17</v>
      </c>
      <c r="AA956">
        <v>23</v>
      </c>
      <c r="AB956">
        <v>6</v>
      </c>
      <c r="AC956">
        <v>3</v>
      </c>
      <c r="AD956">
        <v>2</v>
      </c>
      <c r="AE956">
        <v>1</v>
      </c>
      <c r="AF956">
        <v>5</v>
      </c>
      <c r="AG956">
        <v>16</v>
      </c>
      <c r="AH956">
        <v>14</v>
      </c>
      <c r="AI956">
        <v>15</v>
      </c>
      <c r="AJ956">
        <v>11</v>
      </c>
      <c r="AK956">
        <v>18</v>
      </c>
      <c r="AL956">
        <v>24</v>
      </c>
      <c r="AM956">
        <v>22</v>
      </c>
      <c r="AN956">
        <v>4</v>
      </c>
      <c r="AO956">
        <v>21</v>
      </c>
      <c r="AP956">
        <v>10</v>
      </c>
      <c r="AQ956">
        <v>20</v>
      </c>
      <c r="AR956">
        <v>9</v>
      </c>
      <c r="AS956">
        <v>7</v>
      </c>
    </row>
    <row r="957" spans="1:45" x14ac:dyDescent="0.25">
      <c r="A957">
        <v>34</v>
      </c>
      <c r="B957" t="s">
        <v>382</v>
      </c>
      <c r="E957" t="s">
        <v>392</v>
      </c>
      <c r="U957">
        <v>856</v>
      </c>
      <c r="V957">
        <v>17</v>
      </c>
      <c r="W957">
        <v>14</v>
      </c>
      <c r="X957">
        <v>15</v>
      </c>
      <c r="Y957">
        <v>10</v>
      </c>
      <c r="Z957">
        <v>16</v>
      </c>
      <c r="AA957">
        <v>21</v>
      </c>
      <c r="AB957">
        <v>5</v>
      </c>
      <c r="AC957">
        <v>2</v>
      </c>
      <c r="AD957">
        <v>3</v>
      </c>
      <c r="AE957">
        <v>1</v>
      </c>
      <c r="AF957">
        <v>13</v>
      </c>
      <c r="AG957">
        <v>20</v>
      </c>
      <c r="AH957">
        <v>8</v>
      </c>
      <c r="AI957">
        <v>12</v>
      </c>
      <c r="AJ957">
        <v>11</v>
      </c>
      <c r="AK957">
        <v>23</v>
      </c>
      <c r="AL957">
        <v>24</v>
      </c>
      <c r="AM957">
        <v>22</v>
      </c>
      <c r="AN957">
        <v>4</v>
      </c>
      <c r="AO957">
        <v>19</v>
      </c>
      <c r="AP957">
        <v>7</v>
      </c>
      <c r="AQ957">
        <v>18</v>
      </c>
      <c r="AR957">
        <v>9</v>
      </c>
      <c r="AS957">
        <v>6</v>
      </c>
    </row>
    <row r="958" spans="1:45" x14ac:dyDescent="0.25">
      <c r="A958">
        <v>34</v>
      </c>
      <c r="B958" t="s">
        <v>398</v>
      </c>
      <c r="E958" t="s">
        <v>399</v>
      </c>
      <c r="U958">
        <v>857</v>
      </c>
      <c r="V958">
        <v>18</v>
      </c>
      <c r="W958">
        <v>7</v>
      </c>
      <c r="X958">
        <v>15</v>
      </c>
      <c r="Y958">
        <v>16</v>
      </c>
      <c r="Z958">
        <v>13</v>
      </c>
      <c r="AA958">
        <v>22</v>
      </c>
      <c r="AB958">
        <v>4</v>
      </c>
      <c r="AC958">
        <v>2</v>
      </c>
      <c r="AD958">
        <v>3</v>
      </c>
      <c r="AE958">
        <v>1</v>
      </c>
      <c r="AF958">
        <v>14</v>
      </c>
      <c r="AG958">
        <v>19</v>
      </c>
      <c r="AH958">
        <v>12</v>
      </c>
      <c r="AI958">
        <v>11</v>
      </c>
      <c r="AJ958">
        <v>8</v>
      </c>
      <c r="AK958">
        <v>17</v>
      </c>
      <c r="AL958">
        <v>24</v>
      </c>
      <c r="AM958">
        <v>23</v>
      </c>
      <c r="AN958">
        <v>5</v>
      </c>
      <c r="AO958">
        <v>21</v>
      </c>
      <c r="AP958">
        <v>9</v>
      </c>
      <c r="AQ958">
        <v>20</v>
      </c>
      <c r="AR958">
        <v>10</v>
      </c>
      <c r="AS958">
        <v>6</v>
      </c>
    </row>
    <row r="959" spans="1:45" x14ac:dyDescent="0.25">
      <c r="A959">
        <v>34</v>
      </c>
      <c r="B959" t="s">
        <v>388</v>
      </c>
      <c r="E959" t="s">
        <v>391</v>
      </c>
      <c r="U959">
        <v>858</v>
      </c>
      <c r="V959">
        <v>18</v>
      </c>
      <c r="W959">
        <v>8</v>
      </c>
      <c r="X959">
        <v>15</v>
      </c>
      <c r="Y959">
        <v>12</v>
      </c>
      <c r="Z959">
        <v>13</v>
      </c>
      <c r="AA959">
        <v>21</v>
      </c>
      <c r="AB959">
        <v>4</v>
      </c>
      <c r="AC959">
        <v>2</v>
      </c>
      <c r="AD959">
        <v>3</v>
      </c>
      <c r="AE959">
        <v>1</v>
      </c>
      <c r="AF959">
        <v>14</v>
      </c>
      <c r="AG959">
        <v>16</v>
      </c>
      <c r="AH959">
        <v>17</v>
      </c>
      <c r="AI959">
        <v>19</v>
      </c>
      <c r="AJ959">
        <v>10</v>
      </c>
      <c r="AK959">
        <v>22</v>
      </c>
      <c r="AL959">
        <v>23</v>
      </c>
      <c r="AM959">
        <v>24</v>
      </c>
      <c r="AN959">
        <v>7</v>
      </c>
      <c r="AO959">
        <v>20</v>
      </c>
      <c r="AP959">
        <v>9</v>
      </c>
      <c r="AQ959">
        <v>11</v>
      </c>
      <c r="AR959">
        <v>6</v>
      </c>
      <c r="AS959">
        <v>5</v>
      </c>
    </row>
    <row r="960" spans="1:45" x14ac:dyDescent="0.25">
      <c r="A960">
        <v>34</v>
      </c>
      <c r="B960" t="s">
        <v>400</v>
      </c>
      <c r="E960" t="s">
        <v>383</v>
      </c>
      <c r="U960">
        <v>859</v>
      </c>
      <c r="V960">
        <v>18</v>
      </c>
      <c r="W960">
        <v>6</v>
      </c>
      <c r="X960">
        <v>13</v>
      </c>
      <c r="Y960">
        <v>14</v>
      </c>
      <c r="Z960">
        <v>16</v>
      </c>
      <c r="AA960">
        <v>20</v>
      </c>
      <c r="AB960">
        <v>7</v>
      </c>
      <c r="AC960">
        <v>2</v>
      </c>
      <c r="AD960">
        <v>4</v>
      </c>
      <c r="AE960">
        <v>1</v>
      </c>
      <c r="AF960">
        <v>11</v>
      </c>
      <c r="AG960">
        <v>19</v>
      </c>
      <c r="AH960">
        <v>8</v>
      </c>
      <c r="AI960">
        <v>15</v>
      </c>
      <c r="AJ960">
        <v>12</v>
      </c>
      <c r="AK960">
        <v>22</v>
      </c>
      <c r="AL960">
        <v>24</v>
      </c>
      <c r="AM960">
        <v>23</v>
      </c>
      <c r="AN960">
        <v>3</v>
      </c>
      <c r="AO960">
        <v>21</v>
      </c>
      <c r="AP960">
        <v>10</v>
      </c>
      <c r="AQ960">
        <v>17</v>
      </c>
      <c r="AR960">
        <v>9</v>
      </c>
      <c r="AS960">
        <v>5</v>
      </c>
    </row>
    <row r="961" spans="1:45" x14ac:dyDescent="0.25">
      <c r="A961">
        <v>34</v>
      </c>
      <c r="B961" t="s">
        <v>393</v>
      </c>
      <c r="E961" t="s">
        <v>394</v>
      </c>
      <c r="U961">
        <v>860</v>
      </c>
      <c r="V961">
        <v>18</v>
      </c>
      <c r="W961">
        <v>9</v>
      </c>
      <c r="X961">
        <v>10</v>
      </c>
      <c r="Y961">
        <v>16</v>
      </c>
      <c r="Z961">
        <v>15</v>
      </c>
      <c r="AA961">
        <v>22</v>
      </c>
      <c r="AB961">
        <v>4</v>
      </c>
      <c r="AC961">
        <v>2</v>
      </c>
      <c r="AD961">
        <v>3</v>
      </c>
      <c r="AE961">
        <v>1</v>
      </c>
      <c r="AF961">
        <v>17</v>
      </c>
      <c r="AG961">
        <v>21</v>
      </c>
      <c r="AH961">
        <v>6</v>
      </c>
      <c r="AI961">
        <v>14</v>
      </c>
      <c r="AJ961">
        <v>12</v>
      </c>
      <c r="AK961">
        <v>20</v>
      </c>
      <c r="AL961">
        <v>24</v>
      </c>
      <c r="AM961">
        <v>23</v>
      </c>
      <c r="AN961">
        <v>5</v>
      </c>
      <c r="AO961">
        <v>19</v>
      </c>
      <c r="AP961">
        <v>8</v>
      </c>
      <c r="AQ961">
        <v>11</v>
      </c>
      <c r="AR961">
        <v>13</v>
      </c>
      <c r="AS961">
        <v>7</v>
      </c>
    </row>
    <row r="962" spans="1:45" x14ac:dyDescent="0.25">
      <c r="A962">
        <v>34</v>
      </c>
      <c r="B962" t="s">
        <v>385</v>
      </c>
      <c r="E962" t="s">
        <v>378</v>
      </c>
      <c r="U962">
        <v>861</v>
      </c>
      <c r="V962">
        <v>11</v>
      </c>
      <c r="W962">
        <v>17</v>
      </c>
      <c r="X962">
        <v>16</v>
      </c>
      <c r="Y962">
        <v>8</v>
      </c>
      <c r="Z962">
        <v>15</v>
      </c>
      <c r="AA962">
        <v>21</v>
      </c>
      <c r="AB962">
        <v>6</v>
      </c>
      <c r="AC962">
        <v>2</v>
      </c>
      <c r="AD962">
        <v>3</v>
      </c>
      <c r="AE962">
        <v>1</v>
      </c>
      <c r="AF962">
        <v>14</v>
      </c>
      <c r="AG962">
        <v>12</v>
      </c>
      <c r="AH962">
        <v>10</v>
      </c>
      <c r="AI962">
        <v>18</v>
      </c>
      <c r="AJ962">
        <v>7</v>
      </c>
      <c r="AK962">
        <v>22</v>
      </c>
      <c r="AL962">
        <v>24</v>
      </c>
      <c r="AM962">
        <v>23</v>
      </c>
      <c r="AN962">
        <v>4</v>
      </c>
      <c r="AO962">
        <v>19</v>
      </c>
      <c r="AP962">
        <v>13</v>
      </c>
      <c r="AQ962">
        <v>20</v>
      </c>
      <c r="AR962">
        <v>9</v>
      </c>
      <c r="AS962">
        <v>5</v>
      </c>
    </row>
    <row r="963" spans="1:45" x14ac:dyDescent="0.25">
      <c r="A963">
        <v>34</v>
      </c>
      <c r="B963" t="s">
        <v>381</v>
      </c>
      <c r="E963" t="s">
        <v>397</v>
      </c>
      <c r="U963">
        <v>862</v>
      </c>
      <c r="V963">
        <v>16</v>
      </c>
      <c r="W963">
        <v>10</v>
      </c>
      <c r="X963">
        <v>7</v>
      </c>
      <c r="Y963">
        <v>12</v>
      </c>
      <c r="Z963">
        <v>18</v>
      </c>
      <c r="AA963">
        <v>21</v>
      </c>
      <c r="AB963">
        <v>6</v>
      </c>
      <c r="AC963">
        <v>2</v>
      </c>
      <c r="AD963">
        <v>3</v>
      </c>
      <c r="AE963">
        <v>1</v>
      </c>
      <c r="AF963">
        <v>9</v>
      </c>
      <c r="AG963">
        <v>22</v>
      </c>
      <c r="AH963">
        <v>14</v>
      </c>
      <c r="AI963">
        <v>11</v>
      </c>
      <c r="AJ963">
        <v>17</v>
      </c>
      <c r="AK963">
        <v>19</v>
      </c>
      <c r="AL963">
        <v>23</v>
      </c>
      <c r="AM963">
        <v>24</v>
      </c>
      <c r="AN963">
        <v>4</v>
      </c>
      <c r="AO963">
        <v>20</v>
      </c>
      <c r="AP963">
        <v>5</v>
      </c>
      <c r="AQ963">
        <v>15</v>
      </c>
      <c r="AR963">
        <v>13</v>
      </c>
      <c r="AS963">
        <v>8</v>
      </c>
    </row>
    <row r="964" spans="1:45" x14ac:dyDescent="0.25">
      <c r="A964">
        <v>35</v>
      </c>
      <c r="B964" t="s">
        <v>383</v>
      </c>
      <c r="E964" t="s">
        <v>386</v>
      </c>
      <c r="U964">
        <v>863</v>
      </c>
      <c r="V964">
        <v>11</v>
      </c>
      <c r="W964">
        <v>10</v>
      </c>
      <c r="X964">
        <v>16</v>
      </c>
      <c r="Y964">
        <v>14</v>
      </c>
      <c r="Z964">
        <v>12</v>
      </c>
      <c r="AA964">
        <v>22</v>
      </c>
      <c r="AB964">
        <v>3</v>
      </c>
      <c r="AC964">
        <v>2</v>
      </c>
      <c r="AD964">
        <v>4</v>
      </c>
      <c r="AE964">
        <v>1</v>
      </c>
      <c r="AF964">
        <v>9</v>
      </c>
      <c r="AG964">
        <v>21</v>
      </c>
      <c r="AH964">
        <v>18</v>
      </c>
      <c r="AI964">
        <v>13</v>
      </c>
      <c r="AJ964">
        <v>17</v>
      </c>
      <c r="AK964">
        <v>19</v>
      </c>
      <c r="AL964">
        <v>24</v>
      </c>
      <c r="AM964">
        <v>23</v>
      </c>
      <c r="AN964">
        <v>5</v>
      </c>
      <c r="AO964">
        <v>20</v>
      </c>
      <c r="AP964">
        <v>6</v>
      </c>
      <c r="AQ964">
        <v>15</v>
      </c>
      <c r="AR964">
        <v>7</v>
      </c>
      <c r="AS964">
        <v>8</v>
      </c>
    </row>
    <row r="965" spans="1:45" x14ac:dyDescent="0.25">
      <c r="A965">
        <v>35</v>
      </c>
      <c r="B965" t="s">
        <v>389</v>
      </c>
      <c r="E965" t="s">
        <v>400</v>
      </c>
      <c r="U965">
        <v>864</v>
      </c>
      <c r="V965">
        <v>13</v>
      </c>
      <c r="W965">
        <v>11</v>
      </c>
      <c r="X965">
        <v>16</v>
      </c>
      <c r="Y965">
        <v>15</v>
      </c>
      <c r="Z965">
        <v>17</v>
      </c>
      <c r="AA965">
        <v>22</v>
      </c>
      <c r="AB965">
        <v>7</v>
      </c>
      <c r="AC965">
        <v>2</v>
      </c>
      <c r="AD965">
        <v>3</v>
      </c>
      <c r="AE965">
        <v>1</v>
      </c>
      <c r="AF965">
        <v>9</v>
      </c>
      <c r="AG965">
        <v>18</v>
      </c>
      <c r="AH965">
        <v>10</v>
      </c>
      <c r="AI965">
        <v>12</v>
      </c>
      <c r="AJ965">
        <v>14</v>
      </c>
      <c r="AK965">
        <v>21</v>
      </c>
      <c r="AL965">
        <v>24</v>
      </c>
      <c r="AM965">
        <v>23</v>
      </c>
      <c r="AN965">
        <v>5</v>
      </c>
      <c r="AO965">
        <v>20</v>
      </c>
      <c r="AP965">
        <v>8</v>
      </c>
      <c r="AQ965">
        <v>19</v>
      </c>
      <c r="AR965">
        <v>4</v>
      </c>
      <c r="AS965">
        <v>6</v>
      </c>
    </row>
    <row r="966" spans="1:45" x14ac:dyDescent="0.25">
      <c r="A966">
        <v>35</v>
      </c>
      <c r="B966" t="s">
        <v>397</v>
      </c>
      <c r="E966" t="s">
        <v>388</v>
      </c>
      <c r="U966">
        <v>865</v>
      </c>
      <c r="V966">
        <v>14</v>
      </c>
      <c r="W966">
        <v>16</v>
      </c>
      <c r="X966">
        <v>17</v>
      </c>
      <c r="Y966">
        <v>11</v>
      </c>
      <c r="Z966">
        <v>10</v>
      </c>
      <c r="AA966">
        <v>20</v>
      </c>
      <c r="AB966">
        <v>4</v>
      </c>
      <c r="AC966">
        <v>2</v>
      </c>
      <c r="AD966">
        <v>3</v>
      </c>
      <c r="AE966">
        <v>1</v>
      </c>
      <c r="AF966">
        <v>13</v>
      </c>
      <c r="AG966">
        <v>19</v>
      </c>
      <c r="AH966">
        <v>9</v>
      </c>
      <c r="AI966">
        <v>15</v>
      </c>
      <c r="AJ966">
        <v>8</v>
      </c>
      <c r="AK966">
        <v>22</v>
      </c>
      <c r="AL966">
        <v>24</v>
      </c>
      <c r="AM966">
        <v>23</v>
      </c>
      <c r="AN966">
        <v>6</v>
      </c>
      <c r="AO966">
        <v>21</v>
      </c>
      <c r="AP966">
        <v>12</v>
      </c>
      <c r="AQ966">
        <v>18</v>
      </c>
      <c r="AR966">
        <v>7</v>
      </c>
      <c r="AS966">
        <v>5</v>
      </c>
    </row>
    <row r="967" spans="1:45" x14ac:dyDescent="0.25">
      <c r="A967">
        <v>35</v>
      </c>
      <c r="B967" t="s">
        <v>401</v>
      </c>
      <c r="E967" t="s">
        <v>382</v>
      </c>
      <c r="U967">
        <v>866</v>
      </c>
      <c r="V967">
        <v>14</v>
      </c>
      <c r="W967">
        <v>6</v>
      </c>
      <c r="X967">
        <v>10</v>
      </c>
      <c r="Y967">
        <v>11</v>
      </c>
      <c r="Z967">
        <v>7</v>
      </c>
      <c r="AA967">
        <v>21</v>
      </c>
      <c r="AB967">
        <v>5</v>
      </c>
      <c r="AC967">
        <v>2</v>
      </c>
      <c r="AD967">
        <v>4</v>
      </c>
      <c r="AE967">
        <v>1</v>
      </c>
      <c r="AF967">
        <v>13</v>
      </c>
      <c r="AG967">
        <v>19</v>
      </c>
      <c r="AH967">
        <v>16</v>
      </c>
      <c r="AI967">
        <v>17</v>
      </c>
      <c r="AJ967">
        <v>15</v>
      </c>
      <c r="AK967">
        <v>22</v>
      </c>
      <c r="AL967">
        <v>24</v>
      </c>
      <c r="AM967">
        <v>23</v>
      </c>
      <c r="AN967">
        <v>3</v>
      </c>
      <c r="AO967">
        <v>20</v>
      </c>
      <c r="AP967">
        <v>8</v>
      </c>
      <c r="AQ967">
        <v>18</v>
      </c>
      <c r="AR967">
        <v>12</v>
      </c>
      <c r="AS967">
        <v>9</v>
      </c>
    </row>
    <row r="968" spans="1:45" x14ac:dyDescent="0.25">
      <c r="A968">
        <v>35</v>
      </c>
      <c r="B968" t="s">
        <v>399</v>
      </c>
      <c r="E968" t="s">
        <v>379</v>
      </c>
      <c r="U968">
        <v>867</v>
      </c>
      <c r="V968">
        <v>16</v>
      </c>
      <c r="W968">
        <v>11</v>
      </c>
      <c r="X968">
        <v>14</v>
      </c>
      <c r="Y968">
        <v>10</v>
      </c>
      <c r="Z968">
        <v>17</v>
      </c>
      <c r="AA968">
        <v>21</v>
      </c>
      <c r="AB968">
        <v>8</v>
      </c>
      <c r="AC968">
        <v>2</v>
      </c>
      <c r="AD968">
        <v>4</v>
      </c>
      <c r="AE968">
        <v>1</v>
      </c>
      <c r="AF968">
        <v>9</v>
      </c>
      <c r="AG968">
        <v>19</v>
      </c>
      <c r="AH968">
        <v>12</v>
      </c>
      <c r="AI968">
        <v>18</v>
      </c>
      <c r="AJ968">
        <v>13</v>
      </c>
      <c r="AK968">
        <v>23</v>
      </c>
      <c r="AL968">
        <v>24</v>
      </c>
      <c r="AM968">
        <v>22</v>
      </c>
      <c r="AN968">
        <v>6</v>
      </c>
      <c r="AO968">
        <v>20</v>
      </c>
      <c r="AP968">
        <v>5</v>
      </c>
      <c r="AQ968">
        <v>15</v>
      </c>
      <c r="AR968">
        <v>7</v>
      </c>
      <c r="AS968">
        <v>3</v>
      </c>
    </row>
    <row r="969" spans="1:45" x14ac:dyDescent="0.25">
      <c r="A969">
        <v>35</v>
      </c>
      <c r="B969" t="s">
        <v>380</v>
      </c>
      <c r="E969" t="s">
        <v>381</v>
      </c>
      <c r="U969">
        <v>868</v>
      </c>
      <c r="V969">
        <v>12</v>
      </c>
      <c r="W969">
        <v>16</v>
      </c>
      <c r="X969">
        <v>14</v>
      </c>
      <c r="Y969">
        <v>11</v>
      </c>
      <c r="Z969">
        <v>13</v>
      </c>
      <c r="AA969">
        <v>20</v>
      </c>
      <c r="AB969">
        <v>4</v>
      </c>
      <c r="AC969">
        <v>2</v>
      </c>
      <c r="AD969">
        <v>3</v>
      </c>
      <c r="AE969">
        <v>1</v>
      </c>
      <c r="AF969">
        <v>9</v>
      </c>
      <c r="AG969">
        <v>21</v>
      </c>
      <c r="AH969">
        <v>17</v>
      </c>
      <c r="AI969">
        <v>15</v>
      </c>
      <c r="AJ969">
        <v>10</v>
      </c>
      <c r="AK969">
        <v>19</v>
      </c>
      <c r="AL969">
        <v>24</v>
      </c>
      <c r="AM969">
        <v>23</v>
      </c>
      <c r="AN969">
        <v>5</v>
      </c>
      <c r="AO969">
        <v>22</v>
      </c>
      <c r="AP969">
        <v>6</v>
      </c>
      <c r="AQ969">
        <v>18</v>
      </c>
      <c r="AR969">
        <v>7</v>
      </c>
      <c r="AS969">
        <v>8</v>
      </c>
    </row>
    <row r="970" spans="1:45" x14ac:dyDescent="0.25">
      <c r="A970">
        <v>35</v>
      </c>
      <c r="B970" t="s">
        <v>378</v>
      </c>
      <c r="E970" t="s">
        <v>396</v>
      </c>
      <c r="U970">
        <v>869</v>
      </c>
      <c r="V970">
        <v>16</v>
      </c>
      <c r="W970">
        <v>9</v>
      </c>
      <c r="X970">
        <v>18</v>
      </c>
      <c r="Y970">
        <v>11</v>
      </c>
      <c r="Z970">
        <v>14</v>
      </c>
      <c r="AA970">
        <v>21</v>
      </c>
      <c r="AB970">
        <v>6</v>
      </c>
      <c r="AC970">
        <v>2</v>
      </c>
      <c r="AD970">
        <v>3</v>
      </c>
      <c r="AE970">
        <v>1</v>
      </c>
      <c r="AF970">
        <v>12</v>
      </c>
      <c r="AG970">
        <v>15</v>
      </c>
      <c r="AH970">
        <v>13</v>
      </c>
      <c r="AI970">
        <v>19</v>
      </c>
      <c r="AJ970">
        <v>10</v>
      </c>
      <c r="AK970">
        <v>22</v>
      </c>
      <c r="AL970">
        <v>24</v>
      </c>
      <c r="AM970">
        <v>23</v>
      </c>
      <c r="AN970">
        <v>4</v>
      </c>
      <c r="AO970">
        <v>20</v>
      </c>
      <c r="AP970">
        <v>8</v>
      </c>
      <c r="AQ970">
        <v>17</v>
      </c>
      <c r="AR970">
        <v>5</v>
      </c>
      <c r="AS970">
        <v>7</v>
      </c>
    </row>
    <row r="971" spans="1:45" x14ac:dyDescent="0.25">
      <c r="A971">
        <v>35</v>
      </c>
      <c r="B971" t="s">
        <v>390</v>
      </c>
      <c r="E971" t="s">
        <v>398</v>
      </c>
      <c r="U971">
        <v>870</v>
      </c>
      <c r="V971">
        <v>15</v>
      </c>
      <c r="W971">
        <v>16</v>
      </c>
      <c r="X971">
        <v>12</v>
      </c>
      <c r="Y971">
        <v>11</v>
      </c>
      <c r="Z971">
        <v>10</v>
      </c>
      <c r="AA971">
        <v>19</v>
      </c>
      <c r="AB971">
        <v>4</v>
      </c>
      <c r="AC971">
        <v>2</v>
      </c>
      <c r="AD971">
        <v>3</v>
      </c>
      <c r="AE971">
        <v>1</v>
      </c>
      <c r="AF971">
        <v>14</v>
      </c>
      <c r="AG971">
        <v>20</v>
      </c>
      <c r="AH971">
        <v>9</v>
      </c>
      <c r="AI971">
        <v>18</v>
      </c>
      <c r="AJ971">
        <v>17</v>
      </c>
      <c r="AK971">
        <v>22</v>
      </c>
      <c r="AL971">
        <v>24</v>
      </c>
      <c r="AM971">
        <v>23</v>
      </c>
      <c r="AN971">
        <v>5</v>
      </c>
      <c r="AO971">
        <v>21</v>
      </c>
      <c r="AP971">
        <v>6</v>
      </c>
      <c r="AQ971">
        <v>13</v>
      </c>
      <c r="AR971">
        <v>8</v>
      </c>
      <c r="AS971">
        <v>7</v>
      </c>
    </row>
    <row r="972" spans="1:45" x14ac:dyDescent="0.25">
      <c r="A972">
        <v>35</v>
      </c>
      <c r="B972" t="s">
        <v>391</v>
      </c>
      <c r="E972" t="s">
        <v>385</v>
      </c>
      <c r="U972">
        <v>871</v>
      </c>
      <c r="V972">
        <v>16</v>
      </c>
      <c r="W972">
        <v>15</v>
      </c>
      <c r="X972">
        <v>14</v>
      </c>
      <c r="Y972">
        <v>9</v>
      </c>
      <c r="Z972">
        <v>17</v>
      </c>
      <c r="AA972">
        <v>22</v>
      </c>
      <c r="AB972">
        <v>5</v>
      </c>
      <c r="AC972">
        <v>2</v>
      </c>
      <c r="AD972">
        <v>4</v>
      </c>
      <c r="AE972">
        <v>1</v>
      </c>
      <c r="AF972">
        <v>7</v>
      </c>
      <c r="AG972">
        <v>19</v>
      </c>
      <c r="AH972">
        <v>12</v>
      </c>
      <c r="AI972">
        <v>11</v>
      </c>
      <c r="AJ972">
        <v>13</v>
      </c>
      <c r="AK972">
        <v>21</v>
      </c>
      <c r="AL972">
        <v>24</v>
      </c>
      <c r="AM972">
        <v>23</v>
      </c>
      <c r="AN972">
        <v>3</v>
      </c>
      <c r="AO972">
        <v>20</v>
      </c>
      <c r="AP972">
        <v>10</v>
      </c>
      <c r="AQ972">
        <v>18</v>
      </c>
      <c r="AR972">
        <v>8</v>
      </c>
      <c r="AS972">
        <v>6</v>
      </c>
    </row>
    <row r="973" spans="1:45" x14ac:dyDescent="0.25">
      <c r="A973">
        <v>35</v>
      </c>
      <c r="B973" t="s">
        <v>387</v>
      </c>
      <c r="E973" t="s">
        <v>393</v>
      </c>
      <c r="U973">
        <v>872</v>
      </c>
      <c r="V973">
        <v>11</v>
      </c>
      <c r="W973">
        <v>16</v>
      </c>
      <c r="X973">
        <v>19</v>
      </c>
      <c r="Y973">
        <v>13</v>
      </c>
      <c r="Z973">
        <v>10</v>
      </c>
      <c r="AA973">
        <v>20</v>
      </c>
      <c r="AB973">
        <v>4</v>
      </c>
      <c r="AC973">
        <v>2</v>
      </c>
      <c r="AD973">
        <v>3</v>
      </c>
      <c r="AE973">
        <v>1</v>
      </c>
      <c r="AF973">
        <v>8</v>
      </c>
      <c r="AG973">
        <v>17</v>
      </c>
      <c r="AH973">
        <v>18</v>
      </c>
      <c r="AI973">
        <v>15</v>
      </c>
      <c r="AJ973">
        <v>9</v>
      </c>
      <c r="AK973">
        <v>21</v>
      </c>
      <c r="AL973">
        <v>23</v>
      </c>
      <c r="AM973">
        <v>24</v>
      </c>
      <c r="AN973">
        <v>5</v>
      </c>
      <c r="AO973">
        <v>22</v>
      </c>
      <c r="AP973">
        <v>12</v>
      </c>
      <c r="AQ973">
        <v>14</v>
      </c>
      <c r="AR973">
        <v>6</v>
      </c>
      <c r="AS973">
        <v>7</v>
      </c>
    </row>
    <row r="974" spans="1:45" x14ac:dyDescent="0.25">
      <c r="A974">
        <v>35</v>
      </c>
      <c r="B974" t="s">
        <v>394</v>
      </c>
      <c r="E974" t="s">
        <v>395</v>
      </c>
      <c r="U974">
        <v>873</v>
      </c>
      <c r="V974">
        <v>17</v>
      </c>
      <c r="W974">
        <v>6</v>
      </c>
      <c r="X974">
        <v>12</v>
      </c>
      <c r="Y974">
        <v>16</v>
      </c>
      <c r="Z974">
        <v>14</v>
      </c>
      <c r="AA974">
        <v>20</v>
      </c>
      <c r="AB974">
        <v>5</v>
      </c>
      <c r="AC974">
        <v>2</v>
      </c>
      <c r="AD974">
        <v>3</v>
      </c>
      <c r="AE974">
        <v>1</v>
      </c>
      <c r="AF974">
        <v>11</v>
      </c>
      <c r="AG974">
        <v>21</v>
      </c>
      <c r="AH974">
        <v>15</v>
      </c>
      <c r="AI974">
        <v>9</v>
      </c>
      <c r="AJ974">
        <v>13</v>
      </c>
      <c r="AK974">
        <v>22</v>
      </c>
      <c r="AL974">
        <v>24</v>
      </c>
      <c r="AM974">
        <v>23</v>
      </c>
      <c r="AN974">
        <v>4</v>
      </c>
      <c r="AO974">
        <v>18</v>
      </c>
      <c r="AP974">
        <v>7</v>
      </c>
      <c r="AQ974">
        <v>19</v>
      </c>
      <c r="AR974">
        <v>10</v>
      </c>
      <c r="AS974">
        <v>8</v>
      </c>
    </row>
    <row r="975" spans="1:45" x14ac:dyDescent="0.25">
      <c r="A975">
        <v>35</v>
      </c>
      <c r="B975" t="s">
        <v>392</v>
      </c>
      <c r="E975" t="s">
        <v>384</v>
      </c>
      <c r="U975">
        <v>874</v>
      </c>
      <c r="V975">
        <v>19</v>
      </c>
      <c r="W975">
        <v>12</v>
      </c>
      <c r="X975">
        <v>10</v>
      </c>
      <c r="Y975">
        <v>14</v>
      </c>
      <c r="Z975">
        <v>16</v>
      </c>
      <c r="AA975">
        <v>21</v>
      </c>
      <c r="AB975">
        <v>7</v>
      </c>
      <c r="AC975">
        <v>2</v>
      </c>
      <c r="AD975">
        <v>3</v>
      </c>
      <c r="AE975">
        <v>1</v>
      </c>
      <c r="AF975">
        <v>11</v>
      </c>
      <c r="AG975">
        <v>17</v>
      </c>
      <c r="AH975">
        <v>15</v>
      </c>
      <c r="AI975">
        <v>9</v>
      </c>
      <c r="AJ975">
        <v>13</v>
      </c>
      <c r="AK975">
        <v>22</v>
      </c>
      <c r="AL975">
        <v>23</v>
      </c>
      <c r="AM975">
        <v>24</v>
      </c>
      <c r="AN975">
        <v>4</v>
      </c>
      <c r="AO975">
        <v>20</v>
      </c>
      <c r="AP975">
        <v>8</v>
      </c>
      <c r="AQ975">
        <v>18</v>
      </c>
      <c r="AR975">
        <v>5</v>
      </c>
      <c r="AS975">
        <v>6</v>
      </c>
    </row>
    <row r="976" spans="1:45" x14ac:dyDescent="0.25">
      <c r="A976">
        <v>36</v>
      </c>
      <c r="B976" t="s">
        <v>382</v>
      </c>
      <c r="E976" t="s">
        <v>394</v>
      </c>
      <c r="U976">
        <v>875</v>
      </c>
      <c r="V976">
        <v>19</v>
      </c>
      <c r="W976">
        <v>7</v>
      </c>
      <c r="X976">
        <v>16</v>
      </c>
      <c r="Y976">
        <v>13</v>
      </c>
      <c r="Z976">
        <v>14</v>
      </c>
      <c r="AA976">
        <v>21</v>
      </c>
      <c r="AB976">
        <v>6</v>
      </c>
      <c r="AC976">
        <v>2</v>
      </c>
      <c r="AD976">
        <v>3</v>
      </c>
      <c r="AE976">
        <v>1</v>
      </c>
      <c r="AF976">
        <v>11</v>
      </c>
      <c r="AG976">
        <v>18</v>
      </c>
      <c r="AH976">
        <v>17</v>
      </c>
      <c r="AI976">
        <v>12</v>
      </c>
      <c r="AJ976">
        <v>15</v>
      </c>
      <c r="AK976">
        <v>22</v>
      </c>
      <c r="AL976">
        <v>24</v>
      </c>
      <c r="AM976">
        <v>23</v>
      </c>
      <c r="AN976">
        <v>4</v>
      </c>
      <c r="AO976">
        <v>20</v>
      </c>
      <c r="AP976">
        <v>9</v>
      </c>
      <c r="AQ976">
        <v>10</v>
      </c>
      <c r="AR976">
        <v>5</v>
      </c>
      <c r="AS976">
        <v>8</v>
      </c>
    </row>
    <row r="977" spans="1:45" x14ac:dyDescent="0.25">
      <c r="A977">
        <v>36</v>
      </c>
      <c r="B977" t="s">
        <v>384</v>
      </c>
      <c r="E977" t="s">
        <v>378</v>
      </c>
      <c r="U977">
        <v>876</v>
      </c>
      <c r="V977">
        <v>15</v>
      </c>
      <c r="W977">
        <v>11</v>
      </c>
      <c r="X977">
        <v>14</v>
      </c>
      <c r="Y977">
        <v>16</v>
      </c>
      <c r="Z977">
        <v>18</v>
      </c>
      <c r="AA977">
        <v>22</v>
      </c>
      <c r="AB977">
        <v>4</v>
      </c>
      <c r="AC977">
        <v>2</v>
      </c>
      <c r="AD977">
        <v>5</v>
      </c>
      <c r="AE977">
        <v>1</v>
      </c>
      <c r="AF977">
        <v>7</v>
      </c>
      <c r="AG977">
        <v>20</v>
      </c>
      <c r="AH977">
        <v>12</v>
      </c>
      <c r="AI977">
        <v>13</v>
      </c>
      <c r="AJ977">
        <v>9</v>
      </c>
      <c r="AK977">
        <v>21</v>
      </c>
      <c r="AL977">
        <v>24</v>
      </c>
      <c r="AM977">
        <v>23</v>
      </c>
      <c r="AN977">
        <v>3</v>
      </c>
      <c r="AO977">
        <v>19</v>
      </c>
      <c r="AP977">
        <v>8</v>
      </c>
      <c r="AQ977">
        <v>17</v>
      </c>
      <c r="AR977">
        <v>10</v>
      </c>
      <c r="AS977">
        <v>6</v>
      </c>
    </row>
    <row r="978" spans="1:45" x14ac:dyDescent="0.25">
      <c r="A978">
        <v>36</v>
      </c>
      <c r="B978" t="s">
        <v>385</v>
      </c>
      <c r="E978" t="s">
        <v>380</v>
      </c>
      <c r="U978">
        <v>877</v>
      </c>
      <c r="V978">
        <v>12</v>
      </c>
      <c r="W978">
        <v>18</v>
      </c>
      <c r="X978">
        <v>14</v>
      </c>
      <c r="Y978">
        <v>8</v>
      </c>
      <c r="Z978">
        <v>9</v>
      </c>
      <c r="AA978">
        <v>16</v>
      </c>
      <c r="AB978">
        <v>6</v>
      </c>
      <c r="AC978">
        <v>1</v>
      </c>
      <c r="AD978">
        <v>4</v>
      </c>
      <c r="AE978">
        <v>2</v>
      </c>
      <c r="AF978">
        <v>15</v>
      </c>
      <c r="AG978">
        <v>19</v>
      </c>
      <c r="AH978">
        <v>10</v>
      </c>
      <c r="AI978">
        <v>21</v>
      </c>
      <c r="AJ978">
        <v>17</v>
      </c>
      <c r="AK978">
        <v>22</v>
      </c>
      <c r="AL978">
        <v>23</v>
      </c>
      <c r="AM978">
        <v>24</v>
      </c>
      <c r="AN978">
        <v>3</v>
      </c>
      <c r="AO978">
        <v>20</v>
      </c>
      <c r="AP978">
        <v>11</v>
      </c>
      <c r="AQ978">
        <v>13</v>
      </c>
      <c r="AR978">
        <v>7</v>
      </c>
      <c r="AS978">
        <v>5</v>
      </c>
    </row>
    <row r="979" spans="1:45" x14ac:dyDescent="0.25">
      <c r="A979">
        <v>36</v>
      </c>
      <c r="B979" t="s">
        <v>386</v>
      </c>
      <c r="E979" t="s">
        <v>397</v>
      </c>
      <c r="U979">
        <v>878</v>
      </c>
      <c r="V979">
        <v>9</v>
      </c>
      <c r="W979">
        <v>13</v>
      </c>
      <c r="X979">
        <v>15</v>
      </c>
      <c r="Y979">
        <v>11</v>
      </c>
      <c r="Z979">
        <v>16</v>
      </c>
      <c r="AA979">
        <v>21</v>
      </c>
      <c r="AB979">
        <v>6</v>
      </c>
      <c r="AC979">
        <v>2</v>
      </c>
      <c r="AD979">
        <v>3</v>
      </c>
      <c r="AE979">
        <v>1</v>
      </c>
      <c r="AF979">
        <v>12</v>
      </c>
      <c r="AG979">
        <v>19</v>
      </c>
      <c r="AH979">
        <v>10</v>
      </c>
      <c r="AI979">
        <v>14</v>
      </c>
      <c r="AJ979">
        <v>18</v>
      </c>
      <c r="AK979">
        <v>20</v>
      </c>
      <c r="AL979">
        <v>23</v>
      </c>
      <c r="AM979">
        <v>24</v>
      </c>
      <c r="AN979">
        <v>5</v>
      </c>
      <c r="AO979">
        <v>22</v>
      </c>
      <c r="AP979">
        <v>7</v>
      </c>
      <c r="AQ979">
        <v>17</v>
      </c>
      <c r="AR979">
        <v>8</v>
      </c>
      <c r="AS979">
        <v>4</v>
      </c>
    </row>
    <row r="980" spans="1:45" x14ac:dyDescent="0.25">
      <c r="A980">
        <v>36</v>
      </c>
      <c r="B980" t="s">
        <v>398</v>
      </c>
      <c r="E980" t="s">
        <v>387</v>
      </c>
      <c r="U980">
        <v>879</v>
      </c>
      <c r="V980">
        <v>19</v>
      </c>
      <c r="W980">
        <v>6</v>
      </c>
      <c r="X980">
        <v>9</v>
      </c>
      <c r="Y980">
        <v>10</v>
      </c>
      <c r="Z980">
        <v>15</v>
      </c>
      <c r="AA980">
        <v>21</v>
      </c>
      <c r="AB980">
        <v>3</v>
      </c>
      <c r="AC980">
        <v>4</v>
      </c>
      <c r="AD980">
        <v>2</v>
      </c>
      <c r="AE980">
        <v>1</v>
      </c>
      <c r="AF980">
        <v>8</v>
      </c>
      <c r="AG980">
        <v>20</v>
      </c>
      <c r="AH980">
        <v>16</v>
      </c>
      <c r="AI980">
        <v>14</v>
      </c>
      <c r="AJ980">
        <v>12</v>
      </c>
      <c r="AK980">
        <v>22</v>
      </c>
      <c r="AL980">
        <v>24</v>
      </c>
      <c r="AM980">
        <v>23</v>
      </c>
      <c r="AN980">
        <v>5</v>
      </c>
      <c r="AO980">
        <v>18</v>
      </c>
      <c r="AP980">
        <v>17</v>
      </c>
      <c r="AQ980">
        <v>11</v>
      </c>
      <c r="AR980">
        <v>13</v>
      </c>
      <c r="AS980">
        <v>7</v>
      </c>
    </row>
    <row r="981" spans="1:45" x14ac:dyDescent="0.25">
      <c r="A981">
        <v>36</v>
      </c>
      <c r="B981" t="s">
        <v>379</v>
      </c>
      <c r="E981" t="s">
        <v>389</v>
      </c>
      <c r="U981">
        <v>880</v>
      </c>
      <c r="V981">
        <v>17</v>
      </c>
      <c r="W981">
        <v>10</v>
      </c>
      <c r="X981">
        <v>9</v>
      </c>
      <c r="Y981">
        <v>12</v>
      </c>
      <c r="Z981">
        <v>15</v>
      </c>
      <c r="AA981">
        <v>20</v>
      </c>
      <c r="AB981">
        <v>5</v>
      </c>
      <c r="AC981">
        <v>2</v>
      </c>
      <c r="AD981">
        <v>3</v>
      </c>
      <c r="AE981">
        <v>1</v>
      </c>
      <c r="AF981">
        <v>14</v>
      </c>
      <c r="AG981">
        <v>18</v>
      </c>
      <c r="AH981">
        <v>7</v>
      </c>
      <c r="AI981">
        <v>19</v>
      </c>
      <c r="AJ981">
        <v>13</v>
      </c>
      <c r="AK981">
        <v>21</v>
      </c>
      <c r="AL981">
        <v>23</v>
      </c>
      <c r="AM981">
        <v>24</v>
      </c>
      <c r="AN981">
        <v>8</v>
      </c>
      <c r="AO981">
        <v>22</v>
      </c>
      <c r="AP981">
        <v>6</v>
      </c>
      <c r="AQ981">
        <v>16</v>
      </c>
      <c r="AR981">
        <v>11</v>
      </c>
      <c r="AS981">
        <v>4</v>
      </c>
    </row>
    <row r="982" spans="1:45" x14ac:dyDescent="0.25">
      <c r="A982">
        <v>36</v>
      </c>
      <c r="B982" t="s">
        <v>400</v>
      </c>
      <c r="E982" t="s">
        <v>399</v>
      </c>
      <c r="U982">
        <v>881</v>
      </c>
      <c r="V982">
        <v>18</v>
      </c>
      <c r="W982">
        <v>8</v>
      </c>
      <c r="X982">
        <v>17</v>
      </c>
      <c r="Y982">
        <v>9</v>
      </c>
      <c r="Z982">
        <v>16</v>
      </c>
      <c r="AA982">
        <v>20</v>
      </c>
      <c r="AB982">
        <v>5</v>
      </c>
      <c r="AC982">
        <v>2</v>
      </c>
      <c r="AD982">
        <v>3</v>
      </c>
      <c r="AE982">
        <v>1</v>
      </c>
      <c r="AF982">
        <v>10</v>
      </c>
      <c r="AG982">
        <v>19</v>
      </c>
      <c r="AH982">
        <v>11</v>
      </c>
      <c r="AI982">
        <v>15</v>
      </c>
      <c r="AJ982">
        <v>12</v>
      </c>
      <c r="AK982">
        <v>22</v>
      </c>
      <c r="AL982">
        <v>23</v>
      </c>
      <c r="AM982">
        <v>24</v>
      </c>
      <c r="AN982">
        <v>4</v>
      </c>
      <c r="AO982">
        <v>21</v>
      </c>
      <c r="AP982">
        <v>13</v>
      </c>
      <c r="AQ982">
        <v>14</v>
      </c>
      <c r="AR982">
        <v>7</v>
      </c>
      <c r="AS982">
        <v>6</v>
      </c>
    </row>
    <row r="983" spans="1:45" x14ac:dyDescent="0.25">
      <c r="A983">
        <v>36</v>
      </c>
      <c r="B983" t="s">
        <v>393</v>
      </c>
      <c r="E983" t="s">
        <v>401</v>
      </c>
      <c r="U983">
        <v>882</v>
      </c>
      <c r="V983">
        <v>18</v>
      </c>
      <c r="W983">
        <v>12</v>
      </c>
      <c r="X983">
        <v>10</v>
      </c>
      <c r="Y983">
        <v>11</v>
      </c>
      <c r="Z983">
        <v>16</v>
      </c>
      <c r="AA983">
        <v>17</v>
      </c>
      <c r="AB983">
        <v>8</v>
      </c>
      <c r="AC983">
        <v>2</v>
      </c>
      <c r="AD983">
        <v>4</v>
      </c>
      <c r="AE983">
        <v>1</v>
      </c>
      <c r="AF983">
        <v>9</v>
      </c>
      <c r="AG983">
        <v>22</v>
      </c>
      <c r="AH983">
        <v>14</v>
      </c>
      <c r="AI983">
        <v>19</v>
      </c>
      <c r="AJ983">
        <v>15</v>
      </c>
      <c r="AK983">
        <v>21</v>
      </c>
      <c r="AL983">
        <v>24</v>
      </c>
      <c r="AM983">
        <v>23</v>
      </c>
      <c r="AN983">
        <v>3</v>
      </c>
      <c r="AO983">
        <v>20</v>
      </c>
      <c r="AP983">
        <v>7</v>
      </c>
      <c r="AQ983">
        <v>13</v>
      </c>
      <c r="AR983">
        <v>5</v>
      </c>
      <c r="AS983">
        <v>6</v>
      </c>
    </row>
    <row r="984" spans="1:45" x14ac:dyDescent="0.25">
      <c r="A984">
        <v>36</v>
      </c>
      <c r="B984" t="s">
        <v>381</v>
      </c>
      <c r="E984" t="s">
        <v>383</v>
      </c>
      <c r="U984">
        <v>883</v>
      </c>
      <c r="V984">
        <v>17</v>
      </c>
      <c r="W984">
        <v>16</v>
      </c>
      <c r="X984">
        <v>11</v>
      </c>
      <c r="Y984">
        <v>12</v>
      </c>
      <c r="Z984">
        <v>14</v>
      </c>
      <c r="AA984">
        <v>21</v>
      </c>
      <c r="AB984">
        <v>5</v>
      </c>
      <c r="AC984">
        <v>2</v>
      </c>
      <c r="AD984">
        <v>3</v>
      </c>
      <c r="AE984">
        <v>1</v>
      </c>
      <c r="AF984">
        <v>8</v>
      </c>
      <c r="AG984">
        <v>20</v>
      </c>
      <c r="AH984">
        <v>13</v>
      </c>
      <c r="AI984">
        <v>15</v>
      </c>
      <c r="AJ984">
        <v>18</v>
      </c>
      <c r="AK984">
        <v>19</v>
      </c>
      <c r="AL984">
        <v>24</v>
      </c>
      <c r="AM984">
        <v>23</v>
      </c>
      <c r="AN984">
        <v>4</v>
      </c>
      <c r="AO984">
        <v>22</v>
      </c>
      <c r="AP984">
        <v>6</v>
      </c>
      <c r="AQ984">
        <v>9</v>
      </c>
      <c r="AR984">
        <v>7</v>
      </c>
      <c r="AS984">
        <v>10</v>
      </c>
    </row>
    <row r="985" spans="1:45" x14ac:dyDescent="0.25">
      <c r="A985">
        <v>36</v>
      </c>
      <c r="B985" t="s">
        <v>388</v>
      </c>
      <c r="E985" t="s">
        <v>390</v>
      </c>
      <c r="U985">
        <v>884</v>
      </c>
      <c r="V985">
        <v>17</v>
      </c>
      <c r="W985">
        <v>8</v>
      </c>
      <c r="X985">
        <v>10</v>
      </c>
      <c r="Y985">
        <v>12</v>
      </c>
      <c r="Z985">
        <v>11</v>
      </c>
      <c r="AA985">
        <v>21</v>
      </c>
      <c r="AB985">
        <v>5</v>
      </c>
      <c r="AC985">
        <v>2</v>
      </c>
      <c r="AD985">
        <v>4</v>
      </c>
      <c r="AE985">
        <v>1</v>
      </c>
      <c r="AF985">
        <v>13</v>
      </c>
      <c r="AG985">
        <v>19</v>
      </c>
      <c r="AH985">
        <v>16</v>
      </c>
      <c r="AI985">
        <v>15</v>
      </c>
      <c r="AJ985">
        <v>14</v>
      </c>
      <c r="AK985">
        <v>22</v>
      </c>
      <c r="AL985">
        <v>24</v>
      </c>
      <c r="AM985">
        <v>23</v>
      </c>
      <c r="AN985">
        <v>3</v>
      </c>
      <c r="AO985">
        <v>18</v>
      </c>
      <c r="AP985">
        <v>7</v>
      </c>
      <c r="AQ985">
        <v>20</v>
      </c>
      <c r="AR985">
        <v>9</v>
      </c>
      <c r="AS985">
        <v>6</v>
      </c>
    </row>
    <row r="986" spans="1:45" x14ac:dyDescent="0.25">
      <c r="A986">
        <v>36</v>
      </c>
      <c r="B986" t="s">
        <v>396</v>
      </c>
      <c r="E986" t="s">
        <v>392</v>
      </c>
      <c r="U986">
        <v>885</v>
      </c>
      <c r="V986">
        <v>15</v>
      </c>
      <c r="W986">
        <v>8</v>
      </c>
      <c r="X986">
        <v>7</v>
      </c>
      <c r="Y986">
        <v>9</v>
      </c>
      <c r="Z986">
        <v>14</v>
      </c>
      <c r="AA986">
        <v>23</v>
      </c>
      <c r="AB986">
        <v>4</v>
      </c>
      <c r="AC986">
        <v>2</v>
      </c>
      <c r="AD986">
        <v>3</v>
      </c>
      <c r="AE986">
        <v>1</v>
      </c>
      <c r="AF986">
        <v>11</v>
      </c>
      <c r="AG986">
        <v>18</v>
      </c>
      <c r="AH986">
        <v>13</v>
      </c>
      <c r="AI986">
        <v>20</v>
      </c>
      <c r="AJ986">
        <v>17</v>
      </c>
      <c r="AK986">
        <v>19</v>
      </c>
      <c r="AL986">
        <v>24</v>
      </c>
      <c r="AM986">
        <v>22</v>
      </c>
      <c r="AN986">
        <v>6</v>
      </c>
      <c r="AO986">
        <v>21</v>
      </c>
      <c r="AP986">
        <v>10</v>
      </c>
      <c r="AQ986">
        <v>16</v>
      </c>
      <c r="AR986">
        <v>12</v>
      </c>
      <c r="AS986">
        <v>5</v>
      </c>
    </row>
    <row r="987" spans="1:45" x14ac:dyDescent="0.25">
      <c r="A987">
        <v>36</v>
      </c>
      <c r="B987" t="s">
        <v>395</v>
      </c>
      <c r="E987" t="s">
        <v>391</v>
      </c>
      <c r="U987">
        <v>886</v>
      </c>
      <c r="V987">
        <v>16</v>
      </c>
      <c r="W987">
        <v>7</v>
      </c>
      <c r="X987">
        <v>9</v>
      </c>
      <c r="Y987">
        <v>10</v>
      </c>
      <c r="Z987">
        <v>17</v>
      </c>
      <c r="AA987">
        <v>20</v>
      </c>
      <c r="AB987">
        <v>8</v>
      </c>
      <c r="AC987">
        <v>2</v>
      </c>
      <c r="AD987">
        <v>4</v>
      </c>
      <c r="AE987">
        <v>1</v>
      </c>
      <c r="AF987">
        <v>11</v>
      </c>
      <c r="AG987">
        <v>18</v>
      </c>
      <c r="AH987">
        <v>13</v>
      </c>
      <c r="AI987">
        <v>14</v>
      </c>
      <c r="AJ987">
        <v>15</v>
      </c>
      <c r="AK987">
        <v>22</v>
      </c>
      <c r="AL987">
        <v>24</v>
      </c>
      <c r="AM987">
        <v>23</v>
      </c>
      <c r="AN987">
        <v>3</v>
      </c>
      <c r="AO987">
        <v>21</v>
      </c>
      <c r="AP987">
        <v>6</v>
      </c>
      <c r="AQ987">
        <v>19</v>
      </c>
      <c r="AR987">
        <v>12</v>
      </c>
      <c r="AS987">
        <v>5</v>
      </c>
    </row>
    <row r="988" spans="1:45" x14ac:dyDescent="0.25">
      <c r="A988">
        <v>37</v>
      </c>
      <c r="B988" t="s">
        <v>380</v>
      </c>
      <c r="E988" t="s">
        <v>399</v>
      </c>
      <c r="U988">
        <v>887</v>
      </c>
      <c r="V988">
        <v>16</v>
      </c>
      <c r="W988">
        <v>7</v>
      </c>
      <c r="X988">
        <v>17</v>
      </c>
      <c r="Y988">
        <v>14</v>
      </c>
      <c r="Z988">
        <v>11</v>
      </c>
      <c r="AA988">
        <v>23</v>
      </c>
      <c r="AB988">
        <v>5</v>
      </c>
      <c r="AC988">
        <v>2</v>
      </c>
      <c r="AD988">
        <v>3</v>
      </c>
      <c r="AE988">
        <v>1</v>
      </c>
      <c r="AF988">
        <v>13</v>
      </c>
      <c r="AG988">
        <v>20</v>
      </c>
      <c r="AH988">
        <v>10</v>
      </c>
      <c r="AI988">
        <v>15</v>
      </c>
      <c r="AJ988">
        <v>12</v>
      </c>
      <c r="AK988">
        <v>19</v>
      </c>
      <c r="AL988">
        <v>22</v>
      </c>
      <c r="AM988">
        <v>24</v>
      </c>
      <c r="AN988">
        <v>4</v>
      </c>
      <c r="AO988">
        <v>21</v>
      </c>
      <c r="AP988">
        <v>9</v>
      </c>
      <c r="AQ988">
        <v>18</v>
      </c>
      <c r="AR988">
        <v>8</v>
      </c>
      <c r="AS988">
        <v>6</v>
      </c>
    </row>
    <row r="989" spans="1:45" x14ac:dyDescent="0.25">
      <c r="A989">
        <v>37</v>
      </c>
      <c r="B989" t="s">
        <v>395</v>
      </c>
      <c r="E989" t="s">
        <v>386</v>
      </c>
      <c r="U989">
        <v>888</v>
      </c>
      <c r="V989">
        <v>16</v>
      </c>
      <c r="W989">
        <v>8</v>
      </c>
      <c r="X989">
        <v>20</v>
      </c>
      <c r="Y989">
        <v>13</v>
      </c>
      <c r="Z989">
        <v>15</v>
      </c>
      <c r="AA989">
        <v>22</v>
      </c>
      <c r="AB989">
        <v>6</v>
      </c>
      <c r="AC989">
        <v>2</v>
      </c>
      <c r="AD989">
        <v>4</v>
      </c>
      <c r="AE989">
        <v>1</v>
      </c>
      <c r="AF989">
        <v>10</v>
      </c>
      <c r="AG989">
        <v>19</v>
      </c>
      <c r="AH989">
        <v>11</v>
      </c>
      <c r="AI989">
        <v>14</v>
      </c>
      <c r="AJ989">
        <v>7</v>
      </c>
      <c r="AK989">
        <v>23</v>
      </c>
      <c r="AL989">
        <v>24</v>
      </c>
      <c r="AM989">
        <v>21</v>
      </c>
      <c r="AN989">
        <v>3</v>
      </c>
      <c r="AO989">
        <v>18</v>
      </c>
      <c r="AP989">
        <v>12</v>
      </c>
      <c r="AQ989">
        <v>17</v>
      </c>
      <c r="AR989">
        <v>9</v>
      </c>
      <c r="AS989">
        <v>5</v>
      </c>
    </row>
    <row r="990" spans="1:45" x14ac:dyDescent="0.25">
      <c r="A990">
        <v>37</v>
      </c>
      <c r="B990" t="s">
        <v>390</v>
      </c>
      <c r="E990" t="s">
        <v>394</v>
      </c>
      <c r="U990">
        <v>889</v>
      </c>
      <c r="V990">
        <v>13</v>
      </c>
      <c r="W990">
        <v>12</v>
      </c>
      <c r="X990">
        <v>11</v>
      </c>
      <c r="Y990">
        <v>15</v>
      </c>
      <c r="Z990">
        <v>17</v>
      </c>
      <c r="AA990">
        <v>21</v>
      </c>
      <c r="AB990">
        <v>6</v>
      </c>
      <c r="AC990">
        <v>2</v>
      </c>
      <c r="AD990">
        <v>3</v>
      </c>
      <c r="AE990">
        <v>1</v>
      </c>
      <c r="AF990">
        <v>10</v>
      </c>
      <c r="AG990">
        <v>20</v>
      </c>
      <c r="AH990">
        <v>8</v>
      </c>
      <c r="AI990">
        <v>16</v>
      </c>
      <c r="AJ990">
        <v>14</v>
      </c>
      <c r="AK990">
        <v>22</v>
      </c>
      <c r="AL990">
        <v>24</v>
      </c>
      <c r="AM990">
        <v>23</v>
      </c>
      <c r="AN990">
        <v>4</v>
      </c>
      <c r="AO990">
        <v>19</v>
      </c>
      <c r="AP990">
        <v>7</v>
      </c>
      <c r="AQ990">
        <v>18</v>
      </c>
      <c r="AR990">
        <v>5</v>
      </c>
      <c r="AS990">
        <v>9</v>
      </c>
    </row>
    <row r="991" spans="1:45" x14ac:dyDescent="0.25">
      <c r="A991">
        <v>37</v>
      </c>
      <c r="B991" t="s">
        <v>383</v>
      </c>
      <c r="E991" t="s">
        <v>401</v>
      </c>
      <c r="U991">
        <v>890</v>
      </c>
      <c r="V991">
        <v>14</v>
      </c>
      <c r="W991">
        <v>9</v>
      </c>
      <c r="X991">
        <v>13</v>
      </c>
      <c r="Y991">
        <v>8</v>
      </c>
      <c r="Z991">
        <v>15</v>
      </c>
      <c r="AA991">
        <v>21</v>
      </c>
      <c r="AB991">
        <v>7</v>
      </c>
      <c r="AC991">
        <v>2</v>
      </c>
      <c r="AD991">
        <v>4</v>
      </c>
      <c r="AE991">
        <v>1</v>
      </c>
      <c r="AF991">
        <v>10</v>
      </c>
      <c r="AG991">
        <v>22</v>
      </c>
      <c r="AH991">
        <v>12</v>
      </c>
      <c r="AI991">
        <v>16</v>
      </c>
      <c r="AJ991">
        <v>18</v>
      </c>
      <c r="AK991">
        <v>19</v>
      </c>
      <c r="AL991">
        <v>24</v>
      </c>
      <c r="AM991">
        <v>23</v>
      </c>
      <c r="AN991">
        <v>3</v>
      </c>
      <c r="AO991">
        <v>20</v>
      </c>
      <c r="AP991">
        <v>11</v>
      </c>
      <c r="AQ991">
        <v>17</v>
      </c>
      <c r="AR991">
        <v>5</v>
      </c>
      <c r="AS991">
        <v>6</v>
      </c>
    </row>
    <row r="992" spans="1:45" x14ac:dyDescent="0.25">
      <c r="A992">
        <v>37</v>
      </c>
      <c r="B992" t="s">
        <v>392</v>
      </c>
      <c r="E992" t="s">
        <v>397</v>
      </c>
      <c r="U992">
        <v>891</v>
      </c>
      <c r="V992">
        <v>14</v>
      </c>
      <c r="W992">
        <v>10</v>
      </c>
      <c r="X992">
        <v>8</v>
      </c>
      <c r="Y992">
        <v>15</v>
      </c>
      <c r="Z992">
        <v>17</v>
      </c>
      <c r="AA992">
        <v>22</v>
      </c>
      <c r="AB992">
        <v>7</v>
      </c>
      <c r="AC992">
        <v>2</v>
      </c>
      <c r="AD992">
        <v>3</v>
      </c>
      <c r="AE992">
        <v>1</v>
      </c>
      <c r="AF992">
        <v>13</v>
      </c>
      <c r="AG992">
        <v>19</v>
      </c>
      <c r="AH992">
        <v>9</v>
      </c>
      <c r="AI992">
        <v>16</v>
      </c>
      <c r="AJ992">
        <v>12</v>
      </c>
      <c r="AK992">
        <v>20</v>
      </c>
      <c r="AL992">
        <v>24</v>
      </c>
      <c r="AM992">
        <v>23</v>
      </c>
      <c r="AN992">
        <v>4</v>
      </c>
      <c r="AO992">
        <v>21</v>
      </c>
      <c r="AP992">
        <v>5</v>
      </c>
      <c r="AQ992">
        <v>18</v>
      </c>
      <c r="AR992">
        <v>11</v>
      </c>
      <c r="AS992">
        <v>6</v>
      </c>
    </row>
    <row r="993" spans="1:45" x14ac:dyDescent="0.25">
      <c r="A993">
        <v>37</v>
      </c>
      <c r="B993" t="s">
        <v>396</v>
      </c>
      <c r="E993" t="s">
        <v>398</v>
      </c>
      <c r="U993">
        <v>892</v>
      </c>
      <c r="V993">
        <v>12</v>
      </c>
      <c r="W993">
        <v>8</v>
      </c>
      <c r="X993">
        <v>11</v>
      </c>
      <c r="Y993">
        <v>13</v>
      </c>
      <c r="Z993">
        <v>17</v>
      </c>
      <c r="AA993">
        <v>22</v>
      </c>
      <c r="AB993">
        <v>6</v>
      </c>
      <c r="AC993">
        <v>2</v>
      </c>
      <c r="AD993">
        <v>3</v>
      </c>
      <c r="AE993">
        <v>1</v>
      </c>
      <c r="AF993">
        <v>10</v>
      </c>
      <c r="AG993">
        <v>18</v>
      </c>
      <c r="AH993">
        <v>14</v>
      </c>
      <c r="AI993">
        <v>21</v>
      </c>
      <c r="AJ993">
        <v>15</v>
      </c>
      <c r="AK993">
        <v>20</v>
      </c>
      <c r="AL993">
        <v>24</v>
      </c>
      <c r="AM993">
        <v>23</v>
      </c>
      <c r="AN993">
        <v>4</v>
      </c>
      <c r="AO993">
        <v>19</v>
      </c>
      <c r="AP993">
        <v>7</v>
      </c>
      <c r="AQ993">
        <v>16</v>
      </c>
      <c r="AR993">
        <v>9</v>
      </c>
      <c r="AS993">
        <v>5</v>
      </c>
    </row>
    <row r="994" spans="1:45" x14ac:dyDescent="0.25">
      <c r="A994">
        <v>37</v>
      </c>
      <c r="B994" t="s">
        <v>400</v>
      </c>
      <c r="E994" t="s">
        <v>382</v>
      </c>
      <c r="U994">
        <v>893</v>
      </c>
      <c r="V994">
        <v>11</v>
      </c>
      <c r="W994">
        <v>12</v>
      </c>
      <c r="X994">
        <v>18</v>
      </c>
      <c r="Y994">
        <v>14</v>
      </c>
      <c r="Z994">
        <v>16</v>
      </c>
      <c r="AA994">
        <v>19</v>
      </c>
      <c r="AB994">
        <v>5</v>
      </c>
      <c r="AC994">
        <v>2</v>
      </c>
      <c r="AD994">
        <v>4</v>
      </c>
      <c r="AE994">
        <v>1</v>
      </c>
      <c r="AF994">
        <v>7</v>
      </c>
      <c r="AG994">
        <v>17</v>
      </c>
      <c r="AH994">
        <v>10</v>
      </c>
      <c r="AI994">
        <v>8</v>
      </c>
      <c r="AJ994">
        <v>15</v>
      </c>
      <c r="AK994">
        <v>20</v>
      </c>
      <c r="AL994">
        <v>24</v>
      </c>
      <c r="AM994">
        <v>23</v>
      </c>
      <c r="AN994">
        <v>3</v>
      </c>
      <c r="AO994">
        <v>21</v>
      </c>
      <c r="AP994">
        <v>13</v>
      </c>
      <c r="AQ994">
        <v>22</v>
      </c>
      <c r="AR994">
        <v>9</v>
      </c>
      <c r="AS994">
        <v>6</v>
      </c>
    </row>
    <row r="995" spans="1:45" x14ac:dyDescent="0.25">
      <c r="A995">
        <v>37</v>
      </c>
      <c r="B995" t="s">
        <v>381</v>
      </c>
      <c r="E995" t="s">
        <v>385</v>
      </c>
      <c r="U995">
        <v>894</v>
      </c>
      <c r="V995">
        <v>19</v>
      </c>
      <c r="W995">
        <v>13</v>
      </c>
      <c r="X995">
        <v>14</v>
      </c>
      <c r="Y995">
        <v>10</v>
      </c>
      <c r="Z995">
        <v>8</v>
      </c>
      <c r="AA995">
        <v>20</v>
      </c>
      <c r="AB995">
        <v>5</v>
      </c>
      <c r="AC995">
        <v>2</v>
      </c>
      <c r="AD995">
        <v>3</v>
      </c>
      <c r="AE995">
        <v>1</v>
      </c>
      <c r="AF995">
        <v>18</v>
      </c>
      <c r="AG995">
        <v>15</v>
      </c>
      <c r="AH995">
        <v>11</v>
      </c>
      <c r="AI995">
        <v>17</v>
      </c>
      <c r="AJ995">
        <v>12</v>
      </c>
      <c r="AK995">
        <v>22</v>
      </c>
      <c r="AL995">
        <v>24</v>
      </c>
      <c r="AM995">
        <v>23</v>
      </c>
      <c r="AN995">
        <v>4</v>
      </c>
      <c r="AO995">
        <v>21</v>
      </c>
      <c r="AP995">
        <v>6</v>
      </c>
      <c r="AQ995">
        <v>16</v>
      </c>
      <c r="AR995">
        <v>9</v>
      </c>
      <c r="AS995">
        <v>7</v>
      </c>
    </row>
    <row r="996" spans="1:45" x14ac:dyDescent="0.25">
      <c r="A996">
        <v>37</v>
      </c>
      <c r="B996" t="s">
        <v>393</v>
      </c>
      <c r="E996" t="s">
        <v>388</v>
      </c>
      <c r="U996">
        <v>895</v>
      </c>
      <c r="V996">
        <v>13</v>
      </c>
      <c r="W996">
        <v>15</v>
      </c>
      <c r="X996">
        <v>8</v>
      </c>
      <c r="Y996">
        <v>6</v>
      </c>
      <c r="Z996">
        <v>17</v>
      </c>
      <c r="AA996">
        <v>18</v>
      </c>
      <c r="AB996">
        <v>5</v>
      </c>
      <c r="AC996">
        <v>2</v>
      </c>
      <c r="AD996">
        <v>3</v>
      </c>
      <c r="AE996">
        <v>1</v>
      </c>
      <c r="AF996">
        <v>14</v>
      </c>
      <c r="AG996">
        <v>16</v>
      </c>
      <c r="AH996">
        <v>10</v>
      </c>
      <c r="AI996">
        <v>12</v>
      </c>
      <c r="AJ996">
        <v>19</v>
      </c>
      <c r="AK996">
        <v>21</v>
      </c>
      <c r="AL996">
        <v>24</v>
      </c>
      <c r="AM996">
        <v>23</v>
      </c>
      <c r="AN996">
        <v>4</v>
      </c>
      <c r="AO996">
        <v>20</v>
      </c>
      <c r="AP996">
        <v>7</v>
      </c>
      <c r="AQ996">
        <v>22</v>
      </c>
      <c r="AR996">
        <v>11</v>
      </c>
      <c r="AS996">
        <v>9</v>
      </c>
    </row>
    <row r="997" spans="1:45" x14ac:dyDescent="0.25">
      <c r="A997">
        <v>37</v>
      </c>
      <c r="B997" t="s">
        <v>389</v>
      </c>
      <c r="E997" t="s">
        <v>378</v>
      </c>
      <c r="U997">
        <v>896</v>
      </c>
      <c r="V997">
        <v>18</v>
      </c>
      <c r="W997">
        <v>8</v>
      </c>
      <c r="X997">
        <v>10</v>
      </c>
      <c r="Y997">
        <v>9</v>
      </c>
      <c r="Z997">
        <v>13</v>
      </c>
      <c r="AA997">
        <v>20</v>
      </c>
      <c r="AB997">
        <v>5</v>
      </c>
      <c r="AC997">
        <v>2</v>
      </c>
      <c r="AD997">
        <v>3</v>
      </c>
      <c r="AE997">
        <v>1</v>
      </c>
      <c r="AF997">
        <v>11</v>
      </c>
      <c r="AG997">
        <v>19</v>
      </c>
      <c r="AH997">
        <v>12</v>
      </c>
      <c r="AI997">
        <v>15</v>
      </c>
      <c r="AJ997">
        <v>16</v>
      </c>
      <c r="AK997">
        <v>23</v>
      </c>
      <c r="AL997">
        <v>24</v>
      </c>
      <c r="AM997">
        <v>22</v>
      </c>
      <c r="AN997">
        <v>4</v>
      </c>
      <c r="AO997">
        <v>21</v>
      </c>
      <c r="AP997">
        <v>7</v>
      </c>
      <c r="AQ997">
        <v>17</v>
      </c>
      <c r="AR997">
        <v>14</v>
      </c>
      <c r="AS997">
        <v>6</v>
      </c>
    </row>
    <row r="998" spans="1:45" x14ac:dyDescent="0.25">
      <c r="A998">
        <v>37</v>
      </c>
      <c r="B998" t="s">
        <v>384</v>
      </c>
      <c r="E998" t="s">
        <v>387</v>
      </c>
      <c r="U998">
        <v>897</v>
      </c>
      <c r="V998">
        <v>17</v>
      </c>
      <c r="W998">
        <v>10</v>
      </c>
      <c r="X998">
        <v>15</v>
      </c>
      <c r="Y998">
        <v>16</v>
      </c>
      <c r="Z998">
        <v>14</v>
      </c>
      <c r="AA998">
        <v>22</v>
      </c>
      <c r="AB998">
        <v>6</v>
      </c>
      <c r="AC998">
        <v>2</v>
      </c>
      <c r="AD998">
        <v>5</v>
      </c>
      <c r="AE998">
        <v>1</v>
      </c>
      <c r="AF998">
        <v>12</v>
      </c>
      <c r="AG998">
        <v>18</v>
      </c>
      <c r="AH998">
        <v>9</v>
      </c>
      <c r="AI998">
        <v>11</v>
      </c>
      <c r="AJ998">
        <v>13</v>
      </c>
      <c r="AK998">
        <v>20</v>
      </c>
      <c r="AL998">
        <v>24</v>
      </c>
      <c r="AM998">
        <v>23</v>
      </c>
      <c r="AN998">
        <v>4</v>
      </c>
      <c r="AO998">
        <v>21</v>
      </c>
      <c r="AP998">
        <v>8</v>
      </c>
      <c r="AQ998">
        <v>19</v>
      </c>
      <c r="AR998">
        <v>7</v>
      </c>
      <c r="AS998">
        <v>3</v>
      </c>
    </row>
    <row r="999" spans="1:45" x14ac:dyDescent="0.25">
      <c r="A999">
        <v>37</v>
      </c>
      <c r="B999" t="s">
        <v>379</v>
      </c>
      <c r="E999" t="s">
        <v>391</v>
      </c>
      <c r="U999">
        <v>898</v>
      </c>
      <c r="V999">
        <v>17</v>
      </c>
      <c r="W999">
        <v>14</v>
      </c>
      <c r="X999">
        <v>10</v>
      </c>
      <c r="Y999">
        <v>12</v>
      </c>
      <c r="Z999">
        <v>19</v>
      </c>
      <c r="AA999">
        <v>21</v>
      </c>
      <c r="AB999">
        <v>6</v>
      </c>
      <c r="AC999">
        <v>2</v>
      </c>
      <c r="AD999">
        <v>3</v>
      </c>
      <c r="AE999">
        <v>1</v>
      </c>
      <c r="AF999">
        <v>13</v>
      </c>
      <c r="AG999">
        <v>16</v>
      </c>
      <c r="AH999">
        <v>9</v>
      </c>
      <c r="AI999">
        <v>20</v>
      </c>
      <c r="AJ999">
        <v>11</v>
      </c>
      <c r="AK999">
        <v>22</v>
      </c>
      <c r="AL999">
        <v>24</v>
      </c>
      <c r="AM999">
        <v>23</v>
      </c>
      <c r="AN999">
        <v>4</v>
      </c>
      <c r="AO999">
        <v>18</v>
      </c>
      <c r="AP999">
        <v>7</v>
      </c>
      <c r="AQ999">
        <v>15</v>
      </c>
      <c r="AR999">
        <v>8</v>
      </c>
      <c r="AS999">
        <v>5</v>
      </c>
    </row>
    <row r="1000" spans="1:45" x14ac:dyDescent="0.25">
      <c r="A1000">
        <v>38</v>
      </c>
      <c r="B1000" t="s">
        <v>388</v>
      </c>
      <c r="E1000" t="s">
        <v>379</v>
      </c>
      <c r="U1000">
        <v>899</v>
      </c>
      <c r="V1000">
        <v>14</v>
      </c>
      <c r="W1000">
        <v>16</v>
      </c>
      <c r="X1000">
        <v>12</v>
      </c>
      <c r="Y1000">
        <v>13</v>
      </c>
      <c r="Z1000">
        <v>10</v>
      </c>
      <c r="AA1000">
        <v>20</v>
      </c>
      <c r="AB1000">
        <v>4</v>
      </c>
      <c r="AC1000">
        <v>3</v>
      </c>
      <c r="AD1000">
        <v>2</v>
      </c>
      <c r="AE1000">
        <v>1</v>
      </c>
      <c r="AF1000">
        <v>9</v>
      </c>
      <c r="AG1000">
        <v>21</v>
      </c>
      <c r="AH1000">
        <v>15</v>
      </c>
      <c r="AI1000">
        <v>19</v>
      </c>
      <c r="AJ1000">
        <v>17</v>
      </c>
      <c r="AK1000">
        <v>22</v>
      </c>
      <c r="AL1000">
        <v>24</v>
      </c>
      <c r="AM1000">
        <v>23</v>
      </c>
      <c r="AN1000">
        <v>7</v>
      </c>
      <c r="AO1000">
        <v>18</v>
      </c>
      <c r="AP1000">
        <v>5</v>
      </c>
      <c r="AQ1000">
        <v>11</v>
      </c>
      <c r="AR1000">
        <v>8</v>
      </c>
      <c r="AS1000">
        <v>6</v>
      </c>
    </row>
    <row r="1001" spans="1:45" x14ac:dyDescent="0.25">
      <c r="A1001">
        <v>38</v>
      </c>
      <c r="B1001" t="s">
        <v>394</v>
      </c>
      <c r="E1001" t="s">
        <v>383</v>
      </c>
      <c r="U1001">
        <v>900</v>
      </c>
      <c r="V1001">
        <v>12</v>
      </c>
      <c r="W1001">
        <v>15</v>
      </c>
      <c r="X1001">
        <v>8</v>
      </c>
      <c r="Y1001">
        <v>7</v>
      </c>
      <c r="Z1001">
        <v>19</v>
      </c>
      <c r="AA1001">
        <v>18</v>
      </c>
      <c r="AB1001">
        <v>5</v>
      </c>
      <c r="AC1001">
        <v>2</v>
      </c>
      <c r="AD1001">
        <v>6</v>
      </c>
      <c r="AE1001">
        <v>1</v>
      </c>
      <c r="AF1001">
        <v>9</v>
      </c>
      <c r="AG1001">
        <v>21</v>
      </c>
      <c r="AH1001">
        <v>16</v>
      </c>
      <c r="AI1001">
        <v>17</v>
      </c>
      <c r="AJ1001">
        <v>10</v>
      </c>
      <c r="AK1001">
        <v>20</v>
      </c>
      <c r="AL1001">
        <v>24</v>
      </c>
      <c r="AM1001">
        <v>23</v>
      </c>
      <c r="AN1001">
        <v>4</v>
      </c>
      <c r="AO1001">
        <v>22</v>
      </c>
      <c r="AP1001">
        <v>13</v>
      </c>
      <c r="AQ1001">
        <v>14</v>
      </c>
      <c r="AR1001">
        <v>11</v>
      </c>
      <c r="AS1001">
        <v>3</v>
      </c>
    </row>
    <row r="1002" spans="1:45" x14ac:dyDescent="0.25">
      <c r="A1002">
        <v>38</v>
      </c>
      <c r="B1002" t="s">
        <v>385</v>
      </c>
      <c r="E1002" t="s">
        <v>395</v>
      </c>
      <c r="U1002">
        <v>901</v>
      </c>
      <c r="V1002">
        <v>18</v>
      </c>
      <c r="W1002">
        <v>9</v>
      </c>
      <c r="X1002">
        <v>15</v>
      </c>
      <c r="Y1002">
        <v>11</v>
      </c>
      <c r="Z1002">
        <v>10</v>
      </c>
      <c r="AA1002">
        <v>22</v>
      </c>
      <c r="AB1002">
        <v>5</v>
      </c>
      <c r="AC1002">
        <v>2</v>
      </c>
      <c r="AD1002">
        <v>6</v>
      </c>
      <c r="AE1002">
        <v>1</v>
      </c>
      <c r="AF1002">
        <v>13</v>
      </c>
      <c r="AG1002">
        <v>19</v>
      </c>
      <c r="AH1002">
        <v>17</v>
      </c>
      <c r="AI1002">
        <v>12</v>
      </c>
      <c r="AJ1002">
        <v>8</v>
      </c>
      <c r="AK1002">
        <v>23</v>
      </c>
      <c r="AL1002">
        <v>21</v>
      </c>
      <c r="AM1002">
        <v>24</v>
      </c>
      <c r="AN1002">
        <v>3</v>
      </c>
      <c r="AO1002">
        <v>20</v>
      </c>
      <c r="AP1002">
        <v>14</v>
      </c>
      <c r="AQ1002">
        <v>16</v>
      </c>
      <c r="AR1002">
        <v>7</v>
      </c>
      <c r="AS1002">
        <v>4</v>
      </c>
    </row>
    <row r="1003" spans="1:45" x14ac:dyDescent="0.25">
      <c r="A1003">
        <v>38</v>
      </c>
      <c r="B1003" t="s">
        <v>399</v>
      </c>
      <c r="E1003" t="s">
        <v>381</v>
      </c>
      <c r="U1003">
        <v>902</v>
      </c>
      <c r="V1003">
        <v>14</v>
      </c>
      <c r="W1003">
        <v>9</v>
      </c>
      <c r="X1003">
        <v>17</v>
      </c>
      <c r="Y1003">
        <v>13</v>
      </c>
      <c r="Z1003">
        <v>12</v>
      </c>
      <c r="AA1003">
        <v>19</v>
      </c>
      <c r="AB1003">
        <v>4</v>
      </c>
      <c r="AC1003">
        <v>3</v>
      </c>
      <c r="AD1003">
        <v>5</v>
      </c>
      <c r="AE1003">
        <v>1</v>
      </c>
      <c r="AF1003">
        <v>15</v>
      </c>
      <c r="AG1003">
        <v>18</v>
      </c>
      <c r="AH1003">
        <v>6</v>
      </c>
      <c r="AI1003">
        <v>16</v>
      </c>
      <c r="AJ1003">
        <v>7</v>
      </c>
      <c r="AK1003">
        <v>22</v>
      </c>
      <c r="AL1003">
        <v>24</v>
      </c>
      <c r="AM1003">
        <v>23</v>
      </c>
      <c r="AN1003">
        <v>2</v>
      </c>
      <c r="AO1003">
        <v>20</v>
      </c>
      <c r="AP1003">
        <v>10</v>
      </c>
      <c r="AQ1003">
        <v>21</v>
      </c>
      <c r="AR1003">
        <v>11</v>
      </c>
      <c r="AS1003">
        <v>8</v>
      </c>
    </row>
    <row r="1004" spans="1:45" x14ac:dyDescent="0.25">
      <c r="A1004">
        <v>38</v>
      </c>
      <c r="B1004" t="s">
        <v>397</v>
      </c>
      <c r="E1004" t="s">
        <v>390</v>
      </c>
      <c r="U1004">
        <v>903</v>
      </c>
      <c r="V1004">
        <v>17</v>
      </c>
      <c r="W1004">
        <v>9</v>
      </c>
      <c r="X1004">
        <v>12</v>
      </c>
      <c r="Y1004">
        <v>13</v>
      </c>
      <c r="Z1004">
        <v>11</v>
      </c>
      <c r="AA1004">
        <v>19</v>
      </c>
      <c r="AB1004">
        <v>4</v>
      </c>
      <c r="AC1004">
        <v>2</v>
      </c>
      <c r="AD1004">
        <v>3</v>
      </c>
      <c r="AE1004">
        <v>1</v>
      </c>
      <c r="AF1004">
        <v>15</v>
      </c>
      <c r="AG1004">
        <v>21</v>
      </c>
      <c r="AH1004">
        <v>10</v>
      </c>
      <c r="AI1004">
        <v>18</v>
      </c>
      <c r="AJ1004">
        <v>14</v>
      </c>
      <c r="AK1004">
        <v>22</v>
      </c>
      <c r="AL1004">
        <v>24</v>
      </c>
      <c r="AM1004">
        <v>23</v>
      </c>
      <c r="AN1004">
        <v>5</v>
      </c>
      <c r="AO1004">
        <v>20</v>
      </c>
      <c r="AP1004">
        <v>8</v>
      </c>
      <c r="AQ1004">
        <v>16</v>
      </c>
      <c r="AR1004">
        <v>6</v>
      </c>
      <c r="AS1004">
        <v>7</v>
      </c>
    </row>
    <row r="1005" spans="1:45" x14ac:dyDescent="0.25">
      <c r="A1005">
        <v>38</v>
      </c>
      <c r="B1005" t="s">
        <v>391</v>
      </c>
      <c r="E1005" t="s">
        <v>392</v>
      </c>
      <c r="U1005">
        <v>904</v>
      </c>
      <c r="V1005">
        <v>16</v>
      </c>
      <c r="W1005">
        <v>12</v>
      </c>
      <c r="X1005">
        <v>19</v>
      </c>
      <c r="Y1005">
        <v>11</v>
      </c>
      <c r="Z1005">
        <v>15</v>
      </c>
      <c r="AA1005">
        <v>22</v>
      </c>
      <c r="AB1005">
        <v>5</v>
      </c>
      <c r="AC1005">
        <v>3</v>
      </c>
      <c r="AD1005">
        <v>4</v>
      </c>
      <c r="AE1005">
        <v>1</v>
      </c>
      <c r="AF1005">
        <v>8</v>
      </c>
      <c r="AG1005">
        <v>18</v>
      </c>
      <c r="AH1005">
        <v>13</v>
      </c>
      <c r="AI1005">
        <v>17</v>
      </c>
      <c r="AJ1005">
        <v>6</v>
      </c>
      <c r="AK1005">
        <v>21</v>
      </c>
      <c r="AL1005">
        <v>24</v>
      </c>
      <c r="AM1005">
        <v>23</v>
      </c>
      <c r="AN1005">
        <v>2</v>
      </c>
      <c r="AO1005">
        <v>14</v>
      </c>
      <c r="AP1005">
        <v>10</v>
      </c>
      <c r="AQ1005">
        <v>20</v>
      </c>
      <c r="AR1005">
        <v>9</v>
      </c>
      <c r="AS1005">
        <v>7</v>
      </c>
    </row>
    <row r="1006" spans="1:45" x14ac:dyDescent="0.25">
      <c r="A1006">
        <v>38</v>
      </c>
      <c r="B1006" t="s">
        <v>378</v>
      </c>
      <c r="E1006" t="s">
        <v>400</v>
      </c>
      <c r="U1006">
        <v>905</v>
      </c>
      <c r="V1006">
        <v>15</v>
      </c>
      <c r="W1006">
        <v>7</v>
      </c>
      <c r="X1006">
        <v>14</v>
      </c>
      <c r="Y1006">
        <v>12</v>
      </c>
      <c r="Z1006">
        <v>17</v>
      </c>
      <c r="AA1006">
        <v>20</v>
      </c>
      <c r="AB1006">
        <v>6</v>
      </c>
      <c r="AC1006">
        <v>2</v>
      </c>
      <c r="AD1006">
        <v>4</v>
      </c>
      <c r="AE1006">
        <v>1</v>
      </c>
      <c r="AF1006">
        <v>16</v>
      </c>
      <c r="AG1006">
        <v>19</v>
      </c>
      <c r="AH1006">
        <v>5</v>
      </c>
      <c r="AI1006">
        <v>18</v>
      </c>
      <c r="AJ1006">
        <v>11</v>
      </c>
      <c r="AK1006">
        <v>23</v>
      </c>
      <c r="AL1006">
        <v>22</v>
      </c>
      <c r="AM1006">
        <v>24</v>
      </c>
      <c r="AN1006">
        <v>3</v>
      </c>
      <c r="AO1006">
        <v>21</v>
      </c>
      <c r="AP1006">
        <v>9</v>
      </c>
      <c r="AQ1006">
        <v>13</v>
      </c>
      <c r="AR1006">
        <v>10</v>
      </c>
      <c r="AS1006">
        <v>8</v>
      </c>
    </row>
    <row r="1007" spans="1:45" x14ac:dyDescent="0.25">
      <c r="A1007">
        <v>38</v>
      </c>
      <c r="B1007" t="s">
        <v>382</v>
      </c>
      <c r="E1007" t="s">
        <v>384</v>
      </c>
      <c r="U1007">
        <v>906</v>
      </c>
      <c r="V1007">
        <v>15</v>
      </c>
      <c r="W1007">
        <v>6</v>
      </c>
      <c r="X1007">
        <v>17</v>
      </c>
      <c r="Y1007">
        <v>12</v>
      </c>
      <c r="Z1007">
        <v>16</v>
      </c>
      <c r="AA1007">
        <v>22</v>
      </c>
      <c r="AB1007">
        <v>7</v>
      </c>
      <c r="AC1007">
        <v>2</v>
      </c>
      <c r="AD1007">
        <v>4</v>
      </c>
      <c r="AE1007">
        <v>1</v>
      </c>
      <c r="AF1007">
        <v>8</v>
      </c>
      <c r="AG1007">
        <v>19</v>
      </c>
      <c r="AH1007">
        <v>10</v>
      </c>
      <c r="AI1007">
        <v>18</v>
      </c>
      <c r="AJ1007">
        <v>13</v>
      </c>
      <c r="AK1007">
        <v>21</v>
      </c>
      <c r="AL1007">
        <v>24</v>
      </c>
      <c r="AM1007">
        <v>23</v>
      </c>
      <c r="AN1007">
        <v>3</v>
      </c>
      <c r="AO1007">
        <v>20</v>
      </c>
      <c r="AP1007">
        <v>11</v>
      </c>
      <c r="AQ1007">
        <v>14</v>
      </c>
      <c r="AR1007">
        <v>5</v>
      </c>
      <c r="AS1007">
        <v>9</v>
      </c>
    </row>
    <row r="1008" spans="1:45" x14ac:dyDescent="0.25">
      <c r="A1008">
        <v>38</v>
      </c>
      <c r="B1008" t="s">
        <v>386</v>
      </c>
      <c r="E1008" t="s">
        <v>389</v>
      </c>
      <c r="U1008">
        <v>907</v>
      </c>
      <c r="V1008">
        <v>17</v>
      </c>
      <c r="W1008">
        <v>8</v>
      </c>
      <c r="X1008">
        <v>14</v>
      </c>
      <c r="Y1008">
        <v>16</v>
      </c>
      <c r="Z1008">
        <v>18</v>
      </c>
      <c r="AA1008">
        <v>20</v>
      </c>
      <c r="AB1008">
        <v>5</v>
      </c>
      <c r="AC1008">
        <v>2</v>
      </c>
      <c r="AD1008">
        <v>4</v>
      </c>
      <c r="AE1008">
        <v>1</v>
      </c>
      <c r="AF1008">
        <v>6</v>
      </c>
      <c r="AG1008">
        <v>21</v>
      </c>
      <c r="AH1008">
        <v>9</v>
      </c>
      <c r="AI1008">
        <v>13</v>
      </c>
      <c r="AJ1008">
        <v>10</v>
      </c>
      <c r="AK1008">
        <v>22</v>
      </c>
      <c r="AL1008">
        <v>24</v>
      </c>
      <c r="AM1008">
        <v>23</v>
      </c>
      <c r="AN1008">
        <v>3</v>
      </c>
      <c r="AO1008">
        <v>19</v>
      </c>
      <c r="AP1008">
        <v>12</v>
      </c>
      <c r="AQ1008">
        <v>15</v>
      </c>
      <c r="AR1008">
        <v>11</v>
      </c>
      <c r="AS1008">
        <v>7</v>
      </c>
    </row>
    <row r="1009" spans="1:45" x14ac:dyDescent="0.25">
      <c r="A1009">
        <v>38</v>
      </c>
      <c r="B1009" t="s">
        <v>401</v>
      </c>
      <c r="E1009" t="s">
        <v>380</v>
      </c>
      <c r="U1009">
        <v>908</v>
      </c>
      <c r="V1009">
        <v>14</v>
      </c>
      <c r="W1009">
        <v>10</v>
      </c>
      <c r="X1009">
        <v>17</v>
      </c>
      <c r="Y1009">
        <v>13</v>
      </c>
      <c r="Z1009">
        <v>20</v>
      </c>
      <c r="AA1009">
        <v>19</v>
      </c>
      <c r="AB1009">
        <v>5</v>
      </c>
      <c r="AC1009">
        <v>2</v>
      </c>
      <c r="AD1009">
        <v>3</v>
      </c>
      <c r="AE1009">
        <v>1</v>
      </c>
      <c r="AF1009">
        <v>11</v>
      </c>
      <c r="AG1009">
        <v>15</v>
      </c>
      <c r="AH1009">
        <v>16</v>
      </c>
      <c r="AI1009">
        <v>12</v>
      </c>
      <c r="AJ1009">
        <v>7</v>
      </c>
      <c r="AK1009">
        <v>21</v>
      </c>
      <c r="AL1009">
        <v>24</v>
      </c>
      <c r="AM1009">
        <v>23</v>
      </c>
      <c r="AN1009">
        <v>4</v>
      </c>
      <c r="AO1009">
        <v>22</v>
      </c>
      <c r="AP1009">
        <v>9</v>
      </c>
      <c r="AQ1009">
        <v>18</v>
      </c>
      <c r="AR1009">
        <v>8</v>
      </c>
      <c r="AS1009">
        <v>6</v>
      </c>
    </row>
    <row r="1010" spans="1:45" x14ac:dyDescent="0.25">
      <c r="A1010">
        <v>38</v>
      </c>
      <c r="B1010" t="s">
        <v>398</v>
      </c>
      <c r="E1010" t="s">
        <v>393</v>
      </c>
      <c r="U1010">
        <v>909</v>
      </c>
      <c r="V1010">
        <v>15</v>
      </c>
      <c r="W1010">
        <v>10</v>
      </c>
      <c r="X1010">
        <v>18</v>
      </c>
      <c r="Y1010">
        <v>16</v>
      </c>
      <c r="Z1010">
        <v>13</v>
      </c>
      <c r="AA1010">
        <v>21</v>
      </c>
      <c r="AB1010">
        <v>5</v>
      </c>
      <c r="AC1010">
        <v>2</v>
      </c>
      <c r="AD1010">
        <v>4</v>
      </c>
      <c r="AE1010">
        <v>1</v>
      </c>
      <c r="AF1010">
        <v>8</v>
      </c>
      <c r="AG1010">
        <v>17</v>
      </c>
      <c r="AH1010">
        <v>14</v>
      </c>
      <c r="AI1010">
        <v>11</v>
      </c>
      <c r="AJ1010">
        <v>12</v>
      </c>
      <c r="AK1010">
        <v>22</v>
      </c>
      <c r="AL1010">
        <v>23</v>
      </c>
      <c r="AM1010">
        <v>24</v>
      </c>
      <c r="AN1010">
        <v>3</v>
      </c>
      <c r="AO1010">
        <v>20</v>
      </c>
      <c r="AP1010">
        <v>7</v>
      </c>
      <c r="AQ1010">
        <v>19</v>
      </c>
      <c r="AR1010">
        <v>9</v>
      </c>
      <c r="AS1010">
        <v>6</v>
      </c>
    </row>
    <row r="1011" spans="1:45" x14ac:dyDescent="0.25">
      <c r="A1011">
        <v>38</v>
      </c>
      <c r="B1011" t="s">
        <v>387</v>
      </c>
      <c r="E1011" t="s">
        <v>396</v>
      </c>
      <c r="U1011">
        <v>910</v>
      </c>
      <c r="V1011">
        <v>10</v>
      </c>
      <c r="W1011">
        <v>13</v>
      </c>
      <c r="X1011">
        <v>17</v>
      </c>
      <c r="Y1011">
        <v>16</v>
      </c>
      <c r="Z1011">
        <v>15</v>
      </c>
      <c r="AA1011">
        <v>20</v>
      </c>
      <c r="AB1011">
        <v>5</v>
      </c>
      <c r="AC1011">
        <v>2</v>
      </c>
      <c r="AD1011">
        <v>3</v>
      </c>
      <c r="AE1011">
        <v>1</v>
      </c>
      <c r="AF1011">
        <v>8</v>
      </c>
      <c r="AG1011">
        <v>22</v>
      </c>
      <c r="AH1011">
        <v>12</v>
      </c>
      <c r="AI1011">
        <v>18</v>
      </c>
      <c r="AJ1011">
        <v>14</v>
      </c>
      <c r="AK1011">
        <v>19</v>
      </c>
      <c r="AL1011">
        <v>23</v>
      </c>
      <c r="AM1011">
        <v>24</v>
      </c>
      <c r="AN1011">
        <v>4</v>
      </c>
      <c r="AO1011">
        <v>21</v>
      </c>
      <c r="AP1011">
        <v>9</v>
      </c>
      <c r="AQ1011">
        <v>11</v>
      </c>
      <c r="AR1011">
        <v>6</v>
      </c>
      <c r="AS1011">
        <v>7</v>
      </c>
    </row>
    <row r="1012" spans="1:45" x14ac:dyDescent="0.25">
      <c r="A1012">
        <v>39</v>
      </c>
      <c r="B1012" t="s">
        <v>380</v>
      </c>
      <c r="E1012" t="s">
        <v>387</v>
      </c>
      <c r="U1012">
        <v>911</v>
      </c>
      <c r="V1012">
        <v>15</v>
      </c>
      <c r="W1012">
        <v>11</v>
      </c>
      <c r="X1012">
        <v>20</v>
      </c>
      <c r="Y1012">
        <v>13</v>
      </c>
      <c r="Z1012">
        <v>8</v>
      </c>
      <c r="AA1012">
        <v>19</v>
      </c>
      <c r="AB1012">
        <v>6</v>
      </c>
      <c r="AC1012">
        <v>2</v>
      </c>
      <c r="AD1012">
        <v>3</v>
      </c>
      <c r="AE1012">
        <v>1</v>
      </c>
      <c r="AF1012">
        <v>10</v>
      </c>
      <c r="AG1012">
        <v>21</v>
      </c>
      <c r="AH1012">
        <v>9</v>
      </c>
      <c r="AI1012">
        <v>14</v>
      </c>
      <c r="AJ1012">
        <v>17</v>
      </c>
      <c r="AK1012">
        <v>22</v>
      </c>
      <c r="AL1012">
        <v>23</v>
      </c>
      <c r="AM1012">
        <v>24</v>
      </c>
      <c r="AN1012">
        <v>4</v>
      </c>
      <c r="AO1012">
        <v>18</v>
      </c>
      <c r="AP1012">
        <v>12</v>
      </c>
      <c r="AQ1012">
        <v>16</v>
      </c>
      <c r="AR1012">
        <v>5</v>
      </c>
      <c r="AS1012">
        <v>7</v>
      </c>
    </row>
    <row r="1013" spans="1:45" x14ac:dyDescent="0.25">
      <c r="A1013">
        <v>39</v>
      </c>
      <c r="B1013" t="s">
        <v>389</v>
      </c>
      <c r="E1013" t="s">
        <v>401</v>
      </c>
      <c r="U1013">
        <v>912</v>
      </c>
      <c r="V1013">
        <v>14</v>
      </c>
      <c r="W1013">
        <v>17</v>
      </c>
      <c r="X1013">
        <v>18</v>
      </c>
      <c r="Y1013">
        <v>13</v>
      </c>
      <c r="Z1013">
        <v>16</v>
      </c>
      <c r="AA1013">
        <v>20</v>
      </c>
      <c r="AB1013">
        <v>8</v>
      </c>
      <c r="AC1013">
        <v>3</v>
      </c>
      <c r="AD1013">
        <v>2</v>
      </c>
      <c r="AE1013">
        <v>1</v>
      </c>
      <c r="AF1013">
        <v>9</v>
      </c>
      <c r="AG1013">
        <v>11</v>
      </c>
      <c r="AH1013">
        <v>10</v>
      </c>
      <c r="AI1013">
        <v>12</v>
      </c>
      <c r="AJ1013">
        <v>15</v>
      </c>
      <c r="AK1013">
        <v>22</v>
      </c>
      <c r="AL1013">
        <v>24</v>
      </c>
      <c r="AM1013">
        <v>23</v>
      </c>
      <c r="AN1013">
        <v>5</v>
      </c>
      <c r="AO1013">
        <v>21</v>
      </c>
      <c r="AP1013">
        <v>6</v>
      </c>
      <c r="AQ1013">
        <v>19</v>
      </c>
      <c r="AR1013">
        <v>7</v>
      </c>
      <c r="AS1013">
        <v>4</v>
      </c>
    </row>
    <row r="1014" spans="1:45" x14ac:dyDescent="0.25">
      <c r="A1014">
        <v>39</v>
      </c>
      <c r="B1014" t="s">
        <v>396</v>
      </c>
      <c r="E1014" t="s">
        <v>388</v>
      </c>
      <c r="U1014">
        <v>913</v>
      </c>
      <c r="V1014">
        <v>17</v>
      </c>
      <c r="W1014">
        <v>11</v>
      </c>
      <c r="X1014">
        <v>9</v>
      </c>
      <c r="Y1014">
        <v>16</v>
      </c>
      <c r="Z1014">
        <v>14</v>
      </c>
      <c r="AA1014">
        <v>22</v>
      </c>
      <c r="AB1014">
        <v>6</v>
      </c>
      <c r="AC1014">
        <v>2</v>
      </c>
      <c r="AD1014">
        <v>4</v>
      </c>
      <c r="AE1014">
        <v>1</v>
      </c>
      <c r="AF1014">
        <v>12</v>
      </c>
      <c r="AG1014">
        <v>18</v>
      </c>
      <c r="AH1014">
        <v>8</v>
      </c>
      <c r="AI1014">
        <v>15</v>
      </c>
      <c r="AJ1014">
        <v>10</v>
      </c>
      <c r="AK1014">
        <v>21</v>
      </c>
      <c r="AL1014">
        <v>23</v>
      </c>
      <c r="AM1014">
        <v>24</v>
      </c>
      <c r="AN1014">
        <v>3</v>
      </c>
      <c r="AO1014">
        <v>19</v>
      </c>
      <c r="AP1014">
        <v>13</v>
      </c>
      <c r="AQ1014">
        <v>20</v>
      </c>
      <c r="AR1014">
        <v>7</v>
      </c>
      <c r="AS1014">
        <v>5</v>
      </c>
    </row>
    <row r="1015" spans="1:45" x14ac:dyDescent="0.25">
      <c r="A1015">
        <v>39</v>
      </c>
      <c r="B1015" t="s">
        <v>384</v>
      </c>
      <c r="E1015" t="s">
        <v>397</v>
      </c>
      <c r="U1015">
        <v>914</v>
      </c>
      <c r="V1015">
        <v>13</v>
      </c>
      <c r="W1015">
        <v>6</v>
      </c>
      <c r="X1015">
        <v>8</v>
      </c>
      <c r="Y1015">
        <v>14</v>
      </c>
      <c r="Z1015">
        <v>16</v>
      </c>
      <c r="AA1015">
        <v>20</v>
      </c>
      <c r="AB1015">
        <v>3</v>
      </c>
      <c r="AC1015">
        <v>2</v>
      </c>
      <c r="AD1015">
        <v>4</v>
      </c>
      <c r="AE1015">
        <v>1</v>
      </c>
      <c r="AF1015">
        <v>18</v>
      </c>
      <c r="AG1015">
        <v>17</v>
      </c>
      <c r="AH1015">
        <v>10</v>
      </c>
      <c r="AI1015">
        <v>11</v>
      </c>
      <c r="AJ1015">
        <v>19</v>
      </c>
      <c r="AK1015">
        <v>21</v>
      </c>
      <c r="AL1015">
        <v>24</v>
      </c>
      <c r="AM1015">
        <v>23</v>
      </c>
      <c r="AN1015">
        <v>5</v>
      </c>
      <c r="AO1015">
        <v>22</v>
      </c>
      <c r="AP1015">
        <v>9</v>
      </c>
      <c r="AQ1015">
        <v>15</v>
      </c>
      <c r="AR1015">
        <v>12</v>
      </c>
      <c r="AS1015">
        <v>7</v>
      </c>
    </row>
    <row r="1016" spans="1:45" x14ac:dyDescent="0.25">
      <c r="A1016">
        <v>39</v>
      </c>
      <c r="B1016" t="s">
        <v>395</v>
      </c>
      <c r="E1016" t="s">
        <v>399</v>
      </c>
      <c r="U1016">
        <v>915</v>
      </c>
      <c r="V1016">
        <v>9</v>
      </c>
      <c r="W1016">
        <v>13</v>
      </c>
      <c r="X1016">
        <v>17</v>
      </c>
      <c r="Y1016">
        <v>14</v>
      </c>
      <c r="Z1016">
        <v>11</v>
      </c>
      <c r="AA1016">
        <v>21</v>
      </c>
      <c r="AB1016">
        <v>6</v>
      </c>
      <c r="AC1016">
        <v>4</v>
      </c>
      <c r="AD1016">
        <v>3</v>
      </c>
      <c r="AE1016">
        <v>1</v>
      </c>
      <c r="AF1016">
        <v>10</v>
      </c>
      <c r="AG1016">
        <v>20</v>
      </c>
      <c r="AH1016">
        <v>12</v>
      </c>
      <c r="AI1016">
        <v>16</v>
      </c>
      <c r="AJ1016">
        <v>15</v>
      </c>
      <c r="AK1016">
        <v>22</v>
      </c>
      <c r="AL1016">
        <v>24</v>
      </c>
      <c r="AM1016">
        <v>23</v>
      </c>
      <c r="AN1016">
        <v>2</v>
      </c>
      <c r="AO1016">
        <v>18</v>
      </c>
      <c r="AP1016">
        <v>8</v>
      </c>
      <c r="AQ1016">
        <v>19</v>
      </c>
      <c r="AR1016">
        <v>7</v>
      </c>
      <c r="AS1016">
        <v>5</v>
      </c>
    </row>
    <row r="1017" spans="1:45" x14ac:dyDescent="0.25">
      <c r="A1017">
        <v>39</v>
      </c>
      <c r="B1017" t="s">
        <v>393</v>
      </c>
      <c r="E1017" t="s">
        <v>378</v>
      </c>
      <c r="U1017">
        <v>916</v>
      </c>
      <c r="V1017">
        <v>17</v>
      </c>
      <c r="W1017">
        <v>14</v>
      </c>
      <c r="X1017">
        <v>12</v>
      </c>
      <c r="Y1017">
        <v>11</v>
      </c>
      <c r="Z1017">
        <v>9</v>
      </c>
      <c r="AA1017">
        <v>22</v>
      </c>
      <c r="AB1017">
        <v>5</v>
      </c>
      <c r="AC1017">
        <v>2</v>
      </c>
      <c r="AD1017">
        <v>3</v>
      </c>
      <c r="AE1017">
        <v>1</v>
      </c>
      <c r="AF1017">
        <v>7</v>
      </c>
      <c r="AG1017">
        <v>19</v>
      </c>
      <c r="AH1017">
        <v>13</v>
      </c>
      <c r="AI1017">
        <v>15</v>
      </c>
      <c r="AJ1017">
        <v>18</v>
      </c>
      <c r="AK1017">
        <v>21</v>
      </c>
      <c r="AL1017">
        <v>24</v>
      </c>
      <c r="AM1017">
        <v>23</v>
      </c>
      <c r="AN1017">
        <v>4</v>
      </c>
      <c r="AO1017">
        <v>20</v>
      </c>
      <c r="AP1017">
        <v>8</v>
      </c>
      <c r="AQ1017">
        <v>16</v>
      </c>
      <c r="AR1017">
        <v>10</v>
      </c>
      <c r="AS1017">
        <v>6</v>
      </c>
    </row>
    <row r="1018" spans="1:45" x14ac:dyDescent="0.25">
      <c r="A1018">
        <v>39</v>
      </c>
      <c r="B1018" t="s">
        <v>381</v>
      </c>
      <c r="E1018" t="s">
        <v>398</v>
      </c>
      <c r="U1018">
        <v>917</v>
      </c>
      <c r="V1018">
        <v>19</v>
      </c>
      <c r="W1018">
        <v>14</v>
      </c>
      <c r="X1018">
        <v>13</v>
      </c>
      <c r="Y1018">
        <v>12</v>
      </c>
      <c r="Z1018">
        <v>10</v>
      </c>
      <c r="AA1018">
        <v>20</v>
      </c>
      <c r="AB1018">
        <v>7</v>
      </c>
      <c r="AC1018">
        <v>2</v>
      </c>
      <c r="AD1018">
        <v>3</v>
      </c>
      <c r="AE1018">
        <v>1</v>
      </c>
      <c r="AF1018">
        <v>11</v>
      </c>
      <c r="AG1018">
        <v>18</v>
      </c>
      <c r="AH1018">
        <v>9</v>
      </c>
      <c r="AI1018">
        <v>17</v>
      </c>
      <c r="AJ1018">
        <v>15</v>
      </c>
      <c r="AK1018">
        <v>22</v>
      </c>
      <c r="AL1018">
        <v>24</v>
      </c>
      <c r="AM1018">
        <v>23</v>
      </c>
      <c r="AN1018">
        <v>4</v>
      </c>
      <c r="AO1018">
        <v>21</v>
      </c>
      <c r="AP1018">
        <v>6</v>
      </c>
      <c r="AQ1018">
        <v>16</v>
      </c>
      <c r="AR1018">
        <v>8</v>
      </c>
      <c r="AS1018">
        <v>5</v>
      </c>
    </row>
    <row r="1019" spans="1:45" x14ac:dyDescent="0.25">
      <c r="A1019">
        <v>39</v>
      </c>
      <c r="B1019" t="s">
        <v>383</v>
      </c>
      <c r="E1019" t="s">
        <v>382</v>
      </c>
      <c r="U1019">
        <v>918</v>
      </c>
      <c r="V1019">
        <v>19</v>
      </c>
      <c r="W1019">
        <v>7</v>
      </c>
      <c r="X1019">
        <v>13</v>
      </c>
      <c r="Y1019">
        <v>18</v>
      </c>
      <c r="Z1019">
        <v>12</v>
      </c>
      <c r="AA1019">
        <v>22</v>
      </c>
      <c r="AB1019">
        <v>4</v>
      </c>
      <c r="AC1019">
        <v>2</v>
      </c>
      <c r="AD1019">
        <v>5</v>
      </c>
      <c r="AE1019">
        <v>1</v>
      </c>
      <c r="AF1019">
        <v>9</v>
      </c>
      <c r="AG1019">
        <v>20</v>
      </c>
      <c r="AH1019">
        <v>14</v>
      </c>
      <c r="AI1019">
        <v>17</v>
      </c>
      <c r="AJ1019">
        <v>10</v>
      </c>
      <c r="AK1019">
        <v>21</v>
      </c>
      <c r="AL1019">
        <v>24</v>
      </c>
      <c r="AM1019">
        <v>23</v>
      </c>
      <c r="AN1019">
        <v>3</v>
      </c>
      <c r="AO1019">
        <v>15</v>
      </c>
      <c r="AP1019">
        <v>8</v>
      </c>
      <c r="AQ1019">
        <v>16</v>
      </c>
      <c r="AR1019">
        <v>11</v>
      </c>
      <c r="AS1019">
        <v>6</v>
      </c>
    </row>
    <row r="1020" spans="1:45" x14ac:dyDescent="0.25">
      <c r="A1020">
        <v>39</v>
      </c>
      <c r="B1020" t="s">
        <v>390</v>
      </c>
      <c r="E1020" t="s">
        <v>391</v>
      </c>
      <c r="U1020">
        <v>919</v>
      </c>
      <c r="V1020">
        <v>12</v>
      </c>
      <c r="W1020">
        <v>10</v>
      </c>
      <c r="X1020">
        <v>16</v>
      </c>
      <c r="Y1020">
        <v>11</v>
      </c>
      <c r="Z1020">
        <v>14</v>
      </c>
      <c r="AA1020">
        <v>19</v>
      </c>
      <c r="AB1020">
        <v>5</v>
      </c>
      <c r="AC1020">
        <v>1</v>
      </c>
      <c r="AD1020">
        <v>4</v>
      </c>
      <c r="AE1020">
        <v>2</v>
      </c>
      <c r="AF1020">
        <v>17</v>
      </c>
      <c r="AG1020">
        <v>18</v>
      </c>
      <c r="AH1020">
        <v>6</v>
      </c>
      <c r="AI1020">
        <v>20</v>
      </c>
      <c r="AJ1020">
        <v>13</v>
      </c>
      <c r="AK1020">
        <v>21</v>
      </c>
      <c r="AL1020">
        <v>24</v>
      </c>
      <c r="AM1020">
        <v>23</v>
      </c>
      <c r="AN1020">
        <v>3</v>
      </c>
      <c r="AO1020">
        <v>22</v>
      </c>
      <c r="AP1020">
        <v>7</v>
      </c>
      <c r="AQ1020">
        <v>15</v>
      </c>
      <c r="AR1020">
        <v>9</v>
      </c>
      <c r="AS1020">
        <v>8</v>
      </c>
    </row>
    <row r="1021" spans="1:45" x14ac:dyDescent="0.25">
      <c r="A1021">
        <v>39</v>
      </c>
      <c r="B1021" t="s">
        <v>379</v>
      </c>
      <c r="E1021" t="s">
        <v>385</v>
      </c>
      <c r="U1021">
        <v>920</v>
      </c>
      <c r="V1021">
        <v>16</v>
      </c>
      <c r="W1021">
        <v>11</v>
      </c>
      <c r="X1021">
        <v>18</v>
      </c>
      <c r="Y1021">
        <v>9</v>
      </c>
      <c r="Z1021">
        <v>17</v>
      </c>
      <c r="AA1021">
        <v>22</v>
      </c>
      <c r="AB1021">
        <v>10</v>
      </c>
      <c r="AC1021">
        <v>2</v>
      </c>
      <c r="AD1021">
        <v>4</v>
      </c>
      <c r="AE1021">
        <v>1</v>
      </c>
      <c r="AF1021">
        <v>7</v>
      </c>
      <c r="AG1021">
        <v>20</v>
      </c>
      <c r="AH1021">
        <v>12</v>
      </c>
      <c r="AI1021">
        <v>13</v>
      </c>
      <c r="AJ1021">
        <v>15</v>
      </c>
      <c r="AK1021">
        <v>21</v>
      </c>
      <c r="AL1021">
        <v>24</v>
      </c>
      <c r="AM1021">
        <v>23</v>
      </c>
      <c r="AN1021">
        <v>3</v>
      </c>
      <c r="AO1021">
        <v>19</v>
      </c>
      <c r="AP1021">
        <v>6</v>
      </c>
      <c r="AQ1021">
        <v>14</v>
      </c>
      <c r="AR1021">
        <v>8</v>
      </c>
      <c r="AS1021">
        <v>5</v>
      </c>
    </row>
    <row r="1022" spans="1:45" x14ac:dyDescent="0.25">
      <c r="A1022">
        <v>39</v>
      </c>
      <c r="B1022" t="s">
        <v>400</v>
      </c>
      <c r="E1022" t="s">
        <v>386</v>
      </c>
      <c r="U1022">
        <v>921</v>
      </c>
      <c r="V1022">
        <v>15</v>
      </c>
      <c r="W1022">
        <v>10</v>
      </c>
      <c r="X1022">
        <v>14</v>
      </c>
      <c r="Y1022">
        <v>7</v>
      </c>
      <c r="Z1022">
        <v>16</v>
      </c>
      <c r="AA1022">
        <v>22</v>
      </c>
      <c r="AB1022">
        <v>5</v>
      </c>
      <c r="AC1022">
        <v>2</v>
      </c>
      <c r="AD1022">
        <v>6</v>
      </c>
      <c r="AE1022">
        <v>1</v>
      </c>
      <c r="AF1022">
        <v>3</v>
      </c>
      <c r="AG1022">
        <v>20</v>
      </c>
      <c r="AH1022">
        <v>13</v>
      </c>
      <c r="AI1022">
        <v>18</v>
      </c>
      <c r="AJ1022">
        <v>12</v>
      </c>
      <c r="AK1022">
        <v>21</v>
      </c>
      <c r="AL1022">
        <v>23</v>
      </c>
      <c r="AM1022">
        <v>24</v>
      </c>
      <c r="AN1022">
        <v>4</v>
      </c>
      <c r="AO1022">
        <v>19</v>
      </c>
      <c r="AP1022">
        <v>11</v>
      </c>
      <c r="AQ1022">
        <v>17</v>
      </c>
      <c r="AR1022">
        <v>9</v>
      </c>
      <c r="AS1022">
        <v>8</v>
      </c>
    </row>
    <row r="1023" spans="1:45" x14ac:dyDescent="0.25">
      <c r="A1023">
        <v>39</v>
      </c>
      <c r="B1023" t="s">
        <v>392</v>
      </c>
      <c r="E1023" t="s">
        <v>394</v>
      </c>
      <c r="U1023">
        <v>922</v>
      </c>
      <c r="V1023">
        <v>17</v>
      </c>
      <c r="W1023">
        <v>8</v>
      </c>
      <c r="X1023">
        <v>14</v>
      </c>
      <c r="Y1023">
        <v>12</v>
      </c>
      <c r="Z1023">
        <v>16</v>
      </c>
      <c r="AA1023">
        <v>21</v>
      </c>
      <c r="AB1023">
        <v>7</v>
      </c>
      <c r="AC1023">
        <v>2</v>
      </c>
      <c r="AD1023">
        <v>4</v>
      </c>
      <c r="AE1023">
        <v>1</v>
      </c>
      <c r="AF1023">
        <v>11</v>
      </c>
      <c r="AG1023">
        <v>19</v>
      </c>
      <c r="AH1023">
        <v>9</v>
      </c>
      <c r="AI1023">
        <v>15</v>
      </c>
      <c r="AJ1023">
        <v>13</v>
      </c>
      <c r="AK1023">
        <v>22</v>
      </c>
      <c r="AL1023">
        <v>24</v>
      </c>
      <c r="AM1023">
        <v>23</v>
      </c>
      <c r="AN1023">
        <v>3</v>
      </c>
      <c r="AO1023">
        <v>18</v>
      </c>
      <c r="AP1023">
        <v>10</v>
      </c>
      <c r="AQ1023">
        <v>20</v>
      </c>
      <c r="AR1023">
        <v>5</v>
      </c>
      <c r="AS1023">
        <v>6</v>
      </c>
    </row>
    <row r="1024" spans="1:45" x14ac:dyDescent="0.25">
      <c r="A1024">
        <v>40</v>
      </c>
      <c r="B1024" t="s">
        <v>397</v>
      </c>
      <c r="E1024" t="s">
        <v>383</v>
      </c>
      <c r="U1024">
        <v>923</v>
      </c>
      <c r="V1024">
        <v>13</v>
      </c>
      <c r="W1024">
        <v>12</v>
      </c>
      <c r="X1024">
        <v>17</v>
      </c>
      <c r="Y1024">
        <v>15</v>
      </c>
      <c r="Z1024">
        <v>14</v>
      </c>
      <c r="AA1024">
        <v>20</v>
      </c>
      <c r="AB1024">
        <v>4</v>
      </c>
      <c r="AC1024">
        <v>2</v>
      </c>
      <c r="AD1024">
        <v>3</v>
      </c>
      <c r="AE1024">
        <v>1</v>
      </c>
      <c r="AF1024">
        <v>10</v>
      </c>
      <c r="AG1024">
        <v>21</v>
      </c>
      <c r="AH1024">
        <v>9</v>
      </c>
      <c r="AI1024">
        <v>18</v>
      </c>
      <c r="AJ1024">
        <v>11</v>
      </c>
      <c r="AK1024">
        <v>19</v>
      </c>
      <c r="AL1024">
        <v>23</v>
      </c>
      <c r="AM1024">
        <v>24</v>
      </c>
      <c r="AN1024">
        <v>6</v>
      </c>
      <c r="AO1024">
        <v>22</v>
      </c>
      <c r="AP1024">
        <v>8</v>
      </c>
      <c r="AQ1024">
        <v>16</v>
      </c>
      <c r="AR1024">
        <v>7</v>
      </c>
      <c r="AS1024">
        <v>5</v>
      </c>
    </row>
    <row r="1025" spans="1:45" x14ac:dyDescent="0.25">
      <c r="A1025">
        <v>40</v>
      </c>
      <c r="B1025" t="s">
        <v>399</v>
      </c>
      <c r="E1025" t="s">
        <v>393</v>
      </c>
      <c r="U1025">
        <v>924</v>
      </c>
      <c r="V1025">
        <v>17</v>
      </c>
      <c r="W1025">
        <v>18</v>
      </c>
      <c r="X1025">
        <v>10</v>
      </c>
      <c r="Y1025">
        <v>14</v>
      </c>
      <c r="Z1025">
        <v>7</v>
      </c>
      <c r="AA1025">
        <v>20</v>
      </c>
      <c r="AB1025">
        <v>8</v>
      </c>
      <c r="AC1025">
        <v>2</v>
      </c>
      <c r="AD1025">
        <v>3</v>
      </c>
      <c r="AE1025">
        <v>1</v>
      </c>
      <c r="AF1025">
        <v>9</v>
      </c>
      <c r="AG1025">
        <v>16</v>
      </c>
      <c r="AH1025">
        <v>11</v>
      </c>
      <c r="AI1025">
        <v>15</v>
      </c>
      <c r="AJ1025">
        <v>12</v>
      </c>
      <c r="AK1025">
        <v>22</v>
      </c>
      <c r="AL1025">
        <v>23</v>
      </c>
      <c r="AM1025">
        <v>24</v>
      </c>
      <c r="AN1025">
        <v>4</v>
      </c>
      <c r="AO1025">
        <v>21</v>
      </c>
      <c r="AP1025">
        <v>13</v>
      </c>
      <c r="AQ1025">
        <v>19</v>
      </c>
      <c r="AR1025">
        <v>5</v>
      </c>
      <c r="AS1025">
        <v>6</v>
      </c>
    </row>
    <row r="1026" spans="1:45" x14ac:dyDescent="0.25">
      <c r="A1026">
        <v>40</v>
      </c>
      <c r="B1026" t="s">
        <v>391</v>
      </c>
      <c r="E1026" t="s">
        <v>380</v>
      </c>
      <c r="U1026">
        <v>925</v>
      </c>
      <c r="V1026">
        <v>20</v>
      </c>
      <c r="W1026">
        <v>10</v>
      </c>
      <c r="X1026">
        <v>16</v>
      </c>
      <c r="Y1026">
        <v>11</v>
      </c>
      <c r="Z1026">
        <v>15</v>
      </c>
      <c r="AA1026">
        <v>21</v>
      </c>
      <c r="AB1026">
        <v>8</v>
      </c>
      <c r="AC1026">
        <v>2</v>
      </c>
      <c r="AD1026">
        <v>4</v>
      </c>
      <c r="AE1026">
        <v>1</v>
      </c>
      <c r="AF1026">
        <v>5</v>
      </c>
      <c r="AG1026">
        <v>17</v>
      </c>
      <c r="AH1026">
        <v>13</v>
      </c>
      <c r="AI1026">
        <v>18</v>
      </c>
      <c r="AJ1026">
        <v>9</v>
      </c>
      <c r="AK1026">
        <v>22</v>
      </c>
      <c r="AL1026">
        <v>24</v>
      </c>
      <c r="AM1026">
        <v>23</v>
      </c>
      <c r="AN1026">
        <v>3</v>
      </c>
      <c r="AO1026">
        <v>19</v>
      </c>
      <c r="AP1026">
        <v>14</v>
      </c>
      <c r="AQ1026">
        <v>12</v>
      </c>
      <c r="AR1026">
        <v>7</v>
      </c>
      <c r="AS1026">
        <v>6</v>
      </c>
    </row>
    <row r="1027" spans="1:45" x14ac:dyDescent="0.25">
      <c r="A1027">
        <v>40</v>
      </c>
      <c r="B1027" t="s">
        <v>388</v>
      </c>
      <c r="E1027" t="s">
        <v>395</v>
      </c>
      <c r="U1027">
        <v>926</v>
      </c>
      <c r="V1027">
        <v>17</v>
      </c>
      <c r="W1027">
        <v>9</v>
      </c>
      <c r="X1027">
        <v>12</v>
      </c>
      <c r="Y1027">
        <v>10</v>
      </c>
      <c r="Z1027">
        <v>11</v>
      </c>
      <c r="AA1027">
        <v>22</v>
      </c>
      <c r="AB1027">
        <v>4</v>
      </c>
      <c r="AC1027">
        <v>2</v>
      </c>
      <c r="AD1027">
        <v>3</v>
      </c>
      <c r="AE1027">
        <v>1</v>
      </c>
      <c r="AF1027">
        <v>13</v>
      </c>
      <c r="AG1027">
        <v>19</v>
      </c>
      <c r="AH1027">
        <v>14</v>
      </c>
      <c r="AI1027">
        <v>18</v>
      </c>
      <c r="AJ1027">
        <v>15</v>
      </c>
      <c r="AK1027">
        <v>21</v>
      </c>
      <c r="AL1027">
        <v>24</v>
      </c>
      <c r="AM1027">
        <v>23</v>
      </c>
      <c r="AN1027">
        <v>6</v>
      </c>
      <c r="AO1027">
        <v>20</v>
      </c>
      <c r="AP1027">
        <v>8</v>
      </c>
      <c r="AQ1027">
        <v>16</v>
      </c>
      <c r="AR1027">
        <v>7</v>
      </c>
      <c r="AS1027">
        <v>5</v>
      </c>
    </row>
    <row r="1028" spans="1:45" x14ac:dyDescent="0.25">
      <c r="A1028">
        <v>40</v>
      </c>
      <c r="B1028" t="s">
        <v>394</v>
      </c>
      <c r="E1028" t="s">
        <v>389</v>
      </c>
      <c r="U1028">
        <v>927</v>
      </c>
      <c r="V1028">
        <v>14</v>
      </c>
      <c r="W1028">
        <v>12</v>
      </c>
      <c r="X1028">
        <v>10</v>
      </c>
      <c r="Y1028">
        <v>8</v>
      </c>
      <c r="Z1028">
        <v>17</v>
      </c>
      <c r="AA1028">
        <v>21</v>
      </c>
      <c r="AB1028">
        <v>6</v>
      </c>
      <c r="AC1028">
        <v>2</v>
      </c>
      <c r="AD1028">
        <v>3</v>
      </c>
      <c r="AE1028">
        <v>1</v>
      </c>
      <c r="AF1028">
        <v>11</v>
      </c>
      <c r="AG1028">
        <v>19</v>
      </c>
      <c r="AH1028">
        <v>15</v>
      </c>
      <c r="AI1028">
        <v>20</v>
      </c>
      <c r="AJ1028">
        <v>16</v>
      </c>
      <c r="AK1028">
        <v>22</v>
      </c>
      <c r="AL1028">
        <v>24</v>
      </c>
      <c r="AM1028">
        <v>23</v>
      </c>
      <c r="AN1028">
        <v>5</v>
      </c>
      <c r="AO1028">
        <v>18</v>
      </c>
      <c r="AP1028">
        <v>9</v>
      </c>
      <c r="AQ1028">
        <v>13</v>
      </c>
      <c r="AR1028">
        <v>7</v>
      </c>
      <c r="AS1028">
        <v>4</v>
      </c>
    </row>
    <row r="1029" spans="1:45" x14ac:dyDescent="0.25">
      <c r="A1029">
        <v>40</v>
      </c>
      <c r="B1029" t="s">
        <v>385</v>
      </c>
      <c r="E1029" t="s">
        <v>396</v>
      </c>
      <c r="U1029">
        <v>928</v>
      </c>
      <c r="V1029">
        <v>18</v>
      </c>
      <c r="W1029">
        <v>11</v>
      </c>
      <c r="X1029">
        <v>14</v>
      </c>
      <c r="Y1029">
        <v>10</v>
      </c>
      <c r="Z1029">
        <v>17</v>
      </c>
      <c r="AA1029">
        <v>21</v>
      </c>
      <c r="AB1029">
        <v>5</v>
      </c>
      <c r="AC1029">
        <v>2</v>
      </c>
      <c r="AD1029">
        <v>3</v>
      </c>
      <c r="AE1029">
        <v>1</v>
      </c>
      <c r="AF1029">
        <v>12</v>
      </c>
      <c r="AG1029">
        <v>19</v>
      </c>
      <c r="AH1029">
        <v>13</v>
      </c>
      <c r="AI1029">
        <v>20</v>
      </c>
      <c r="AJ1029">
        <v>8</v>
      </c>
      <c r="AK1029">
        <v>22</v>
      </c>
      <c r="AL1029">
        <v>24</v>
      </c>
      <c r="AM1029">
        <v>23</v>
      </c>
      <c r="AN1029">
        <v>4</v>
      </c>
      <c r="AO1029">
        <v>16</v>
      </c>
      <c r="AP1029">
        <v>9</v>
      </c>
      <c r="AQ1029">
        <v>15</v>
      </c>
      <c r="AR1029">
        <v>7</v>
      </c>
      <c r="AS1029">
        <v>6</v>
      </c>
    </row>
    <row r="1030" spans="1:45" x14ac:dyDescent="0.25">
      <c r="A1030">
        <v>40</v>
      </c>
      <c r="B1030" t="s">
        <v>398</v>
      </c>
      <c r="E1030" t="s">
        <v>379</v>
      </c>
      <c r="U1030">
        <v>929</v>
      </c>
      <c r="V1030">
        <v>18</v>
      </c>
      <c r="W1030">
        <v>7</v>
      </c>
      <c r="X1030">
        <v>17</v>
      </c>
      <c r="Y1030">
        <v>9</v>
      </c>
      <c r="Z1030">
        <v>12</v>
      </c>
      <c r="AA1030">
        <v>19</v>
      </c>
      <c r="AB1030">
        <v>5</v>
      </c>
      <c r="AC1030">
        <v>2</v>
      </c>
      <c r="AD1030">
        <v>3</v>
      </c>
      <c r="AE1030">
        <v>1</v>
      </c>
      <c r="AF1030">
        <v>11</v>
      </c>
      <c r="AG1030">
        <v>13</v>
      </c>
      <c r="AH1030">
        <v>15</v>
      </c>
      <c r="AI1030">
        <v>20</v>
      </c>
      <c r="AJ1030">
        <v>14</v>
      </c>
      <c r="AK1030">
        <v>21</v>
      </c>
      <c r="AL1030">
        <v>24</v>
      </c>
      <c r="AM1030">
        <v>23</v>
      </c>
      <c r="AN1030">
        <v>4</v>
      </c>
      <c r="AO1030">
        <v>22</v>
      </c>
      <c r="AP1030">
        <v>8</v>
      </c>
      <c r="AQ1030">
        <v>16</v>
      </c>
      <c r="AR1030">
        <v>10</v>
      </c>
      <c r="AS1030">
        <v>6</v>
      </c>
    </row>
    <row r="1031" spans="1:45" x14ac:dyDescent="0.25">
      <c r="A1031">
        <v>40</v>
      </c>
      <c r="B1031" t="s">
        <v>378</v>
      </c>
      <c r="E1031" t="s">
        <v>392</v>
      </c>
      <c r="U1031">
        <v>930</v>
      </c>
      <c r="V1031">
        <v>18</v>
      </c>
      <c r="W1031">
        <v>7</v>
      </c>
      <c r="X1031">
        <v>16</v>
      </c>
      <c r="Y1031">
        <v>9</v>
      </c>
      <c r="Z1031">
        <v>15</v>
      </c>
      <c r="AA1031">
        <v>21</v>
      </c>
      <c r="AB1031">
        <v>6</v>
      </c>
      <c r="AC1031">
        <v>2</v>
      </c>
      <c r="AD1031">
        <v>4</v>
      </c>
      <c r="AE1031">
        <v>1</v>
      </c>
      <c r="AF1031">
        <v>11</v>
      </c>
      <c r="AG1031">
        <v>14</v>
      </c>
      <c r="AH1031">
        <v>13</v>
      </c>
      <c r="AI1031">
        <v>17</v>
      </c>
      <c r="AJ1031">
        <v>8</v>
      </c>
      <c r="AK1031">
        <v>22</v>
      </c>
      <c r="AL1031">
        <v>24</v>
      </c>
      <c r="AM1031">
        <v>23</v>
      </c>
      <c r="AN1031">
        <v>3</v>
      </c>
      <c r="AO1031">
        <v>19</v>
      </c>
      <c r="AP1031">
        <v>12</v>
      </c>
      <c r="AQ1031">
        <v>20</v>
      </c>
      <c r="AR1031">
        <v>10</v>
      </c>
      <c r="AS1031">
        <v>5</v>
      </c>
    </row>
    <row r="1032" spans="1:45" x14ac:dyDescent="0.25">
      <c r="A1032">
        <v>40</v>
      </c>
      <c r="B1032" t="s">
        <v>387</v>
      </c>
      <c r="E1032" t="s">
        <v>390</v>
      </c>
      <c r="U1032">
        <v>931</v>
      </c>
      <c r="V1032">
        <v>16</v>
      </c>
      <c r="W1032">
        <v>14</v>
      </c>
      <c r="X1032">
        <v>15</v>
      </c>
      <c r="Y1032">
        <v>10</v>
      </c>
      <c r="Z1032">
        <v>18</v>
      </c>
      <c r="AA1032">
        <v>22</v>
      </c>
      <c r="AB1032">
        <v>7</v>
      </c>
      <c r="AC1032">
        <v>3</v>
      </c>
      <c r="AD1032">
        <v>4</v>
      </c>
      <c r="AE1032">
        <v>1</v>
      </c>
      <c r="AF1032">
        <v>11</v>
      </c>
      <c r="AG1032">
        <v>13</v>
      </c>
      <c r="AH1032">
        <v>9</v>
      </c>
      <c r="AI1032">
        <v>17</v>
      </c>
      <c r="AJ1032">
        <v>12</v>
      </c>
      <c r="AK1032">
        <v>19</v>
      </c>
      <c r="AL1032">
        <v>23</v>
      </c>
      <c r="AM1032">
        <v>24</v>
      </c>
      <c r="AN1032">
        <v>2</v>
      </c>
      <c r="AO1032">
        <v>21</v>
      </c>
      <c r="AP1032">
        <v>6</v>
      </c>
      <c r="AQ1032">
        <v>20</v>
      </c>
      <c r="AR1032">
        <v>8</v>
      </c>
      <c r="AS1032">
        <v>5</v>
      </c>
    </row>
    <row r="1033" spans="1:45" x14ac:dyDescent="0.25">
      <c r="A1033">
        <v>40</v>
      </c>
      <c r="B1033" t="s">
        <v>401</v>
      </c>
      <c r="E1033" t="s">
        <v>400</v>
      </c>
      <c r="U1033">
        <v>932</v>
      </c>
      <c r="V1033">
        <v>18</v>
      </c>
      <c r="W1033">
        <v>10</v>
      </c>
      <c r="X1033">
        <v>14</v>
      </c>
      <c r="Y1033">
        <v>8</v>
      </c>
      <c r="Z1033">
        <v>15</v>
      </c>
      <c r="AA1033">
        <v>22</v>
      </c>
      <c r="AB1033">
        <v>6</v>
      </c>
      <c r="AC1033">
        <v>3</v>
      </c>
      <c r="AD1033">
        <v>2</v>
      </c>
      <c r="AE1033">
        <v>1</v>
      </c>
      <c r="AF1033">
        <v>9</v>
      </c>
      <c r="AG1033">
        <v>21</v>
      </c>
      <c r="AH1033">
        <v>13</v>
      </c>
      <c r="AI1033">
        <v>12</v>
      </c>
      <c r="AJ1033">
        <v>16</v>
      </c>
      <c r="AK1033">
        <v>19</v>
      </c>
      <c r="AL1033">
        <v>24</v>
      </c>
      <c r="AM1033">
        <v>23</v>
      </c>
      <c r="AN1033">
        <v>4</v>
      </c>
      <c r="AO1033">
        <v>20</v>
      </c>
      <c r="AP1033">
        <v>7</v>
      </c>
      <c r="AQ1033">
        <v>17</v>
      </c>
      <c r="AR1033">
        <v>11</v>
      </c>
      <c r="AS1033">
        <v>5</v>
      </c>
    </row>
    <row r="1034" spans="1:45" x14ac:dyDescent="0.25">
      <c r="A1034">
        <v>40</v>
      </c>
      <c r="B1034" t="s">
        <v>382</v>
      </c>
      <c r="E1034" t="s">
        <v>381</v>
      </c>
      <c r="U1034">
        <v>933</v>
      </c>
      <c r="V1034">
        <v>18</v>
      </c>
      <c r="W1034">
        <v>10</v>
      </c>
      <c r="X1034">
        <v>13</v>
      </c>
      <c r="Y1034">
        <v>12</v>
      </c>
      <c r="Z1034">
        <v>11</v>
      </c>
      <c r="AA1034">
        <v>21</v>
      </c>
      <c r="AB1034">
        <v>6</v>
      </c>
      <c r="AC1034">
        <v>3</v>
      </c>
      <c r="AD1034">
        <v>2</v>
      </c>
      <c r="AE1034">
        <v>1</v>
      </c>
      <c r="AF1034">
        <v>17</v>
      </c>
      <c r="AG1034">
        <v>16</v>
      </c>
      <c r="AH1034">
        <v>7</v>
      </c>
      <c r="AI1034">
        <v>14</v>
      </c>
      <c r="AJ1034">
        <v>15</v>
      </c>
      <c r="AK1034">
        <v>22</v>
      </c>
      <c r="AL1034">
        <v>24</v>
      </c>
      <c r="AM1034">
        <v>23</v>
      </c>
      <c r="AN1034">
        <v>4</v>
      </c>
      <c r="AO1034">
        <v>20</v>
      </c>
      <c r="AP1034">
        <v>9</v>
      </c>
      <c r="AQ1034">
        <v>19</v>
      </c>
      <c r="AR1034">
        <v>5</v>
      </c>
      <c r="AS1034">
        <v>8</v>
      </c>
    </row>
    <row r="1035" spans="1:45" x14ac:dyDescent="0.25">
      <c r="A1035">
        <v>40</v>
      </c>
      <c r="B1035" t="s">
        <v>386</v>
      </c>
      <c r="E1035" t="s">
        <v>384</v>
      </c>
      <c r="U1035">
        <v>934</v>
      </c>
      <c r="V1035">
        <v>17</v>
      </c>
      <c r="W1035">
        <v>12</v>
      </c>
      <c r="X1035">
        <v>13</v>
      </c>
      <c r="Y1035">
        <v>11</v>
      </c>
      <c r="Z1035">
        <v>18</v>
      </c>
      <c r="AA1035">
        <v>21</v>
      </c>
      <c r="AB1035">
        <v>4</v>
      </c>
      <c r="AC1035">
        <v>2</v>
      </c>
      <c r="AD1035">
        <v>5</v>
      </c>
      <c r="AE1035">
        <v>1</v>
      </c>
      <c r="AF1035">
        <v>6</v>
      </c>
      <c r="AG1035">
        <v>19</v>
      </c>
      <c r="AH1035">
        <v>9</v>
      </c>
      <c r="AI1035">
        <v>14</v>
      </c>
      <c r="AJ1035">
        <v>15</v>
      </c>
      <c r="AK1035">
        <v>22</v>
      </c>
      <c r="AL1035">
        <v>23</v>
      </c>
      <c r="AM1035">
        <v>24</v>
      </c>
      <c r="AN1035">
        <v>3</v>
      </c>
      <c r="AO1035">
        <v>20</v>
      </c>
      <c r="AP1035">
        <v>10</v>
      </c>
      <c r="AQ1035">
        <v>16</v>
      </c>
      <c r="AR1035">
        <v>7</v>
      </c>
      <c r="AS1035">
        <v>8</v>
      </c>
    </row>
    <row r="1036" spans="1:45" x14ac:dyDescent="0.25">
      <c r="A1036">
        <v>41</v>
      </c>
      <c r="B1036" t="s">
        <v>382</v>
      </c>
      <c r="E1036" t="s">
        <v>386</v>
      </c>
      <c r="U1036">
        <v>935</v>
      </c>
      <c r="V1036">
        <v>12</v>
      </c>
      <c r="W1036">
        <v>7</v>
      </c>
      <c r="X1036">
        <v>16</v>
      </c>
      <c r="Y1036">
        <v>15</v>
      </c>
      <c r="Z1036">
        <v>13</v>
      </c>
      <c r="AA1036">
        <v>22</v>
      </c>
      <c r="AB1036">
        <v>5</v>
      </c>
      <c r="AC1036">
        <v>2</v>
      </c>
      <c r="AD1036">
        <v>4</v>
      </c>
      <c r="AE1036">
        <v>1</v>
      </c>
      <c r="AF1036">
        <v>11</v>
      </c>
      <c r="AG1036">
        <v>21</v>
      </c>
      <c r="AH1036">
        <v>6</v>
      </c>
      <c r="AI1036">
        <v>18</v>
      </c>
      <c r="AJ1036">
        <v>14</v>
      </c>
      <c r="AK1036">
        <v>20</v>
      </c>
      <c r="AL1036">
        <v>23</v>
      </c>
      <c r="AM1036">
        <v>24</v>
      </c>
      <c r="AN1036">
        <v>3</v>
      </c>
      <c r="AO1036">
        <v>19</v>
      </c>
      <c r="AP1036">
        <v>9</v>
      </c>
      <c r="AQ1036">
        <v>17</v>
      </c>
      <c r="AR1036">
        <v>8</v>
      </c>
      <c r="AS1036">
        <v>10</v>
      </c>
    </row>
    <row r="1037" spans="1:45" x14ac:dyDescent="0.25">
      <c r="A1037">
        <v>41</v>
      </c>
      <c r="B1037" t="s">
        <v>400</v>
      </c>
      <c r="E1037" t="s">
        <v>392</v>
      </c>
      <c r="U1037">
        <v>936</v>
      </c>
      <c r="V1037">
        <v>15</v>
      </c>
      <c r="W1037">
        <v>10</v>
      </c>
      <c r="X1037">
        <v>16</v>
      </c>
      <c r="Y1037">
        <v>13</v>
      </c>
      <c r="Z1037">
        <v>18</v>
      </c>
      <c r="AA1037">
        <v>20</v>
      </c>
      <c r="AB1037">
        <v>5</v>
      </c>
      <c r="AC1037">
        <v>2</v>
      </c>
      <c r="AD1037">
        <v>3</v>
      </c>
      <c r="AE1037">
        <v>1</v>
      </c>
      <c r="AF1037">
        <v>7</v>
      </c>
      <c r="AG1037">
        <v>19</v>
      </c>
      <c r="AH1037">
        <v>14</v>
      </c>
      <c r="AI1037">
        <v>9</v>
      </c>
      <c r="AJ1037">
        <v>12</v>
      </c>
      <c r="AK1037">
        <v>22</v>
      </c>
      <c r="AL1037">
        <v>24</v>
      </c>
      <c r="AM1037">
        <v>23</v>
      </c>
      <c r="AN1037">
        <v>4</v>
      </c>
      <c r="AO1037">
        <v>21</v>
      </c>
      <c r="AP1037">
        <v>11</v>
      </c>
      <c r="AQ1037">
        <v>17</v>
      </c>
      <c r="AR1037">
        <v>6</v>
      </c>
      <c r="AS1037">
        <v>8</v>
      </c>
    </row>
    <row r="1038" spans="1:45" x14ac:dyDescent="0.25">
      <c r="A1038">
        <v>41</v>
      </c>
      <c r="B1038" t="s">
        <v>383</v>
      </c>
      <c r="E1038" t="s">
        <v>389</v>
      </c>
      <c r="U1038">
        <v>937</v>
      </c>
      <c r="V1038">
        <v>19</v>
      </c>
      <c r="W1038">
        <v>9</v>
      </c>
      <c r="X1038">
        <v>16</v>
      </c>
      <c r="Y1038">
        <v>12</v>
      </c>
      <c r="Z1038">
        <v>10</v>
      </c>
      <c r="AA1038">
        <v>20</v>
      </c>
      <c r="AB1038">
        <v>7</v>
      </c>
      <c r="AC1038">
        <v>2</v>
      </c>
      <c r="AD1038">
        <v>4</v>
      </c>
      <c r="AE1038">
        <v>1</v>
      </c>
      <c r="AF1038">
        <v>15</v>
      </c>
      <c r="AG1038">
        <v>21</v>
      </c>
      <c r="AH1038">
        <v>8</v>
      </c>
      <c r="AI1038">
        <v>17</v>
      </c>
      <c r="AJ1038">
        <v>11</v>
      </c>
      <c r="AK1038">
        <v>22</v>
      </c>
      <c r="AL1038">
        <v>24</v>
      </c>
      <c r="AM1038">
        <v>23</v>
      </c>
      <c r="AN1038">
        <v>3</v>
      </c>
      <c r="AO1038">
        <v>18</v>
      </c>
      <c r="AP1038">
        <v>13</v>
      </c>
      <c r="AQ1038">
        <v>14</v>
      </c>
      <c r="AR1038">
        <v>6</v>
      </c>
      <c r="AS1038">
        <v>5</v>
      </c>
    </row>
    <row r="1039" spans="1:45" x14ac:dyDescent="0.25">
      <c r="A1039">
        <v>41</v>
      </c>
      <c r="B1039" t="s">
        <v>394</v>
      </c>
      <c r="E1039" t="s">
        <v>391</v>
      </c>
      <c r="U1039">
        <v>938</v>
      </c>
      <c r="V1039">
        <v>14</v>
      </c>
      <c r="W1039">
        <v>7</v>
      </c>
      <c r="X1039">
        <v>10</v>
      </c>
      <c r="Y1039">
        <v>12</v>
      </c>
      <c r="Z1039">
        <v>18</v>
      </c>
      <c r="AA1039">
        <v>20</v>
      </c>
      <c r="AB1039">
        <v>6</v>
      </c>
      <c r="AC1039">
        <v>2</v>
      </c>
      <c r="AD1039">
        <v>3</v>
      </c>
      <c r="AE1039">
        <v>1</v>
      </c>
      <c r="AF1039">
        <v>11</v>
      </c>
      <c r="AG1039">
        <v>22</v>
      </c>
      <c r="AH1039">
        <v>15</v>
      </c>
      <c r="AI1039">
        <v>13</v>
      </c>
      <c r="AJ1039">
        <v>16</v>
      </c>
      <c r="AK1039">
        <v>21</v>
      </c>
      <c r="AL1039">
        <v>23</v>
      </c>
      <c r="AM1039">
        <v>24</v>
      </c>
      <c r="AN1039">
        <v>4</v>
      </c>
      <c r="AO1039">
        <v>17</v>
      </c>
      <c r="AP1039">
        <v>9</v>
      </c>
      <c r="AQ1039">
        <v>19</v>
      </c>
      <c r="AR1039">
        <v>8</v>
      </c>
      <c r="AS1039">
        <v>5</v>
      </c>
    </row>
    <row r="1040" spans="1:45" x14ac:dyDescent="0.25">
      <c r="A1040">
        <v>41</v>
      </c>
      <c r="B1040" t="s">
        <v>390</v>
      </c>
      <c r="E1040" t="s">
        <v>385</v>
      </c>
      <c r="U1040">
        <v>939</v>
      </c>
      <c r="V1040">
        <v>17</v>
      </c>
      <c r="W1040">
        <v>9</v>
      </c>
      <c r="X1040">
        <v>12</v>
      </c>
      <c r="Y1040">
        <v>11</v>
      </c>
      <c r="Z1040">
        <v>15</v>
      </c>
      <c r="AA1040">
        <v>22</v>
      </c>
      <c r="AB1040">
        <v>5</v>
      </c>
      <c r="AC1040">
        <v>3</v>
      </c>
      <c r="AD1040">
        <v>4</v>
      </c>
      <c r="AE1040">
        <v>1</v>
      </c>
      <c r="AF1040">
        <v>14</v>
      </c>
      <c r="AG1040">
        <v>19</v>
      </c>
      <c r="AH1040">
        <v>6</v>
      </c>
      <c r="AI1040">
        <v>18</v>
      </c>
      <c r="AJ1040">
        <v>13</v>
      </c>
      <c r="AK1040">
        <v>21</v>
      </c>
      <c r="AL1040">
        <v>24</v>
      </c>
      <c r="AM1040">
        <v>23</v>
      </c>
      <c r="AN1040">
        <v>2</v>
      </c>
      <c r="AO1040">
        <v>20</v>
      </c>
      <c r="AP1040">
        <v>7</v>
      </c>
      <c r="AQ1040">
        <v>16</v>
      </c>
      <c r="AR1040">
        <v>8</v>
      </c>
      <c r="AS1040">
        <v>10</v>
      </c>
    </row>
    <row r="1041" spans="1:45" x14ac:dyDescent="0.25">
      <c r="A1041">
        <v>41</v>
      </c>
      <c r="B1041" t="s">
        <v>398</v>
      </c>
      <c r="E1041" t="s">
        <v>380</v>
      </c>
      <c r="U1041">
        <v>940</v>
      </c>
      <c r="V1041">
        <v>17</v>
      </c>
      <c r="W1041">
        <v>7</v>
      </c>
      <c r="X1041">
        <v>11</v>
      </c>
      <c r="Y1041">
        <v>16</v>
      </c>
      <c r="Z1041">
        <v>18</v>
      </c>
      <c r="AA1041">
        <v>22</v>
      </c>
      <c r="AB1041">
        <v>6</v>
      </c>
      <c r="AC1041">
        <v>2</v>
      </c>
      <c r="AD1041">
        <v>3</v>
      </c>
      <c r="AE1041">
        <v>1</v>
      </c>
      <c r="AF1041">
        <v>12</v>
      </c>
      <c r="AG1041">
        <v>21</v>
      </c>
      <c r="AH1041">
        <v>13</v>
      </c>
      <c r="AI1041">
        <v>9</v>
      </c>
      <c r="AJ1041">
        <v>14</v>
      </c>
      <c r="AK1041">
        <v>20</v>
      </c>
      <c r="AL1041">
        <v>24</v>
      </c>
      <c r="AM1041">
        <v>23</v>
      </c>
      <c r="AN1041">
        <v>4</v>
      </c>
      <c r="AO1041">
        <v>19</v>
      </c>
      <c r="AP1041">
        <v>10</v>
      </c>
      <c r="AQ1041">
        <v>15</v>
      </c>
      <c r="AR1041">
        <v>8</v>
      </c>
      <c r="AS1041">
        <v>5</v>
      </c>
    </row>
    <row r="1042" spans="1:45" x14ac:dyDescent="0.25">
      <c r="A1042">
        <v>41</v>
      </c>
      <c r="B1042" t="s">
        <v>388</v>
      </c>
      <c r="E1042" t="s">
        <v>399</v>
      </c>
      <c r="U1042">
        <v>941</v>
      </c>
      <c r="V1042">
        <v>17</v>
      </c>
      <c r="W1042">
        <v>6</v>
      </c>
      <c r="X1042">
        <v>18</v>
      </c>
      <c r="Y1042">
        <v>15</v>
      </c>
      <c r="Z1042">
        <v>16</v>
      </c>
      <c r="AA1042">
        <v>20</v>
      </c>
      <c r="AB1042">
        <v>3</v>
      </c>
      <c r="AC1042">
        <v>2</v>
      </c>
      <c r="AD1042">
        <v>5</v>
      </c>
      <c r="AE1042">
        <v>1</v>
      </c>
      <c r="AF1042">
        <v>9</v>
      </c>
      <c r="AG1042">
        <v>22</v>
      </c>
      <c r="AH1042">
        <v>12</v>
      </c>
      <c r="AI1042">
        <v>19</v>
      </c>
      <c r="AJ1042">
        <v>13</v>
      </c>
      <c r="AK1042">
        <v>21</v>
      </c>
      <c r="AL1042">
        <v>24</v>
      </c>
      <c r="AM1042">
        <v>23</v>
      </c>
      <c r="AN1042">
        <v>4</v>
      </c>
      <c r="AO1042">
        <v>14</v>
      </c>
      <c r="AP1042">
        <v>8</v>
      </c>
      <c r="AQ1042">
        <v>11</v>
      </c>
      <c r="AR1042">
        <v>10</v>
      </c>
      <c r="AS1042">
        <v>7</v>
      </c>
    </row>
    <row r="1043" spans="1:45" x14ac:dyDescent="0.25">
      <c r="A1043">
        <v>41</v>
      </c>
      <c r="B1043" t="s">
        <v>397</v>
      </c>
      <c r="E1043" t="s">
        <v>401</v>
      </c>
      <c r="U1043">
        <v>942</v>
      </c>
      <c r="V1043">
        <v>19</v>
      </c>
      <c r="W1043">
        <v>7</v>
      </c>
      <c r="X1043">
        <v>18</v>
      </c>
      <c r="Y1043">
        <v>15</v>
      </c>
      <c r="Z1043">
        <v>14</v>
      </c>
      <c r="AA1043">
        <v>21</v>
      </c>
      <c r="AB1043">
        <v>8</v>
      </c>
      <c r="AC1043">
        <v>2</v>
      </c>
      <c r="AD1043">
        <v>3</v>
      </c>
      <c r="AE1043">
        <v>1</v>
      </c>
      <c r="AF1043">
        <v>10</v>
      </c>
      <c r="AG1043">
        <v>13</v>
      </c>
      <c r="AH1043">
        <v>11</v>
      </c>
      <c r="AI1043">
        <v>16</v>
      </c>
      <c r="AJ1043">
        <v>12</v>
      </c>
      <c r="AK1043">
        <v>23</v>
      </c>
      <c r="AL1043">
        <v>24</v>
      </c>
      <c r="AM1043">
        <v>22</v>
      </c>
      <c r="AN1043">
        <v>4</v>
      </c>
      <c r="AO1043">
        <v>20</v>
      </c>
      <c r="AP1043">
        <v>5</v>
      </c>
      <c r="AQ1043">
        <v>17</v>
      </c>
      <c r="AR1043">
        <v>6</v>
      </c>
      <c r="AS1043">
        <v>9</v>
      </c>
    </row>
    <row r="1044" spans="1:45" x14ac:dyDescent="0.25">
      <c r="A1044">
        <v>41</v>
      </c>
      <c r="B1044" t="s">
        <v>393</v>
      </c>
      <c r="E1044" t="s">
        <v>395</v>
      </c>
      <c r="U1044">
        <v>943</v>
      </c>
      <c r="V1044">
        <v>18</v>
      </c>
      <c r="W1044">
        <v>10</v>
      </c>
      <c r="X1044">
        <v>5</v>
      </c>
      <c r="Y1044">
        <v>16</v>
      </c>
      <c r="Z1044">
        <v>14</v>
      </c>
      <c r="AA1044">
        <v>22</v>
      </c>
      <c r="AB1044">
        <v>8</v>
      </c>
      <c r="AC1044">
        <v>2</v>
      </c>
      <c r="AD1044">
        <v>3</v>
      </c>
      <c r="AE1044">
        <v>1</v>
      </c>
      <c r="AF1044">
        <v>13</v>
      </c>
      <c r="AG1044">
        <v>19</v>
      </c>
      <c r="AH1044">
        <v>11</v>
      </c>
      <c r="AI1044">
        <v>17</v>
      </c>
      <c r="AJ1044">
        <v>12</v>
      </c>
      <c r="AK1044">
        <v>20</v>
      </c>
      <c r="AL1044">
        <v>24</v>
      </c>
      <c r="AM1044">
        <v>23</v>
      </c>
      <c r="AN1044">
        <v>4</v>
      </c>
      <c r="AO1044">
        <v>21</v>
      </c>
      <c r="AP1044">
        <v>9</v>
      </c>
      <c r="AQ1044">
        <v>15</v>
      </c>
      <c r="AR1044">
        <v>6</v>
      </c>
      <c r="AS1044">
        <v>7</v>
      </c>
    </row>
    <row r="1045" spans="1:45" x14ac:dyDescent="0.25">
      <c r="A1045">
        <v>41</v>
      </c>
      <c r="B1045" t="s">
        <v>381</v>
      </c>
      <c r="E1045" t="s">
        <v>384</v>
      </c>
      <c r="U1045">
        <v>944</v>
      </c>
      <c r="V1045">
        <v>17</v>
      </c>
      <c r="W1045">
        <v>14</v>
      </c>
      <c r="X1045">
        <v>15</v>
      </c>
      <c r="Y1045">
        <v>12</v>
      </c>
      <c r="Z1045">
        <v>19</v>
      </c>
      <c r="AA1045">
        <v>20</v>
      </c>
      <c r="AB1045">
        <v>5</v>
      </c>
      <c r="AC1045">
        <v>3</v>
      </c>
      <c r="AD1045">
        <v>2</v>
      </c>
      <c r="AE1045">
        <v>1</v>
      </c>
      <c r="AF1045">
        <v>16</v>
      </c>
      <c r="AG1045">
        <v>13</v>
      </c>
      <c r="AH1045">
        <v>11</v>
      </c>
      <c r="AI1045">
        <v>18</v>
      </c>
      <c r="AJ1045">
        <v>8</v>
      </c>
      <c r="AK1045">
        <v>22</v>
      </c>
      <c r="AL1045">
        <v>24</v>
      </c>
      <c r="AM1045">
        <v>23</v>
      </c>
      <c r="AN1045">
        <v>4</v>
      </c>
      <c r="AO1045">
        <v>21</v>
      </c>
      <c r="AP1045">
        <v>6</v>
      </c>
      <c r="AQ1045">
        <v>10</v>
      </c>
      <c r="AR1045">
        <v>7</v>
      </c>
      <c r="AS1045">
        <v>9</v>
      </c>
    </row>
    <row r="1046" spans="1:45" x14ac:dyDescent="0.25">
      <c r="A1046">
        <v>41</v>
      </c>
      <c r="B1046" t="s">
        <v>379</v>
      </c>
      <c r="E1046" t="s">
        <v>396</v>
      </c>
      <c r="U1046">
        <v>945</v>
      </c>
      <c r="V1046">
        <v>19</v>
      </c>
      <c r="W1046">
        <v>15</v>
      </c>
      <c r="X1046">
        <v>11</v>
      </c>
      <c r="Y1046">
        <v>9</v>
      </c>
      <c r="Z1046">
        <v>16</v>
      </c>
      <c r="AA1046">
        <v>22</v>
      </c>
      <c r="AB1046">
        <v>6</v>
      </c>
      <c r="AC1046">
        <v>2</v>
      </c>
      <c r="AD1046">
        <v>4</v>
      </c>
      <c r="AE1046">
        <v>1</v>
      </c>
      <c r="AF1046">
        <v>5</v>
      </c>
      <c r="AG1046">
        <v>18</v>
      </c>
      <c r="AH1046">
        <v>12</v>
      </c>
      <c r="AI1046">
        <v>17</v>
      </c>
      <c r="AJ1046">
        <v>13</v>
      </c>
      <c r="AK1046">
        <v>21</v>
      </c>
      <c r="AL1046">
        <v>24</v>
      </c>
      <c r="AM1046">
        <v>23</v>
      </c>
      <c r="AN1046">
        <v>3</v>
      </c>
      <c r="AO1046">
        <v>20</v>
      </c>
      <c r="AP1046">
        <v>10</v>
      </c>
      <c r="AQ1046">
        <v>14</v>
      </c>
      <c r="AR1046">
        <v>8</v>
      </c>
      <c r="AS1046">
        <v>7</v>
      </c>
    </row>
    <row r="1047" spans="1:45" x14ac:dyDescent="0.25">
      <c r="A1047">
        <v>41</v>
      </c>
      <c r="B1047" t="s">
        <v>387</v>
      </c>
      <c r="E1047" t="s">
        <v>378</v>
      </c>
      <c r="U1047">
        <v>946</v>
      </c>
      <c r="V1047">
        <v>17</v>
      </c>
      <c r="W1047">
        <v>12</v>
      </c>
      <c r="X1047">
        <v>11</v>
      </c>
      <c r="Y1047">
        <v>16</v>
      </c>
      <c r="Z1047">
        <v>13</v>
      </c>
      <c r="AA1047">
        <v>22</v>
      </c>
      <c r="AB1047">
        <v>8</v>
      </c>
      <c r="AC1047">
        <v>2</v>
      </c>
      <c r="AD1047">
        <v>3</v>
      </c>
      <c r="AE1047">
        <v>1</v>
      </c>
      <c r="AF1047">
        <v>14</v>
      </c>
      <c r="AG1047">
        <v>19</v>
      </c>
      <c r="AH1047">
        <v>10</v>
      </c>
      <c r="AI1047">
        <v>15</v>
      </c>
      <c r="AJ1047">
        <v>5</v>
      </c>
      <c r="AK1047">
        <v>21</v>
      </c>
      <c r="AL1047">
        <v>24</v>
      </c>
      <c r="AM1047">
        <v>23</v>
      </c>
      <c r="AN1047">
        <v>4</v>
      </c>
      <c r="AO1047">
        <v>20</v>
      </c>
      <c r="AP1047">
        <v>9</v>
      </c>
      <c r="AQ1047">
        <v>18</v>
      </c>
      <c r="AR1047">
        <v>6</v>
      </c>
      <c r="AS1047">
        <v>7</v>
      </c>
    </row>
    <row r="1048" spans="1:45" x14ac:dyDescent="0.25">
      <c r="A1048">
        <v>42</v>
      </c>
      <c r="B1048" t="s">
        <v>395</v>
      </c>
      <c r="E1048" t="s">
        <v>390</v>
      </c>
      <c r="U1048">
        <v>947</v>
      </c>
      <c r="V1048">
        <v>11</v>
      </c>
      <c r="W1048">
        <v>18</v>
      </c>
      <c r="X1048">
        <v>14</v>
      </c>
      <c r="Y1048">
        <v>12</v>
      </c>
      <c r="Z1048">
        <v>15</v>
      </c>
      <c r="AA1048">
        <v>20</v>
      </c>
      <c r="AB1048">
        <v>5</v>
      </c>
      <c r="AC1048">
        <v>2</v>
      </c>
      <c r="AD1048">
        <v>3</v>
      </c>
      <c r="AE1048">
        <v>1</v>
      </c>
      <c r="AF1048">
        <v>7</v>
      </c>
      <c r="AG1048">
        <v>19</v>
      </c>
      <c r="AH1048">
        <v>9</v>
      </c>
      <c r="AI1048">
        <v>16</v>
      </c>
      <c r="AJ1048">
        <v>17</v>
      </c>
      <c r="AK1048">
        <v>22</v>
      </c>
      <c r="AL1048">
        <v>24</v>
      </c>
      <c r="AM1048">
        <v>23</v>
      </c>
      <c r="AN1048">
        <v>4</v>
      </c>
      <c r="AO1048">
        <v>21</v>
      </c>
      <c r="AP1048">
        <v>8</v>
      </c>
      <c r="AQ1048">
        <v>13</v>
      </c>
      <c r="AR1048">
        <v>10</v>
      </c>
      <c r="AS1048">
        <v>6</v>
      </c>
    </row>
    <row r="1049" spans="1:45" x14ac:dyDescent="0.25">
      <c r="A1049">
        <v>42</v>
      </c>
      <c r="B1049" t="s">
        <v>392</v>
      </c>
      <c r="E1049" t="s">
        <v>383</v>
      </c>
      <c r="U1049">
        <v>948</v>
      </c>
      <c r="V1049">
        <v>20</v>
      </c>
      <c r="W1049">
        <v>13</v>
      </c>
      <c r="X1049">
        <v>16</v>
      </c>
      <c r="Y1049">
        <v>12</v>
      </c>
      <c r="Z1049">
        <v>15</v>
      </c>
      <c r="AA1049">
        <v>21</v>
      </c>
      <c r="AB1049">
        <v>6</v>
      </c>
      <c r="AC1049">
        <v>2</v>
      </c>
      <c r="AD1049">
        <v>4</v>
      </c>
      <c r="AE1049">
        <v>1</v>
      </c>
      <c r="AF1049">
        <v>8</v>
      </c>
      <c r="AG1049">
        <v>17</v>
      </c>
      <c r="AH1049">
        <v>10</v>
      </c>
      <c r="AI1049">
        <v>11</v>
      </c>
      <c r="AJ1049">
        <v>14</v>
      </c>
      <c r="AK1049">
        <v>22</v>
      </c>
      <c r="AL1049">
        <v>24</v>
      </c>
      <c r="AM1049">
        <v>23</v>
      </c>
      <c r="AN1049">
        <v>3</v>
      </c>
      <c r="AO1049">
        <v>19</v>
      </c>
      <c r="AP1049">
        <v>9</v>
      </c>
      <c r="AQ1049">
        <v>18</v>
      </c>
      <c r="AR1049">
        <v>5</v>
      </c>
      <c r="AS1049">
        <v>7</v>
      </c>
    </row>
    <row r="1050" spans="1:45" x14ac:dyDescent="0.25">
      <c r="A1050">
        <v>42</v>
      </c>
      <c r="B1050" t="s">
        <v>396</v>
      </c>
      <c r="E1050" t="s">
        <v>382</v>
      </c>
      <c r="U1050">
        <v>949</v>
      </c>
      <c r="V1050">
        <v>14</v>
      </c>
      <c r="W1050">
        <v>17</v>
      </c>
      <c r="X1050">
        <v>9</v>
      </c>
      <c r="Y1050">
        <v>12</v>
      </c>
      <c r="Z1050">
        <v>16</v>
      </c>
      <c r="AA1050">
        <v>19</v>
      </c>
      <c r="AB1050">
        <v>7</v>
      </c>
      <c r="AC1050">
        <v>2</v>
      </c>
      <c r="AD1050">
        <v>5</v>
      </c>
      <c r="AE1050">
        <v>1</v>
      </c>
      <c r="AF1050">
        <v>15</v>
      </c>
      <c r="AG1050">
        <v>18</v>
      </c>
      <c r="AH1050">
        <v>13</v>
      </c>
      <c r="AI1050">
        <v>11</v>
      </c>
      <c r="AJ1050">
        <v>10</v>
      </c>
      <c r="AK1050">
        <v>21</v>
      </c>
      <c r="AL1050">
        <v>24</v>
      </c>
      <c r="AM1050">
        <v>23</v>
      </c>
      <c r="AN1050">
        <v>3</v>
      </c>
      <c r="AO1050">
        <v>22</v>
      </c>
      <c r="AP1050">
        <v>6</v>
      </c>
      <c r="AQ1050">
        <v>20</v>
      </c>
      <c r="AR1050">
        <v>8</v>
      </c>
      <c r="AS1050">
        <v>4</v>
      </c>
    </row>
    <row r="1051" spans="1:45" x14ac:dyDescent="0.25">
      <c r="A1051">
        <v>42</v>
      </c>
      <c r="B1051" t="s">
        <v>389</v>
      </c>
      <c r="E1051" t="s">
        <v>387</v>
      </c>
      <c r="U1051">
        <v>950</v>
      </c>
      <c r="V1051">
        <v>13</v>
      </c>
      <c r="W1051">
        <v>7</v>
      </c>
      <c r="X1051">
        <v>17</v>
      </c>
      <c r="Y1051">
        <v>12</v>
      </c>
      <c r="Z1051">
        <v>11</v>
      </c>
      <c r="AA1051">
        <v>21</v>
      </c>
      <c r="AB1051">
        <v>5</v>
      </c>
      <c r="AC1051">
        <v>2</v>
      </c>
      <c r="AD1051">
        <v>3</v>
      </c>
      <c r="AE1051">
        <v>1</v>
      </c>
      <c r="AF1051">
        <v>10</v>
      </c>
      <c r="AG1051">
        <v>18</v>
      </c>
      <c r="AH1051">
        <v>14</v>
      </c>
      <c r="AI1051">
        <v>15</v>
      </c>
      <c r="AJ1051">
        <v>16</v>
      </c>
      <c r="AK1051">
        <v>22</v>
      </c>
      <c r="AL1051">
        <v>24</v>
      </c>
      <c r="AM1051">
        <v>23</v>
      </c>
      <c r="AN1051">
        <v>6</v>
      </c>
      <c r="AO1051">
        <v>20</v>
      </c>
      <c r="AP1051">
        <v>9</v>
      </c>
      <c r="AQ1051">
        <v>19</v>
      </c>
      <c r="AR1051">
        <v>8</v>
      </c>
      <c r="AS1051">
        <v>4</v>
      </c>
    </row>
    <row r="1052" spans="1:45" x14ac:dyDescent="0.25">
      <c r="A1052">
        <v>42</v>
      </c>
      <c r="B1052" t="s">
        <v>386</v>
      </c>
      <c r="E1052" t="s">
        <v>398</v>
      </c>
      <c r="U1052">
        <v>951</v>
      </c>
      <c r="V1052">
        <v>17</v>
      </c>
      <c r="W1052">
        <v>9</v>
      </c>
      <c r="X1052">
        <v>12</v>
      </c>
      <c r="Y1052">
        <v>15</v>
      </c>
      <c r="Z1052">
        <v>14</v>
      </c>
      <c r="AA1052">
        <v>21</v>
      </c>
      <c r="AB1052">
        <v>10</v>
      </c>
      <c r="AC1052">
        <v>3</v>
      </c>
      <c r="AD1052">
        <v>4</v>
      </c>
      <c r="AE1052">
        <v>1</v>
      </c>
      <c r="AF1052">
        <v>11</v>
      </c>
      <c r="AG1052">
        <v>19</v>
      </c>
      <c r="AH1052">
        <v>6</v>
      </c>
      <c r="AI1052">
        <v>16</v>
      </c>
      <c r="AJ1052">
        <v>13</v>
      </c>
      <c r="AK1052">
        <v>22</v>
      </c>
      <c r="AL1052">
        <v>23</v>
      </c>
      <c r="AM1052">
        <v>24</v>
      </c>
      <c r="AN1052">
        <v>2</v>
      </c>
      <c r="AO1052">
        <v>20</v>
      </c>
      <c r="AP1052">
        <v>5</v>
      </c>
      <c r="AQ1052">
        <v>18</v>
      </c>
      <c r="AR1052">
        <v>8</v>
      </c>
      <c r="AS1052">
        <v>7</v>
      </c>
    </row>
    <row r="1053" spans="1:45" x14ac:dyDescent="0.25">
      <c r="A1053">
        <v>42</v>
      </c>
      <c r="B1053" t="s">
        <v>391</v>
      </c>
      <c r="E1053" t="s">
        <v>393</v>
      </c>
      <c r="U1053">
        <v>952</v>
      </c>
      <c r="V1053">
        <v>19</v>
      </c>
      <c r="W1053">
        <v>5</v>
      </c>
      <c r="X1053">
        <v>16</v>
      </c>
      <c r="Y1053">
        <v>15</v>
      </c>
      <c r="Z1053">
        <v>11</v>
      </c>
      <c r="AA1053">
        <v>21</v>
      </c>
      <c r="AB1053">
        <v>7</v>
      </c>
      <c r="AC1053">
        <v>2</v>
      </c>
      <c r="AD1053">
        <v>3</v>
      </c>
      <c r="AE1053">
        <v>1</v>
      </c>
      <c r="AF1053">
        <v>9</v>
      </c>
      <c r="AG1053">
        <v>20</v>
      </c>
      <c r="AH1053">
        <v>14</v>
      </c>
      <c r="AI1053">
        <v>13</v>
      </c>
      <c r="AJ1053">
        <v>12</v>
      </c>
      <c r="AK1053">
        <v>22</v>
      </c>
      <c r="AL1053">
        <v>24</v>
      </c>
      <c r="AM1053">
        <v>23</v>
      </c>
      <c r="AN1053">
        <v>4</v>
      </c>
      <c r="AO1053">
        <v>17</v>
      </c>
      <c r="AP1053">
        <v>10</v>
      </c>
      <c r="AQ1053">
        <v>18</v>
      </c>
      <c r="AR1053">
        <v>6</v>
      </c>
      <c r="AS1053">
        <v>8</v>
      </c>
    </row>
    <row r="1054" spans="1:45" x14ac:dyDescent="0.25">
      <c r="A1054">
        <v>42</v>
      </c>
      <c r="B1054" t="s">
        <v>384</v>
      </c>
      <c r="E1054" t="s">
        <v>388</v>
      </c>
      <c r="U1054">
        <v>953</v>
      </c>
      <c r="V1054">
        <v>12</v>
      </c>
      <c r="W1054">
        <v>16</v>
      </c>
      <c r="X1054">
        <v>13</v>
      </c>
      <c r="Y1054">
        <v>14</v>
      </c>
      <c r="Z1054">
        <v>17</v>
      </c>
      <c r="AA1054">
        <v>19</v>
      </c>
      <c r="AB1054">
        <v>4</v>
      </c>
      <c r="AC1054">
        <v>2</v>
      </c>
      <c r="AD1054">
        <v>3</v>
      </c>
      <c r="AE1054">
        <v>1</v>
      </c>
      <c r="AF1054">
        <v>10</v>
      </c>
      <c r="AG1054">
        <v>22</v>
      </c>
      <c r="AH1054">
        <v>15</v>
      </c>
      <c r="AI1054">
        <v>11</v>
      </c>
      <c r="AJ1054">
        <v>7</v>
      </c>
      <c r="AK1054">
        <v>21</v>
      </c>
      <c r="AL1054">
        <v>24</v>
      </c>
      <c r="AM1054">
        <v>23</v>
      </c>
      <c r="AN1054">
        <v>5</v>
      </c>
      <c r="AO1054">
        <v>20</v>
      </c>
      <c r="AP1054">
        <v>6</v>
      </c>
      <c r="AQ1054">
        <v>18</v>
      </c>
      <c r="AR1054">
        <v>9</v>
      </c>
      <c r="AS1054">
        <v>8</v>
      </c>
    </row>
    <row r="1055" spans="1:45" x14ac:dyDescent="0.25">
      <c r="A1055">
        <v>42</v>
      </c>
      <c r="B1055" t="s">
        <v>385</v>
      </c>
      <c r="E1055" t="s">
        <v>400</v>
      </c>
      <c r="U1055">
        <v>954</v>
      </c>
      <c r="V1055">
        <v>21</v>
      </c>
      <c r="W1055">
        <v>9</v>
      </c>
      <c r="X1055">
        <v>16</v>
      </c>
      <c r="Y1055">
        <v>15</v>
      </c>
      <c r="Z1055">
        <v>12</v>
      </c>
      <c r="AA1055">
        <v>20</v>
      </c>
      <c r="AB1055">
        <v>4</v>
      </c>
      <c r="AC1055">
        <v>3</v>
      </c>
      <c r="AD1055">
        <v>2</v>
      </c>
      <c r="AE1055">
        <v>1</v>
      </c>
      <c r="AF1055">
        <v>10</v>
      </c>
      <c r="AG1055">
        <v>18</v>
      </c>
      <c r="AH1055">
        <v>11</v>
      </c>
      <c r="AI1055">
        <v>13</v>
      </c>
      <c r="AJ1055">
        <v>14</v>
      </c>
      <c r="AK1055">
        <v>19</v>
      </c>
      <c r="AL1055">
        <v>24</v>
      </c>
      <c r="AM1055">
        <v>23</v>
      </c>
      <c r="AN1055">
        <v>7</v>
      </c>
      <c r="AO1055">
        <v>22</v>
      </c>
      <c r="AP1055">
        <v>5</v>
      </c>
      <c r="AQ1055">
        <v>17</v>
      </c>
      <c r="AR1055">
        <v>6</v>
      </c>
      <c r="AS1055">
        <v>8</v>
      </c>
    </row>
    <row r="1056" spans="1:45" x14ac:dyDescent="0.25">
      <c r="A1056">
        <v>42</v>
      </c>
      <c r="B1056" t="s">
        <v>378</v>
      </c>
      <c r="E1056" t="s">
        <v>381</v>
      </c>
      <c r="U1056">
        <v>955</v>
      </c>
      <c r="V1056">
        <v>15</v>
      </c>
      <c r="W1056">
        <v>7</v>
      </c>
      <c r="X1056">
        <v>14</v>
      </c>
      <c r="Y1056">
        <v>11</v>
      </c>
      <c r="Z1056">
        <v>10</v>
      </c>
      <c r="AA1056">
        <v>22</v>
      </c>
      <c r="AB1056">
        <v>5</v>
      </c>
      <c r="AC1056">
        <v>3</v>
      </c>
      <c r="AD1056">
        <v>2</v>
      </c>
      <c r="AE1056">
        <v>1</v>
      </c>
      <c r="AF1056">
        <v>12</v>
      </c>
      <c r="AG1056">
        <v>21</v>
      </c>
      <c r="AH1056">
        <v>17</v>
      </c>
      <c r="AI1056">
        <v>20</v>
      </c>
      <c r="AJ1056">
        <v>13</v>
      </c>
      <c r="AK1056">
        <v>19</v>
      </c>
      <c r="AL1056">
        <v>24</v>
      </c>
      <c r="AM1056">
        <v>23</v>
      </c>
      <c r="AN1056">
        <v>4</v>
      </c>
      <c r="AO1056">
        <v>18</v>
      </c>
      <c r="AP1056">
        <v>6</v>
      </c>
      <c r="AQ1056">
        <v>16</v>
      </c>
      <c r="AR1056">
        <v>9</v>
      </c>
      <c r="AS1056">
        <v>8</v>
      </c>
    </row>
    <row r="1057" spans="1:45" x14ac:dyDescent="0.25">
      <c r="A1057">
        <v>42</v>
      </c>
      <c r="B1057" t="s">
        <v>399</v>
      </c>
      <c r="E1057" t="s">
        <v>397</v>
      </c>
      <c r="U1057">
        <v>956</v>
      </c>
      <c r="V1057">
        <v>17</v>
      </c>
      <c r="W1057">
        <v>11</v>
      </c>
      <c r="X1057">
        <v>9</v>
      </c>
      <c r="Y1057">
        <v>12</v>
      </c>
      <c r="Z1057">
        <v>16</v>
      </c>
      <c r="AA1057">
        <v>20</v>
      </c>
      <c r="AB1057">
        <v>7</v>
      </c>
      <c r="AC1057">
        <v>2</v>
      </c>
      <c r="AD1057">
        <v>3</v>
      </c>
      <c r="AE1057">
        <v>1</v>
      </c>
      <c r="AF1057">
        <v>8</v>
      </c>
      <c r="AG1057">
        <v>13</v>
      </c>
      <c r="AH1057">
        <v>14</v>
      </c>
      <c r="AI1057">
        <v>18</v>
      </c>
      <c r="AJ1057">
        <v>15</v>
      </c>
      <c r="AK1057">
        <v>23</v>
      </c>
      <c r="AL1057">
        <v>24</v>
      </c>
      <c r="AM1057">
        <v>22</v>
      </c>
      <c r="AN1057">
        <v>4</v>
      </c>
      <c r="AO1057">
        <v>21</v>
      </c>
      <c r="AP1057">
        <v>5</v>
      </c>
      <c r="AQ1057">
        <v>19</v>
      </c>
      <c r="AR1057">
        <v>10</v>
      </c>
      <c r="AS1057">
        <v>6</v>
      </c>
    </row>
    <row r="1058" spans="1:45" x14ac:dyDescent="0.25">
      <c r="A1058">
        <v>42</v>
      </c>
      <c r="B1058" t="s">
        <v>380</v>
      </c>
      <c r="E1058" t="s">
        <v>379</v>
      </c>
      <c r="U1058">
        <v>957</v>
      </c>
      <c r="V1058">
        <v>14</v>
      </c>
      <c r="W1058">
        <v>16</v>
      </c>
      <c r="X1058">
        <v>9</v>
      </c>
      <c r="Y1058">
        <v>11</v>
      </c>
      <c r="Z1058">
        <v>17</v>
      </c>
      <c r="AA1058">
        <v>20</v>
      </c>
      <c r="AB1058">
        <v>6</v>
      </c>
      <c r="AC1058">
        <v>2</v>
      </c>
      <c r="AD1058">
        <v>3</v>
      </c>
      <c r="AE1058">
        <v>1</v>
      </c>
      <c r="AF1058">
        <v>10</v>
      </c>
      <c r="AG1058">
        <v>18</v>
      </c>
      <c r="AH1058">
        <v>12</v>
      </c>
      <c r="AI1058">
        <v>15</v>
      </c>
      <c r="AJ1058">
        <v>13</v>
      </c>
      <c r="AK1058">
        <v>22</v>
      </c>
      <c r="AL1058">
        <v>24</v>
      </c>
      <c r="AM1058">
        <v>23</v>
      </c>
      <c r="AN1058">
        <v>4</v>
      </c>
      <c r="AO1058">
        <v>21</v>
      </c>
      <c r="AP1058">
        <v>8</v>
      </c>
      <c r="AQ1058">
        <v>19</v>
      </c>
      <c r="AR1058">
        <v>7</v>
      </c>
      <c r="AS1058">
        <v>5</v>
      </c>
    </row>
    <row r="1059" spans="1:45" x14ac:dyDescent="0.25">
      <c r="A1059">
        <v>42</v>
      </c>
      <c r="B1059" t="s">
        <v>401</v>
      </c>
      <c r="E1059" t="s">
        <v>394</v>
      </c>
      <c r="U1059">
        <v>958</v>
      </c>
      <c r="V1059">
        <v>18</v>
      </c>
      <c r="W1059">
        <v>13</v>
      </c>
      <c r="X1059">
        <v>16</v>
      </c>
      <c r="Y1059">
        <v>11</v>
      </c>
      <c r="Z1059">
        <v>9</v>
      </c>
      <c r="AA1059">
        <v>22</v>
      </c>
      <c r="AB1059">
        <v>5</v>
      </c>
      <c r="AC1059">
        <v>2</v>
      </c>
      <c r="AD1059">
        <v>4</v>
      </c>
      <c r="AE1059">
        <v>1</v>
      </c>
      <c r="AF1059">
        <v>7</v>
      </c>
      <c r="AG1059">
        <v>19</v>
      </c>
      <c r="AH1059">
        <v>17</v>
      </c>
      <c r="AI1059">
        <v>15</v>
      </c>
      <c r="AJ1059">
        <v>12</v>
      </c>
      <c r="AK1059">
        <v>21</v>
      </c>
      <c r="AL1059">
        <v>24</v>
      </c>
      <c r="AM1059">
        <v>23</v>
      </c>
      <c r="AN1059">
        <v>3</v>
      </c>
      <c r="AO1059">
        <v>20</v>
      </c>
      <c r="AP1059">
        <v>10</v>
      </c>
      <c r="AQ1059">
        <v>14</v>
      </c>
      <c r="AR1059">
        <v>8</v>
      </c>
      <c r="AS1059">
        <v>6</v>
      </c>
    </row>
    <row r="1060" spans="1:45" x14ac:dyDescent="0.25">
      <c r="A1060">
        <v>43</v>
      </c>
      <c r="B1060" t="s">
        <v>399</v>
      </c>
      <c r="E1060" t="s">
        <v>394</v>
      </c>
      <c r="U1060">
        <v>959</v>
      </c>
      <c r="V1060">
        <v>14</v>
      </c>
      <c r="W1060">
        <v>9</v>
      </c>
      <c r="X1060">
        <v>12</v>
      </c>
      <c r="Y1060">
        <v>8</v>
      </c>
      <c r="Z1060">
        <v>19</v>
      </c>
      <c r="AA1060">
        <v>21</v>
      </c>
      <c r="AB1060">
        <v>5</v>
      </c>
      <c r="AC1060">
        <v>2</v>
      </c>
      <c r="AD1060">
        <v>3</v>
      </c>
      <c r="AE1060">
        <v>1</v>
      </c>
      <c r="AF1060">
        <v>13</v>
      </c>
      <c r="AG1060">
        <v>16</v>
      </c>
      <c r="AH1060">
        <v>7</v>
      </c>
      <c r="AI1060">
        <v>18</v>
      </c>
      <c r="AJ1060">
        <v>17</v>
      </c>
      <c r="AK1060">
        <v>22</v>
      </c>
      <c r="AL1060">
        <v>23</v>
      </c>
      <c r="AM1060">
        <v>24</v>
      </c>
      <c r="AN1060">
        <v>4</v>
      </c>
      <c r="AO1060">
        <v>20</v>
      </c>
      <c r="AP1060">
        <v>11</v>
      </c>
      <c r="AQ1060">
        <v>15</v>
      </c>
      <c r="AR1060">
        <v>10</v>
      </c>
      <c r="AS1060">
        <v>6</v>
      </c>
    </row>
    <row r="1061" spans="1:45" x14ac:dyDescent="0.25">
      <c r="A1061">
        <v>43</v>
      </c>
      <c r="B1061" t="s">
        <v>401</v>
      </c>
      <c r="E1061" t="s">
        <v>398</v>
      </c>
      <c r="U1061">
        <v>960</v>
      </c>
      <c r="V1061">
        <v>18</v>
      </c>
      <c r="W1061">
        <v>10</v>
      </c>
      <c r="X1061">
        <v>12</v>
      </c>
      <c r="Y1061">
        <v>9</v>
      </c>
      <c r="Z1061">
        <v>11</v>
      </c>
      <c r="AA1061">
        <v>20</v>
      </c>
      <c r="AB1061">
        <v>6</v>
      </c>
      <c r="AC1061">
        <v>2</v>
      </c>
      <c r="AD1061">
        <v>3</v>
      </c>
      <c r="AE1061">
        <v>1</v>
      </c>
      <c r="AF1061">
        <v>17</v>
      </c>
      <c r="AG1061">
        <v>21</v>
      </c>
      <c r="AH1061">
        <v>13</v>
      </c>
      <c r="AI1061">
        <v>16</v>
      </c>
      <c r="AJ1061">
        <v>14</v>
      </c>
      <c r="AK1061">
        <v>19</v>
      </c>
      <c r="AL1061">
        <v>24</v>
      </c>
      <c r="AM1061">
        <v>23</v>
      </c>
      <c r="AN1061">
        <v>4</v>
      </c>
      <c r="AO1061">
        <v>22</v>
      </c>
      <c r="AP1061">
        <v>8</v>
      </c>
      <c r="AQ1061">
        <v>15</v>
      </c>
      <c r="AR1061">
        <v>7</v>
      </c>
      <c r="AS1061">
        <v>5</v>
      </c>
    </row>
    <row r="1062" spans="1:45" x14ac:dyDescent="0.25">
      <c r="A1062">
        <v>43</v>
      </c>
      <c r="B1062" t="s">
        <v>380</v>
      </c>
      <c r="E1062" t="s">
        <v>383</v>
      </c>
      <c r="U1062">
        <v>961</v>
      </c>
      <c r="V1062">
        <v>17</v>
      </c>
      <c r="W1062">
        <v>12</v>
      </c>
      <c r="X1062">
        <v>19</v>
      </c>
      <c r="Y1062">
        <v>14</v>
      </c>
      <c r="Z1062">
        <v>15</v>
      </c>
      <c r="AA1062">
        <v>21</v>
      </c>
      <c r="AB1062">
        <v>5</v>
      </c>
      <c r="AC1062">
        <v>2</v>
      </c>
      <c r="AD1062">
        <v>3</v>
      </c>
      <c r="AE1062">
        <v>1</v>
      </c>
      <c r="AF1062">
        <v>11</v>
      </c>
      <c r="AG1062">
        <v>16</v>
      </c>
      <c r="AH1062">
        <v>9</v>
      </c>
      <c r="AI1062">
        <v>18</v>
      </c>
      <c r="AJ1062">
        <v>10</v>
      </c>
      <c r="AK1062">
        <v>22</v>
      </c>
      <c r="AL1062">
        <v>24</v>
      </c>
      <c r="AM1062">
        <v>23</v>
      </c>
      <c r="AN1062">
        <v>4</v>
      </c>
      <c r="AO1062">
        <v>20</v>
      </c>
      <c r="AP1062">
        <v>8</v>
      </c>
      <c r="AQ1062">
        <v>13</v>
      </c>
      <c r="AR1062">
        <v>6</v>
      </c>
      <c r="AS1062">
        <v>7</v>
      </c>
    </row>
    <row r="1063" spans="1:45" x14ac:dyDescent="0.25">
      <c r="A1063">
        <v>43</v>
      </c>
      <c r="B1063" t="s">
        <v>391</v>
      </c>
      <c r="E1063" t="s">
        <v>387</v>
      </c>
      <c r="U1063">
        <v>962</v>
      </c>
      <c r="V1063">
        <v>15</v>
      </c>
      <c r="W1063">
        <v>8</v>
      </c>
      <c r="X1063">
        <v>19</v>
      </c>
      <c r="Y1063">
        <v>14</v>
      </c>
      <c r="Z1063">
        <v>12</v>
      </c>
      <c r="AA1063">
        <v>18</v>
      </c>
      <c r="AB1063">
        <v>5</v>
      </c>
      <c r="AC1063">
        <v>2</v>
      </c>
      <c r="AD1063">
        <v>3</v>
      </c>
      <c r="AE1063">
        <v>1</v>
      </c>
      <c r="AF1063">
        <v>13</v>
      </c>
      <c r="AG1063">
        <v>17</v>
      </c>
      <c r="AH1063">
        <v>7</v>
      </c>
      <c r="AI1063">
        <v>16</v>
      </c>
      <c r="AJ1063">
        <v>11</v>
      </c>
      <c r="AK1063">
        <v>22</v>
      </c>
      <c r="AL1063">
        <v>23</v>
      </c>
      <c r="AM1063">
        <v>24</v>
      </c>
      <c r="AN1063">
        <v>4</v>
      </c>
      <c r="AO1063">
        <v>20</v>
      </c>
      <c r="AP1063">
        <v>9</v>
      </c>
      <c r="AQ1063">
        <v>21</v>
      </c>
      <c r="AR1063">
        <v>10</v>
      </c>
      <c r="AS1063">
        <v>6</v>
      </c>
    </row>
    <row r="1064" spans="1:45" x14ac:dyDescent="0.25">
      <c r="A1064">
        <v>43</v>
      </c>
      <c r="B1064" t="s">
        <v>384</v>
      </c>
      <c r="E1064" t="s">
        <v>393</v>
      </c>
      <c r="U1064">
        <v>963</v>
      </c>
      <c r="V1064">
        <v>17</v>
      </c>
      <c r="W1064">
        <v>9</v>
      </c>
      <c r="X1064">
        <v>16</v>
      </c>
      <c r="Y1064">
        <v>10</v>
      </c>
      <c r="Z1064">
        <v>15</v>
      </c>
      <c r="AA1064">
        <v>19</v>
      </c>
      <c r="AB1064">
        <v>6</v>
      </c>
      <c r="AC1064">
        <v>2</v>
      </c>
      <c r="AD1064">
        <v>4</v>
      </c>
      <c r="AE1064">
        <v>1</v>
      </c>
      <c r="AF1064">
        <v>11</v>
      </c>
      <c r="AG1064">
        <v>22</v>
      </c>
      <c r="AH1064">
        <v>14</v>
      </c>
      <c r="AI1064">
        <v>12</v>
      </c>
      <c r="AJ1064">
        <v>13</v>
      </c>
      <c r="AK1064">
        <v>21</v>
      </c>
      <c r="AL1064">
        <v>24</v>
      </c>
      <c r="AM1064">
        <v>23</v>
      </c>
      <c r="AN1064">
        <v>3</v>
      </c>
      <c r="AO1064">
        <v>20</v>
      </c>
      <c r="AP1064">
        <v>5</v>
      </c>
      <c r="AQ1064">
        <v>18</v>
      </c>
      <c r="AR1064">
        <v>7</v>
      </c>
      <c r="AS1064">
        <v>8</v>
      </c>
    </row>
    <row r="1065" spans="1:45" x14ac:dyDescent="0.25">
      <c r="A1065">
        <v>43</v>
      </c>
      <c r="B1065" t="s">
        <v>392</v>
      </c>
      <c r="E1065" t="s">
        <v>390</v>
      </c>
      <c r="U1065">
        <v>964</v>
      </c>
      <c r="V1065">
        <v>15</v>
      </c>
      <c r="W1065">
        <v>12</v>
      </c>
      <c r="X1065">
        <v>8</v>
      </c>
      <c r="Y1065">
        <v>18</v>
      </c>
      <c r="Z1065">
        <v>14</v>
      </c>
      <c r="AA1065">
        <v>22</v>
      </c>
      <c r="AB1065">
        <v>6</v>
      </c>
      <c r="AC1065">
        <v>2</v>
      </c>
      <c r="AD1065">
        <v>3</v>
      </c>
      <c r="AE1065">
        <v>1</v>
      </c>
      <c r="AF1065">
        <v>9</v>
      </c>
      <c r="AG1065">
        <v>17</v>
      </c>
      <c r="AH1065">
        <v>16</v>
      </c>
      <c r="AI1065">
        <v>11</v>
      </c>
      <c r="AJ1065">
        <v>10</v>
      </c>
      <c r="AK1065">
        <v>20</v>
      </c>
      <c r="AL1065">
        <v>23</v>
      </c>
      <c r="AM1065">
        <v>24</v>
      </c>
      <c r="AN1065">
        <v>4</v>
      </c>
      <c r="AO1065">
        <v>21</v>
      </c>
      <c r="AP1065">
        <v>13</v>
      </c>
      <c r="AQ1065">
        <v>19</v>
      </c>
      <c r="AR1065">
        <v>7</v>
      </c>
      <c r="AS1065">
        <v>5</v>
      </c>
    </row>
    <row r="1066" spans="1:45" x14ac:dyDescent="0.25">
      <c r="A1066">
        <v>43</v>
      </c>
      <c r="B1066" t="s">
        <v>396</v>
      </c>
      <c r="E1066" t="s">
        <v>400</v>
      </c>
      <c r="U1066">
        <v>965</v>
      </c>
      <c r="V1066">
        <v>17</v>
      </c>
      <c r="W1066">
        <v>10</v>
      </c>
      <c r="X1066">
        <v>12</v>
      </c>
      <c r="Y1066">
        <v>13</v>
      </c>
      <c r="Z1066">
        <v>14</v>
      </c>
      <c r="AA1066">
        <v>19</v>
      </c>
      <c r="AB1066">
        <v>7</v>
      </c>
      <c r="AC1066">
        <v>2</v>
      </c>
      <c r="AD1066">
        <v>3</v>
      </c>
      <c r="AE1066">
        <v>1</v>
      </c>
      <c r="AF1066">
        <v>9</v>
      </c>
      <c r="AG1066">
        <v>21</v>
      </c>
      <c r="AH1066">
        <v>16</v>
      </c>
      <c r="AI1066">
        <v>15</v>
      </c>
      <c r="AJ1066">
        <v>11</v>
      </c>
      <c r="AK1066">
        <v>22</v>
      </c>
      <c r="AL1066">
        <v>23</v>
      </c>
      <c r="AM1066">
        <v>24</v>
      </c>
      <c r="AN1066">
        <v>4</v>
      </c>
      <c r="AO1066">
        <v>18</v>
      </c>
      <c r="AP1066">
        <v>5</v>
      </c>
      <c r="AQ1066">
        <v>20</v>
      </c>
      <c r="AR1066">
        <v>8</v>
      </c>
      <c r="AS1066">
        <v>6</v>
      </c>
    </row>
    <row r="1067" spans="1:45" x14ac:dyDescent="0.25">
      <c r="A1067">
        <v>43</v>
      </c>
      <c r="B1067" t="s">
        <v>395</v>
      </c>
      <c r="E1067" t="s">
        <v>397</v>
      </c>
      <c r="U1067">
        <v>966</v>
      </c>
      <c r="V1067">
        <v>19</v>
      </c>
      <c r="W1067">
        <v>8</v>
      </c>
      <c r="X1067">
        <v>15</v>
      </c>
      <c r="Y1067">
        <v>14</v>
      </c>
      <c r="Z1067">
        <v>16</v>
      </c>
      <c r="AA1067">
        <v>21</v>
      </c>
      <c r="AB1067">
        <v>4</v>
      </c>
      <c r="AC1067">
        <v>2</v>
      </c>
      <c r="AD1067">
        <v>6</v>
      </c>
      <c r="AE1067">
        <v>1</v>
      </c>
      <c r="AF1067">
        <v>7</v>
      </c>
      <c r="AG1067">
        <v>17</v>
      </c>
      <c r="AH1067">
        <v>11</v>
      </c>
      <c r="AI1067">
        <v>13</v>
      </c>
      <c r="AJ1067">
        <v>12</v>
      </c>
      <c r="AK1067">
        <v>22</v>
      </c>
      <c r="AL1067">
        <v>24</v>
      </c>
      <c r="AM1067">
        <v>23</v>
      </c>
      <c r="AN1067">
        <v>3</v>
      </c>
      <c r="AO1067">
        <v>20</v>
      </c>
      <c r="AP1067">
        <v>10</v>
      </c>
      <c r="AQ1067">
        <v>18</v>
      </c>
      <c r="AR1067">
        <v>9</v>
      </c>
      <c r="AS1067">
        <v>5</v>
      </c>
    </row>
    <row r="1068" spans="1:45" x14ac:dyDescent="0.25">
      <c r="A1068">
        <v>43</v>
      </c>
      <c r="B1068" t="s">
        <v>385</v>
      </c>
      <c r="E1068" t="s">
        <v>388</v>
      </c>
      <c r="U1068">
        <v>967</v>
      </c>
      <c r="V1068">
        <v>18</v>
      </c>
      <c r="W1068">
        <v>6</v>
      </c>
      <c r="X1068">
        <v>14</v>
      </c>
      <c r="Y1068">
        <v>11</v>
      </c>
      <c r="Z1068">
        <v>12</v>
      </c>
      <c r="AA1068">
        <v>22</v>
      </c>
      <c r="AB1068">
        <v>10</v>
      </c>
      <c r="AC1068">
        <v>2</v>
      </c>
      <c r="AD1068">
        <v>3</v>
      </c>
      <c r="AE1068">
        <v>1</v>
      </c>
      <c r="AF1068">
        <v>9</v>
      </c>
      <c r="AG1068">
        <v>21</v>
      </c>
      <c r="AH1068">
        <v>13</v>
      </c>
      <c r="AI1068">
        <v>16</v>
      </c>
      <c r="AJ1068">
        <v>15</v>
      </c>
      <c r="AK1068">
        <v>20</v>
      </c>
      <c r="AL1068">
        <v>24</v>
      </c>
      <c r="AM1068">
        <v>23</v>
      </c>
      <c r="AN1068">
        <v>4</v>
      </c>
      <c r="AO1068">
        <v>19</v>
      </c>
      <c r="AP1068">
        <v>5</v>
      </c>
      <c r="AQ1068">
        <v>17</v>
      </c>
      <c r="AR1068">
        <v>8</v>
      </c>
      <c r="AS1068">
        <v>7</v>
      </c>
    </row>
    <row r="1069" spans="1:45" x14ac:dyDescent="0.25">
      <c r="A1069">
        <v>43</v>
      </c>
      <c r="B1069" t="s">
        <v>389</v>
      </c>
      <c r="E1069" t="s">
        <v>381</v>
      </c>
      <c r="U1069">
        <v>968</v>
      </c>
      <c r="V1069">
        <v>13</v>
      </c>
      <c r="W1069">
        <v>9</v>
      </c>
      <c r="X1069">
        <v>7</v>
      </c>
      <c r="Y1069">
        <v>17</v>
      </c>
      <c r="Z1069">
        <v>14</v>
      </c>
      <c r="AA1069">
        <v>22</v>
      </c>
      <c r="AB1069">
        <v>5</v>
      </c>
      <c r="AC1069">
        <v>2</v>
      </c>
      <c r="AD1069">
        <v>4</v>
      </c>
      <c r="AE1069">
        <v>1</v>
      </c>
      <c r="AF1069">
        <v>10</v>
      </c>
      <c r="AG1069">
        <v>16</v>
      </c>
      <c r="AH1069">
        <v>15</v>
      </c>
      <c r="AI1069">
        <v>18</v>
      </c>
      <c r="AJ1069">
        <v>11</v>
      </c>
      <c r="AK1069">
        <v>21</v>
      </c>
      <c r="AL1069">
        <v>24</v>
      </c>
      <c r="AM1069">
        <v>23</v>
      </c>
      <c r="AN1069">
        <v>3</v>
      </c>
      <c r="AO1069">
        <v>20</v>
      </c>
      <c r="AP1069">
        <v>12</v>
      </c>
      <c r="AQ1069">
        <v>19</v>
      </c>
      <c r="AR1069">
        <v>8</v>
      </c>
      <c r="AS1069">
        <v>6</v>
      </c>
    </row>
    <row r="1070" spans="1:45" x14ac:dyDescent="0.25">
      <c r="A1070">
        <v>43</v>
      </c>
      <c r="B1070" t="s">
        <v>378</v>
      </c>
      <c r="E1070" t="s">
        <v>382</v>
      </c>
      <c r="U1070">
        <v>969</v>
      </c>
      <c r="V1070">
        <v>8</v>
      </c>
      <c r="W1070">
        <v>11</v>
      </c>
      <c r="X1070">
        <v>14</v>
      </c>
      <c r="Y1070">
        <v>7</v>
      </c>
      <c r="Z1070">
        <v>16</v>
      </c>
      <c r="AA1070">
        <v>21</v>
      </c>
      <c r="AB1070">
        <v>9</v>
      </c>
      <c r="AC1070">
        <v>2</v>
      </c>
      <c r="AD1070">
        <v>4</v>
      </c>
      <c r="AE1070">
        <v>1</v>
      </c>
      <c r="AF1070">
        <v>5</v>
      </c>
      <c r="AG1070">
        <v>18</v>
      </c>
      <c r="AH1070">
        <v>12</v>
      </c>
      <c r="AI1070">
        <v>17</v>
      </c>
      <c r="AJ1070">
        <v>13</v>
      </c>
      <c r="AK1070">
        <v>22</v>
      </c>
      <c r="AL1070">
        <v>23</v>
      </c>
      <c r="AM1070">
        <v>24</v>
      </c>
      <c r="AN1070">
        <v>3</v>
      </c>
      <c r="AO1070">
        <v>20</v>
      </c>
      <c r="AP1070">
        <v>15</v>
      </c>
      <c r="AQ1070">
        <v>19</v>
      </c>
      <c r="AR1070">
        <v>10</v>
      </c>
      <c r="AS1070">
        <v>6</v>
      </c>
    </row>
    <row r="1071" spans="1:45" x14ac:dyDescent="0.25">
      <c r="A1071">
        <v>43</v>
      </c>
      <c r="B1071" t="s">
        <v>386</v>
      </c>
      <c r="E1071" t="s">
        <v>379</v>
      </c>
      <c r="U1071">
        <v>970</v>
      </c>
      <c r="V1071">
        <v>16</v>
      </c>
      <c r="W1071">
        <v>14</v>
      </c>
      <c r="X1071">
        <v>15</v>
      </c>
      <c r="Y1071">
        <v>7</v>
      </c>
      <c r="Z1071">
        <v>13</v>
      </c>
      <c r="AA1071">
        <v>22</v>
      </c>
      <c r="AB1071">
        <v>4</v>
      </c>
      <c r="AC1071">
        <v>2</v>
      </c>
      <c r="AD1071">
        <v>3</v>
      </c>
      <c r="AE1071">
        <v>1</v>
      </c>
      <c r="AF1071">
        <v>9</v>
      </c>
      <c r="AG1071">
        <v>17</v>
      </c>
      <c r="AH1071">
        <v>12</v>
      </c>
      <c r="AI1071">
        <v>19</v>
      </c>
      <c r="AJ1071">
        <v>10</v>
      </c>
      <c r="AK1071">
        <v>21</v>
      </c>
      <c r="AL1071">
        <v>24</v>
      </c>
      <c r="AM1071">
        <v>23</v>
      </c>
      <c r="AN1071">
        <v>5</v>
      </c>
      <c r="AO1071">
        <v>20</v>
      </c>
      <c r="AP1071">
        <v>11</v>
      </c>
      <c r="AQ1071">
        <v>18</v>
      </c>
      <c r="AR1071">
        <v>8</v>
      </c>
      <c r="AS1071">
        <v>6</v>
      </c>
    </row>
    <row r="1072" spans="1:45" x14ac:dyDescent="0.25">
      <c r="A1072">
        <v>44</v>
      </c>
      <c r="B1072" t="s">
        <v>388</v>
      </c>
      <c r="E1072" t="s">
        <v>386</v>
      </c>
      <c r="U1072">
        <v>971</v>
      </c>
      <c r="V1072">
        <v>16</v>
      </c>
      <c r="W1072">
        <v>12</v>
      </c>
      <c r="X1072">
        <v>17</v>
      </c>
      <c r="Y1072">
        <v>7</v>
      </c>
      <c r="Z1072">
        <v>13</v>
      </c>
      <c r="AA1072">
        <v>23</v>
      </c>
      <c r="AB1072">
        <v>5</v>
      </c>
      <c r="AC1072">
        <v>2</v>
      </c>
      <c r="AD1072">
        <v>3</v>
      </c>
      <c r="AE1072">
        <v>1</v>
      </c>
      <c r="AF1072">
        <v>9</v>
      </c>
      <c r="AG1072">
        <v>15</v>
      </c>
      <c r="AH1072">
        <v>8</v>
      </c>
      <c r="AI1072">
        <v>18</v>
      </c>
      <c r="AJ1072">
        <v>20</v>
      </c>
      <c r="AK1072">
        <v>21</v>
      </c>
      <c r="AL1072">
        <v>24</v>
      </c>
      <c r="AM1072">
        <v>22</v>
      </c>
      <c r="AN1072">
        <v>4</v>
      </c>
      <c r="AO1072">
        <v>19</v>
      </c>
      <c r="AP1072">
        <v>11</v>
      </c>
      <c r="AQ1072">
        <v>14</v>
      </c>
      <c r="AR1072">
        <v>10</v>
      </c>
      <c r="AS1072">
        <v>6</v>
      </c>
    </row>
    <row r="1073" spans="1:45" x14ac:dyDescent="0.25">
      <c r="A1073">
        <v>44</v>
      </c>
      <c r="B1073" t="s">
        <v>394</v>
      </c>
      <c r="E1073" t="s">
        <v>378</v>
      </c>
      <c r="U1073">
        <v>972</v>
      </c>
      <c r="V1073">
        <v>12</v>
      </c>
      <c r="W1073">
        <v>6</v>
      </c>
      <c r="X1073">
        <v>16</v>
      </c>
      <c r="Y1073">
        <v>13</v>
      </c>
      <c r="Z1073">
        <v>11</v>
      </c>
      <c r="AA1073">
        <v>22</v>
      </c>
      <c r="AB1073">
        <v>10</v>
      </c>
      <c r="AC1073">
        <v>2</v>
      </c>
      <c r="AD1073">
        <v>3</v>
      </c>
      <c r="AE1073">
        <v>1</v>
      </c>
      <c r="AF1073">
        <v>14</v>
      </c>
      <c r="AG1073">
        <v>15</v>
      </c>
      <c r="AH1073">
        <v>9</v>
      </c>
      <c r="AI1073">
        <v>17</v>
      </c>
      <c r="AJ1073">
        <v>18</v>
      </c>
      <c r="AK1073">
        <v>19</v>
      </c>
      <c r="AL1073">
        <v>23</v>
      </c>
      <c r="AM1073">
        <v>24</v>
      </c>
      <c r="AN1073">
        <v>4</v>
      </c>
      <c r="AO1073">
        <v>21</v>
      </c>
      <c r="AP1073">
        <v>7</v>
      </c>
      <c r="AQ1073">
        <v>20</v>
      </c>
      <c r="AR1073">
        <v>5</v>
      </c>
      <c r="AS1073">
        <v>8</v>
      </c>
    </row>
    <row r="1074" spans="1:45" x14ac:dyDescent="0.25">
      <c r="A1074">
        <v>44</v>
      </c>
      <c r="B1074" t="s">
        <v>393</v>
      </c>
      <c r="E1074" t="s">
        <v>392</v>
      </c>
      <c r="U1074">
        <v>973</v>
      </c>
      <c r="V1074">
        <v>18</v>
      </c>
      <c r="W1074">
        <v>7</v>
      </c>
      <c r="X1074">
        <v>12</v>
      </c>
      <c r="Y1074">
        <v>13</v>
      </c>
      <c r="Z1074">
        <v>10</v>
      </c>
      <c r="AA1074">
        <v>22</v>
      </c>
      <c r="AB1074">
        <v>4</v>
      </c>
      <c r="AC1074">
        <v>2</v>
      </c>
      <c r="AD1074">
        <v>3</v>
      </c>
      <c r="AE1074">
        <v>1</v>
      </c>
      <c r="AF1074">
        <v>11</v>
      </c>
      <c r="AG1074">
        <v>21</v>
      </c>
      <c r="AH1074">
        <v>15</v>
      </c>
      <c r="AI1074">
        <v>14</v>
      </c>
      <c r="AJ1074">
        <v>16</v>
      </c>
      <c r="AK1074">
        <v>20</v>
      </c>
      <c r="AL1074">
        <v>23</v>
      </c>
      <c r="AM1074">
        <v>24</v>
      </c>
      <c r="AN1074">
        <v>5</v>
      </c>
      <c r="AO1074">
        <v>19</v>
      </c>
      <c r="AP1074">
        <v>9</v>
      </c>
      <c r="AQ1074">
        <v>17</v>
      </c>
      <c r="AR1074">
        <v>8</v>
      </c>
      <c r="AS1074">
        <v>6</v>
      </c>
    </row>
    <row r="1075" spans="1:45" x14ac:dyDescent="0.25">
      <c r="A1075">
        <v>44</v>
      </c>
      <c r="B1075" t="s">
        <v>398</v>
      </c>
      <c r="E1075" t="s">
        <v>389</v>
      </c>
      <c r="U1075">
        <v>974</v>
      </c>
      <c r="V1075">
        <v>16</v>
      </c>
      <c r="W1075">
        <v>8</v>
      </c>
      <c r="X1075">
        <v>15</v>
      </c>
      <c r="Y1075">
        <v>9</v>
      </c>
      <c r="Z1075">
        <v>11</v>
      </c>
      <c r="AA1075">
        <v>22</v>
      </c>
      <c r="AB1075">
        <v>4</v>
      </c>
      <c r="AC1075">
        <v>2</v>
      </c>
      <c r="AD1075">
        <v>5</v>
      </c>
      <c r="AE1075">
        <v>1</v>
      </c>
      <c r="AF1075">
        <v>14</v>
      </c>
      <c r="AG1075">
        <v>19</v>
      </c>
      <c r="AH1075">
        <v>6</v>
      </c>
      <c r="AI1075">
        <v>17</v>
      </c>
      <c r="AJ1075">
        <v>13</v>
      </c>
      <c r="AK1075">
        <v>21</v>
      </c>
      <c r="AL1075">
        <v>24</v>
      </c>
      <c r="AM1075">
        <v>23</v>
      </c>
      <c r="AN1075">
        <v>3</v>
      </c>
      <c r="AO1075">
        <v>20</v>
      </c>
      <c r="AP1075">
        <v>12</v>
      </c>
      <c r="AQ1075">
        <v>18</v>
      </c>
      <c r="AR1075">
        <v>7</v>
      </c>
      <c r="AS1075">
        <v>10</v>
      </c>
    </row>
    <row r="1076" spans="1:45" x14ac:dyDescent="0.25">
      <c r="A1076">
        <v>44</v>
      </c>
      <c r="B1076" t="s">
        <v>383</v>
      </c>
      <c r="E1076" t="s">
        <v>399</v>
      </c>
      <c r="U1076">
        <v>975</v>
      </c>
      <c r="V1076">
        <v>18</v>
      </c>
      <c r="W1076">
        <v>9</v>
      </c>
      <c r="X1076">
        <v>13</v>
      </c>
      <c r="Y1076">
        <v>10</v>
      </c>
      <c r="Z1076">
        <v>17</v>
      </c>
      <c r="AA1076">
        <v>20</v>
      </c>
      <c r="AB1076">
        <v>6</v>
      </c>
      <c r="AC1076">
        <v>2</v>
      </c>
      <c r="AD1076">
        <v>3</v>
      </c>
      <c r="AE1076">
        <v>1</v>
      </c>
      <c r="AF1076">
        <v>11</v>
      </c>
      <c r="AG1076">
        <v>12</v>
      </c>
      <c r="AH1076">
        <v>14</v>
      </c>
      <c r="AI1076">
        <v>15</v>
      </c>
      <c r="AJ1076">
        <v>16</v>
      </c>
      <c r="AK1076">
        <v>22</v>
      </c>
      <c r="AL1076">
        <v>24</v>
      </c>
      <c r="AM1076">
        <v>23</v>
      </c>
      <c r="AN1076">
        <v>4</v>
      </c>
      <c r="AO1076">
        <v>21</v>
      </c>
      <c r="AP1076">
        <v>5</v>
      </c>
      <c r="AQ1076">
        <v>19</v>
      </c>
      <c r="AR1076">
        <v>8</v>
      </c>
      <c r="AS1076">
        <v>7</v>
      </c>
    </row>
    <row r="1077" spans="1:45" x14ac:dyDescent="0.25">
      <c r="A1077">
        <v>44</v>
      </c>
      <c r="B1077" t="s">
        <v>381</v>
      </c>
      <c r="E1077" t="s">
        <v>396</v>
      </c>
      <c r="U1077">
        <v>976</v>
      </c>
      <c r="V1077">
        <v>10</v>
      </c>
      <c r="W1077">
        <v>16</v>
      </c>
      <c r="X1077">
        <v>13</v>
      </c>
      <c r="Y1077">
        <v>12</v>
      </c>
      <c r="Z1077">
        <v>19</v>
      </c>
      <c r="AA1077">
        <v>21</v>
      </c>
      <c r="AB1077">
        <v>8</v>
      </c>
      <c r="AC1077">
        <v>2</v>
      </c>
      <c r="AD1077">
        <v>3</v>
      </c>
      <c r="AE1077">
        <v>1</v>
      </c>
      <c r="AF1077">
        <v>9</v>
      </c>
      <c r="AG1077">
        <v>14</v>
      </c>
      <c r="AH1077">
        <v>7</v>
      </c>
      <c r="AI1077">
        <v>15</v>
      </c>
      <c r="AJ1077">
        <v>17</v>
      </c>
      <c r="AK1077">
        <v>22</v>
      </c>
      <c r="AL1077">
        <v>24</v>
      </c>
      <c r="AM1077">
        <v>23</v>
      </c>
      <c r="AN1077">
        <v>4</v>
      </c>
      <c r="AO1077">
        <v>20</v>
      </c>
      <c r="AP1077">
        <v>6</v>
      </c>
      <c r="AQ1077">
        <v>18</v>
      </c>
      <c r="AR1077">
        <v>11</v>
      </c>
      <c r="AS1077">
        <v>5</v>
      </c>
    </row>
    <row r="1078" spans="1:45" x14ac:dyDescent="0.25">
      <c r="A1078">
        <v>44</v>
      </c>
      <c r="B1078" t="s">
        <v>397</v>
      </c>
      <c r="E1078" t="s">
        <v>391</v>
      </c>
      <c r="U1078">
        <v>977</v>
      </c>
      <c r="V1078">
        <v>10</v>
      </c>
      <c r="W1078">
        <v>6</v>
      </c>
      <c r="X1078">
        <v>16</v>
      </c>
      <c r="Y1078">
        <v>11</v>
      </c>
      <c r="Z1078">
        <v>14</v>
      </c>
      <c r="AA1078">
        <v>22</v>
      </c>
      <c r="AB1078">
        <v>5</v>
      </c>
      <c r="AC1078">
        <v>2</v>
      </c>
      <c r="AD1078">
        <v>4</v>
      </c>
      <c r="AE1078">
        <v>1</v>
      </c>
      <c r="AF1078">
        <v>9</v>
      </c>
      <c r="AG1078">
        <v>20</v>
      </c>
      <c r="AH1078">
        <v>13</v>
      </c>
      <c r="AI1078">
        <v>15</v>
      </c>
      <c r="AJ1078">
        <v>17</v>
      </c>
      <c r="AK1078">
        <v>21</v>
      </c>
      <c r="AL1078">
        <v>24</v>
      </c>
      <c r="AM1078">
        <v>23</v>
      </c>
      <c r="AN1078">
        <v>3</v>
      </c>
      <c r="AO1078">
        <v>18</v>
      </c>
      <c r="AP1078">
        <v>12</v>
      </c>
      <c r="AQ1078">
        <v>19</v>
      </c>
      <c r="AR1078">
        <v>8</v>
      </c>
      <c r="AS1078">
        <v>7</v>
      </c>
    </row>
    <row r="1079" spans="1:45" x14ac:dyDescent="0.25">
      <c r="A1079">
        <v>44</v>
      </c>
      <c r="B1079" t="s">
        <v>382</v>
      </c>
      <c r="E1079" t="s">
        <v>385</v>
      </c>
      <c r="U1079">
        <v>978</v>
      </c>
      <c r="V1079">
        <v>15</v>
      </c>
      <c r="W1079">
        <v>8</v>
      </c>
      <c r="X1079">
        <v>13</v>
      </c>
      <c r="Y1079">
        <v>17</v>
      </c>
      <c r="Z1079">
        <v>14</v>
      </c>
      <c r="AA1079">
        <v>20</v>
      </c>
      <c r="AB1079">
        <v>11</v>
      </c>
      <c r="AC1079">
        <v>2</v>
      </c>
      <c r="AD1079">
        <v>5</v>
      </c>
      <c r="AE1079">
        <v>1</v>
      </c>
      <c r="AF1079">
        <v>18</v>
      </c>
      <c r="AG1079">
        <v>19</v>
      </c>
      <c r="AH1079">
        <v>9</v>
      </c>
      <c r="AI1079">
        <v>16</v>
      </c>
      <c r="AJ1079">
        <v>12</v>
      </c>
      <c r="AK1079">
        <v>22</v>
      </c>
      <c r="AL1079">
        <v>24</v>
      </c>
      <c r="AM1079">
        <v>23</v>
      </c>
      <c r="AN1079">
        <v>4</v>
      </c>
      <c r="AO1079">
        <v>21</v>
      </c>
      <c r="AP1079">
        <v>6</v>
      </c>
      <c r="AQ1079">
        <v>7</v>
      </c>
      <c r="AR1079">
        <v>10</v>
      </c>
      <c r="AS1079">
        <v>3</v>
      </c>
    </row>
    <row r="1080" spans="1:45" x14ac:dyDescent="0.25">
      <c r="A1080">
        <v>44</v>
      </c>
      <c r="B1080" t="s">
        <v>379</v>
      </c>
      <c r="E1080" t="s">
        <v>395</v>
      </c>
      <c r="U1080">
        <v>979</v>
      </c>
      <c r="V1080">
        <v>15</v>
      </c>
      <c r="W1080">
        <v>9</v>
      </c>
      <c r="X1080">
        <v>14</v>
      </c>
      <c r="Y1080">
        <v>13</v>
      </c>
      <c r="Z1080">
        <v>16</v>
      </c>
      <c r="AA1080">
        <v>21</v>
      </c>
      <c r="AB1080">
        <v>5</v>
      </c>
      <c r="AC1080">
        <v>2</v>
      </c>
      <c r="AD1080">
        <v>3</v>
      </c>
      <c r="AE1080">
        <v>1</v>
      </c>
      <c r="AF1080">
        <v>10</v>
      </c>
      <c r="AG1080">
        <v>19</v>
      </c>
      <c r="AH1080">
        <v>11</v>
      </c>
      <c r="AI1080">
        <v>12</v>
      </c>
      <c r="AJ1080">
        <v>18</v>
      </c>
      <c r="AK1080">
        <v>22</v>
      </c>
      <c r="AL1080">
        <v>24</v>
      </c>
      <c r="AM1080">
        <v>23</v>
      </c>
      <c r="AN1080">
        <v>4</v>
      </c>
      <c r="AO1080">
        <v>20</v>
      </c>
      <c r="AP1080">
        <v>8</v>
      </c>
      <c r="AQ1080">
        <v>17</v>
      </c>
      <c r="AR1080">
        <v>7</v>
      </c>
      <c r="AS1080">
        <v>6</v>
      </c>
    </row>
    <row r="1081" spans="1:45" x14ac:dyDescent="0.25">
      <c r="A1081">
        <v>44</v>
      </c>
      <c r="B1081" t="s">
        <v>400</v>
      </c>
      <c r="E1081" t="s">
        <v>384</v>
      </c>
      <c r="U1081">
        <v>980</v>
      </c>
      <c r="V1081">
        <v>18</v>
      </c>
      <c r="W1081">
        <v>7</v>
      </c>
      <c r="X1081">
        <v>16</v>
      </c>
      <c r="Y1081">
        <v>14</v>
      </c>
      <c r="Z1081">
        <v>10</v>
      </c>
      <c r="AA1081">
        <v>21</v>
      </c>
      <c r="AB1081">
        <v>4</v>
      </c>
      <c r="AC1081">
        <v>2</v>
      </c>
      <c r="AD1081">
        <v>3</v>
      </c>
      <c r="AE1081">
        <v>1</v>
      </c>
      <c r="AF1081">
        <v>11</v>
      </c>
      <c r="AG1081">
        <v>20</v>
      </c>
      <c r="AH1081">
        <v>12</v>
      </c>
      <c r="AI1081">
        <v>15</v>
      </c>
      <c r="AJ1081">
        <v>8</v>
      </c>
      <c r="AK1081">
        <v>17</v>
      </c>
      <c r="AL1081">
        <v>24</v>
      </c>
      <c r="AM1081">
        <v>23</v>
      </c>
      <c r="AN1081">
        <v>5</v>
      </c>
      <c r="AO1081">
        <v>22</v>
      </c>
      <c r="AP1081">
        <v>13</v>
      </c>
      <c r="AQ1081">
        <v>19</v>
      </c>
      <c r="AR1081">
        <v>9</v>
      </c>
      <c r="AS1081">
        <v>6</v>
      </c>
    </row>
    <row r="1082" spans="1:45" x14ac:dyDescent="0.25">
      <c r="A1082">
        <v>44</v>
      </c>
      <c r="B1082" t="s">
        <v>387</v>
      </c>
      <c r="E1082" t="s">
        <v>401</v>
      </c>
      <c r="U1082">
        <v>981</v>
      </c>
      <c r="V1082">
        <v>18</v>
      </c>
      <c r="W1082">
        <v>16</v>
      </c>
      <c r="X1082">
        <v>14</v>
      </c>
      <c r="Y1082">
        <v>8</v>
      </c>
      <c r="Z1082">
        <v>17</v>
      </c>
      <c r="AA1082">
        <v>19</v>
      </c>
      <c r="AB1082">
        <v>4</v>
      </c>
      <c r="AC1082">
        <v>2</v>
      </c>
      <c r="AD1082">
        <v>3</v>
      </c>
      <c r="AE1082">
        <v>1</v>
      </c>
      <c r="AF1082">
        <v>11</v>
      </c>
      <c r="AG1082">
        <v>15</v>
      </c>
      <c r="AH1082">
        <v>12</v>
      </c>
      <c r="AI1082">
        <v>20</v>
      </c>
      <c r="AJ1082">
        <v>13</v>
      </c>
      <c r="AK1082">
        <v>22</v>
      </c>
      <c r="AL1082">
        <v>23</v>
      </c>
      <c r="AM1082">
        <v>24</v>
      </c>
      <c r="AN1082">
        <v>5</v>
      </c>
      <c r="AO1082">
        <v>21</v>
      </c>
      <c r="AP1082">
        <v>10</v>
      </c>
      <c r="AQ1082">
        <v>9</v>
      </c>
      <c r="AR1082">
        <v>7</v>
      </c>
      <c r="AS1082">
        <v>6</v>
      </c>
    </row>
    <row r="1083" spans="1:45" x14ac:dyDescent="0.25">
      <c r="A1083">
        <v>44</v>
      </c>
      <c r="B1083" t="s">
        <v>390</v>
      </c>
      <c r="E1083" t="s">
        <v>380</v>
      </c>
      <c r="U1083">
        <v>982</v>
      </c>
      <c r="V1083">
        <v>21</v>
      </c>
      <c r="W1083">
        <v>11</v>
      </c>
      <c r="X1083">
        <v>14</v>
      </c>
      <c r="Y1083">
        <v>10</v>
      </c>
      <c r="Z1083">
        <v>16</v>
      </c>
      <c r="AA1083">
        <v>19</v>
      </c>
      <c r="AB1083">
        <v>5</v>
      </c>
      <c r="AC1083">
        <v>3</v>
      </c>
      <c r="AD1083">
        <v>2</v>
      </c>
      <c r="AE1083">
        <v>1</v>
      </c>
      <c r="AF1083">
        <v>6</v>
      </c>
      <c r="AG1083">
        <v>20</v>
      </c>
      <c r="AH1083">
        <v>12</v>
      </c>
      <c r="AI1083">
        <v>15</v>
      </c>
      <c r="AJ1083">
        <v>9</v>
      </c>
      <c r="AK1083">
        <v>23</v>
      </c>
      <c r="AL1083">
        <v>24</v>
      </c>
      <c r="AM1083">
        <v>22</v>
      </c>
      <c r="AN1083">
        <v>4</v>
      </c>
      <c r="AO1083">
        <v>17</v>
      </c>
      <c r="AP1083">
        <v>13</v>
      </c>
      <c r="AQ1083">
        <v>18</v>
      </c>
      <c r="AR1083">
        <v>7</v>
      </c>
      <c r="AS1083">
        <v>8</v>
      </c>
    </row>
    <row r="1084" spans="1:45" x14ac:dyDescent="0.25">
      <c r="A1084">
        <v>45</v>
      </c>
      <c r="B1084" t="s">
        <v>395</v>
      </c>
      <c r="E1084" t="s">
        <v>401</v>
      </c>
      <c r="U1084">
        <v>983</v>
      </c>
      <c r="V1084">
        <v>16</v>
      </c>
      <c r="W1084">
        <v>13</v>
      </c>
      <c r="X1084">
        <v>11</v>
      </c>
      <c r="Y1084">
        <v>9</v>
      </c>
      <c r="Z1084">
        <v>20</v>
      </c>
      <c r="AA1084">
        <v>19</v>
      </c>
      <c r="AB1084">
        <v>4</v>
      </c>
      <c r="AC1084">
        <v>2</v>
      </c>
      <c r="AD1084">
        <v>3</v>
      </c>
      <c r="AE1084">
        <v>1</v>
      </c>
      <c r="AF1084">
        <v>12</v>
      </c>
      <c r="AG1084">
        <v>18</v>
      </c>
      <c r="AH1084">
        <v>8</v>
      </c>
      <c r="AI1084">
        <v>17</v>
      </c>
      <c r="AJ1084">
        <v>14</v>
      </c>
      <c r="AK1084">
        <v>22</v>
      </c>
      <c r="AL1084">
        <v>24</v>
      </c>
      <c r="AM1084">
        <v>23</v>
      </c>
      <c r="AN1084">
        <v>5</v>
      </c>
      <c r="AO1084">
        <v>21</v>
      </c>
      <c r="AP1084">
        <v>7</v>
      </c>
      <c r="AQ1084">
        <v>15</v>
      </c>
      <c r="AR1084">
        <v>10</v>
      </c>
      <c r="AS1084">
        <v>6</v>
      </c>
    </row>
    <row r="1085" spans="1:45" x14ac:dyDescent="0.25">
      <c r="A1085">
        <v>45</v>
      </c>
      <c r="B1085" t="s">
        <v>379</v>
      </c>
      <c r="E1085" t="s">
        <v>382</v>
      </c>
      <c r="U1085">
        <v>984</v>
      </c>
      <c r="V1085">
        <v>19</v>
      </c>
      <c r="W1085">
        <v>6</v>
      </c>
      <c r="X1085">
        <v>14</v>
      </c>
      <c r="Y1085">
        <v>15</v>
      </c>
      <c r="Z1085">
        <v>11</v>
      </c>
      <c r="AA1085">
        <v>22</v>
      </c>
      <c r="AB1085">
        <v>7</v>
      </c>
      <c r="AC1085">
        <v>2</v>
      </c>
      <c r="AD1085">
        <v>3</v>
      </c>
      <c r="AE1085">
        <v>1</v>
      </c>
      <c r="AF1085">
        <v>10</v>
      </c>
      <c r="AG1085">
        <v>20</v>
      </c>
      <c r="AH1085">
        <v>9</v>
      </c>
      <c r="AI1085">
        <v>18</v>
      </c>
      <c r="AJ1085">
        <v>13</v>
      </c>
      <c r="AK1085">
        <v>21</v>
      </c>
      <c r="AL1085">
        <v>24</v>
      </c>
      <c r="AM1085">
        <v>23</v>
      </c>
      <c r="AN1085">
        <v>4</v>
      </c>
      <c r="AO1085">
        <v>17</v>
      </c>
      <c r="AP1085">
        <v>12</v>
      </c>
      <c r="AQ1085">
        <v>16</v>
      </c>
      <c r="AR1085">
        <v>8</v>
      </c>
      <c r="AS1085">
        <v>5</v>
      </c>
    </row>
    <row r="1086" spans="1:45" x14ac:dyDescent="0.25">
      <c r="A1086">
        <v>45</v>
      </c>
      <c r="B1086" t="s">
        <v>389</v>
      </c>
      <c r="E1086" t="s">
        <v>391</v>
      </c>
      <c r="U1086">
        <v>985</v>
      </c>
      <c r="V1086">
        <v>19</v>
      </c>
      <c r="W1086">
        <v>11</v>
      </c>
      <c r="X1086">
        <v>16</v>
      </c>
      <c r="Y1086">
        <v>14</v>
      </c>
      <c r="Z1086">
        <v>13</v>
      </c>
      <c r="AA1086">
        <v>21</v>
      </c>
      <c r="AB1086">
        <v>5</v>
      </c>
      <c r="AC1086">
        <v>2</v>
      </c>
      <c r="AD1086">
        <v>3</v>
      </c>
      <c r="AE1086">
        <v>1</v>
      </c>
      <c r="AF1086">
        <v>8</v>
      </c>
      <c r="AG1086">
        <v>9</v>
      </c>
      <c r="AH1086">
        <v>10</v>
      </c>
      <c r="AI1086">
        <v>12</v>
      </c>
      <c r="AJ1086">
        <v>18</v>
      </c>
      <c r="AK1086">
        <v>22</v>
      </c>
      <c r="AL1086">
        <v>24</v>
      </c>
      <c r="AM1086">
        <v>23</v>
      </c>
      <c r="AN1086">
        <v>4</v>
      </c>
      <c r="AO1086">
        <v>20</v>
      </c>
      <c r="AP1086">
        <v>15</v>
      </c>
      <c r="AQ1086">
        <v>17</v>
      </c>
      <c r="AR1086">
        <v>6</v>
      </c>
      <c r="AS1086">
        <v>7</v>
      </c>
    </row>
    <row r="1087" spans="1:45" x14ac:dyDescent="0.25">
      <c r="A1087">
        <v>45</v>
      </c>
      <c r="B1087" t="s">
        <v>400</v>
      </c>
      <c r="E1087" t="s">
        <v>398</v>
      </c>
      <c r="U1087">
        <v>986</v>
      </c>
      <c r="V1087">
        <v>11</v>
      </c>
      <c r="W1087">
        <v>8</v>
      </c>
      <c r="X1087">
        <v>17</v>
      </c>
      <c r="Y1087">
        <v>12</v>
      </c>
      <c r="Z1087">
        <v>13</v>
      </c>
      <c r="AA1087">
        <v>20</v>
      </c>
      <c r="AB1087">
        <v>7</v>
      </c>
      <c r="AC1087">
        <v>2</v>
      </c>
      <c r="AD1087">
        <v>3</v>
      </c>
      <c r="AE1087">
        <v>1</v>
      </c>
      <c r="AF1087">
        <v>16</v>
      </c>
      <c r="AG1087">
        <v>19</v>
      </c>
      <c r="AH1087">
        <v>5</v>
      </c>
      <c r="AI1087">
        <v>14</v>
      </c>
      <c r="AJ1087">
        <v>18</v>
      </c>
      <c r="AK1087">
        <v>23</v>
      </c>
      <c r="AL1087">
        <v>21</v>
      </c>
      <c r="AM1087">
        <v>22</v>
      </c>
      <c r="AN1087">
        <v>4</v>
      </c>
      <c r="AO1087">
        <v>24</v>
      </c>
      <c r="AP1087">
        <v>9</v>
      </c>
      <c r="AQ1087">
        <v>15</v>
      </c>
      <c r="AR1087">
        <v>10</v>
      </c>
      <c r="AS1087">
        <v>6</v>
      </c>
    </row>
    <row r="1088" spans="1:45" x14ac:dyDescent="0.25">
      <c r="A1088">
        <v>45</v>
      </c>
      <c r="B1088" t="s">
        <v>390</v>
      </c>
      <c r="E1088" t="s">
        <v>399</v>
      </c>
      <c r="U1088">
        <v>987</v>
      </c>
      <c r="V1088">
        <v>17</v>
      </c>
      <c r="W1088">
        <v>9</v>
      </c>
      <c r="X1088">
        <v>16</v>
      </c>
      <c r="Y1088">
        <v>19</v>
      </c>
      <c r="Z1088">
        <v>12</v>
      </c>
      <c r="AA1088">
        <v>22</v>
      </c>
      <c r="AB1088">
        <v>6</v>
      </c>
      <c r="AC1088">
        <v>2</v>
      </c>
      <c r="AD1088">
        <v>3</v>
      </c>
      <c r="AE1088">
        <v>1</v>
      </c>
      <c r="AF1088">
        <v>13</v>
      </c>
      <c r="AG1088">
        <v>20</v>
      </c>
      <c r="AH1088">
        <v>8</v>
      </c>
      <c r="AI1088">
        <v>14</v>
      </c>
      <c r="AJ1088">
        <v>7</v>
      </c>
      <c r="AK1088">
        <v>21</v>
      </c>
      <c r="AL1088">
        <v>24</v>
      </c>
      <c r="AM1088">
        <v>23</v>
      </c>
      <c r="AN1088">
        <v>4</v>
      </c>
      <c r="AO1088">
        <v>18</v>
      </c>
      <c r="AP1088">
        <v>10</v>
      </c>
      <c r="AQ1088">
        <v>15</v>
      </c>
      <c r="AR1088">
        <v>5</v>
      </c>
      <c r="AS1088">
        <v>11</v>
      </c>
    </row>
    <row r="1089" spans="1:45" x14ac:dyDescent="0.25">
      <c r="A1089">
        <v>45</v>
      </c>
      <c r="B1089" t="s">
        <v>380</v>
      </c>
      <c r="E1089" t="s">
        <v>394</v>
      </c>
      <c r="U1089">
        <v>988</v>
      </c>
      <c r="V1089">
        <v>20</v>
      </c>
      <c r="W1089">
        <v>8</v>
      </c>
      <c r="X1089">
        <v>7</v>
      </c>
      <c r="Y1089">
        <v>12</v>
      </c>
      <c r="Z1089">
        <v>9</v>
      </c>
      <c r="AA1089">
        <v>21</v>
      </c>
      <c r="AB1089">
        <v>6</v>
      </c>
      <c r="AC1089">
        <v>2</v>
      </c>
      <c r="AD1089">
        <v>4</v>
      </c>
      <c r="AE1089">
        <v>1</v>
      </c>
      <c r="AF1089">
        <v>10</v>
      </c>
      <c r="AG1089">
        <v>17</v>
      </c>
      <c r="AH1089">
        <v>13</v>
      </c>
      <c r="AI1089">
        <v>16</v>
      </c>
      <c r="AJ1089">
        <v>18</v>
      </c>
      <c r="AK1089">
        <v>22</v>
      </c>
      <c r="AL1089">
        <v>24</v>
      </c>
      <c r="AM1089">
        <v>23</v>
      </c>
      <c r="AN1089">
        <v>3</v>
      </c>
      <c r="AO1089">
        <v>19</v>
      </c>
      <c r="AP1089">
        <v>5</v>
      </c>
      <c r="AQ1089">
        <v>14</v>
      </c>
      <c r="AR1089">
        <v>15</v>
      </c>
      <c r="AS1089">
        <v>11</v>
      </c>
    </row>
    <row r="1090" spans="1:45" x14ac:dyDescent="0.25">
      <c r="A1090">
        <v>45</v>
      </c>
      <c r="B1090" t="s">
        <v>384</v>
      </c>
      <c r="E1090" t="s">
        <v>385</v>
      </c>
      <c r="U1090">
        <v>989</v>
      </c>
      <c r="V1090">
        <v>15</v>
      </c>
      <c r="W1090">
        <v>10</v>
      </c>
      <c r="X1090">
        <v>12</v>
      </c>
      <c r="Y1090">
        <v>13</v>
      </c>
      <c r="Z1090">
        <v>11</v>
      </c>
      <c r="AA1090">
        <v>21</v>
      </c>
      <c r="AB1090">
        <v>5</v>
      </c>
      <c r="AC1090">
        <v>2</v>
      </c>
      <c r="AD1090">
        <v>3</v>
      </c>
      <c r="AE1090">
        <v>1</v>
      </c>
      <c r="AF1090">
        <v>8</v>
      </c>
      <c r="AG1090">
        <v>14</v>
      </c>
      <c r="AH1090">
        <v>17</v>
      </c>
      <c r="AI1090">
        <v>9</v>
      </c>
      <c r="AJ1090">
        <v>16</v>
      </c>
      <c r="AK1090">
        <v>22</v>
      </c>
      <c r="AL1090">
        <v>24</v>
      </c>
      <c r="AM1090">
        <v>23</v>
      </c>
      <c r="AN1090">
        <v>4</v>
      </c>
      <c r="AO1090">
        <v>20</v>
      </c>
      <c r="AP1090">
        <v>18</v>
      </c>
      <c r="AQ1090">
        <v>19</v>
      </c>
      <c r="AR1090">
        <v>7</v>
      </c>
      <c r="AS1090">
        <v>6</v>
      </c>
    </row>
    <row r="1091" spans="1:45" x14ac:dyDescent="0.25">
      <c r="A1091">
        <v>45</v>
      </c>
      <c r="B1091" t="s">
        <v>396</v>
      </c>
      <c r="E1091" t="s">
        <v>397</v>
      </c>
      <c r="U1091">
        <v>990</v>
      </c>
      <c r="V1091">
        <v>17</v>
      </c>
      <c r="W1091">
        <v>9</v>
      </c>
      <c r="X1091">
        <v>12</v>
      </c>
      <c r="Y1091">
        <v>10</v>
      </c>
      <c r="Z1091">
        <v>14</v>
      </c>
      <c r="AA1091">
        <v>22</v>
      </c>
      <c r="AB1091">
        <v>6</v>
      </c>
      <c r="AC1091">
        <v>2</v>
      </c>
      <c r="AD1091">
        <v>3</v>
      </c>
      <c r="AE1091">
        <v>1</v>
      </c>
      <c r="AF1091">
        <v>11</v>
      </c>
      <c r="AG1091">
        <v>20</v>
      </c>
      <c r="AH1091">
        <v>13</v>
      </c>
      <c r="AI1091">
        <v>18</v>
      </c>
      <c r="AJ1091">
        <v>15</v>
      </c>
      <c r="AK1091">
        <v>21</v>
      </c>
      <c r="AL1091">
        <v>24</v>
      </c>
      <c r="AM1091">
        <v>23</v>
      </c>
      <c r="AN1091">
        <v>4</v>
      </c>
      <c r="AO1091">
        <v>19</v>
      </c>
      <c r="AP1091">
        <v>8</v>
      </c>
      <c r="AQ1091">
        <v>16</v>
      </c>
      <c r="AR1091">
        <v>7</v>
      </c>
      <c r="AS1091">
        <v>5</v>
      </c>
    </row>
    <row r="1092" spans="1:45" x14ac:dyDescent="0.25">
      <c r="A1092">
        <v>45</v>
      </c>
      <c r="B1092" t="s">
        <v>393</v>
      </c>
      <c r="E1092" t="s">
        <v>386</v>
      </c>
      <c r="U1092">
        <v>991</v>
      </c>
      <c r="V1092">
        <v>18</v>
      </c>
      <c r="W1092">
        <v>16</v>
      </c>
      <c r="X1092">
        <v>10</v>
      </c>
      <c r="Y1092">
        <v>13</v>
      </c>
      <c r="Z1092">
        <v>14</v>
      </c>
      <c r="AA1092">
        <v>22</v>
      </c>
      <c r="AB1092">
        <v>3</v>
      </c>
      <c r="AC1092">
        <v>2</v>
      </c>
      <c r="AD1092">
        <v>4</v>
      </c>
      <c r="AE1092">
        <v>1</v>
      </c>
      <c r="AF1092">
        <v>8</v>
      </c>
      <c r="AG1092">
        <v>19</v>
      </c>
      <c r="AH1092">
        <v>15</v>
      </c>
      <c r="AI1092">
        <v>12</v>
      </c>
      <c r="AJ1092">
        <v>9</v>
      </c>
      <c r="AK1092">
        <v>20</v>
      </c>
      <c r="AL1092">
        <v>24</v>
      </c>
      <c r="AM1092">
        <v>23</v>
      </c>
      <c r="AN1092">
        <v>5</v>
      </c>
      <c r="AO1092">
        <v>21</v>
      </c>
      <c r="AP1092">
        <v>11</v>
      </c>
      <c r="AQ1092">
        <v>17</v>
      </c>
      <c r="AR1092">
        <v>7</v>
      </c>
      <c r="AS1092">
        <v>6</v>
      </c>
    </row>
    <row r="1093" spans="1:45" x14ac:dyDescent="0.25">
      <c r="A1093">
        <v>45</v>
      </c>
      <c r="B1093" t="s">
        <v>383</v>
      </c>
      <c r="E1093" t="s">
        <v>378</v>
      </c>
      <c r="U1093">
        <v>992</v>
      </c>
      <c r="V1093">
        <v>15</v>
      </c>
      <c r="W1093">
        <v>12</v>
      </c>
      <c r="X1093">
        <v>16</v>
      </c>
      <c r="Y1093">
        <v>8</v>
      </c>
      <c r="Z1093">
        <v>13</v>
      </c>
      <c r="AA1093">
        <v>21</v>
      </c>
      <c r="AB1093">
        <v>6</v>
      </c>
      <c r="AC1093">
        <v>2</v>
      </c>
      <c r="AD1093">
        <v>3</v>
      </c>
      <c r="AE1093">
        <v>1</v>
      </c>
      <c r="AF1093">
        <v>11</v>
      </c>
      <c r="AG1093">
        <v>19</v>
      </c>
      <c r="AH1093">
        <v>14</v>
      </c>
      <c r="AI1093">
        <v>10</v>
      </c>
      <c r="AJ1093">
        <v>18</v>
      </c>
      <c r="AK1093">
        <v>22</v>
      </c>
      <c r="AL1093">
        <v>24</v>
      </c>
      <c r="AM1093">
        <v>23</v>
      </c>
      <c r="AN1093">
        <v>4</v>
      </c>
      <c r="AO1093">
        <v>20</v>
      </c>
      <c r="AP1093">
        <v>5</v>
      </c>
      <c r="AQ1093">
        <v>17</v>
      </c>
      <c r="AR1093">
        <v>9</v>
      </c>
      <c r="AS1093">
        <v>7</v>
      </c>
    </row>
    <row r="1094" spans="1:45" x14ac:dyDescent="0.25">
      <c r="A1094">
        <v>45</v>
      </c>
      <c r="B1094" t="s">
        <v>381</v>
      </c>
      <c r="E1094" t="s">
        <v>388</v>
      </c>
      <c r="U1094">
        <v>993</v>
      </c>
      <c r="V1094">
        <v>18</v>
      </c>
      <c r="W1094">
        <v>19</v>
      </c>
      <c r="X1094">
        <v>17</v>
      </c>
      <c r="Y1094">
        <v>14</v>
      </c>
      <c r="Z1094">
        <v>10</v>
      </c>
      <c r="AA1094">
        <v>21</v>
      </c>
      <c r="AB1094">
        <v>6</v>
      </c>
      <c r="AC1094">
        <v>2</v>
      </c>
      <c r="AD1094">
        <v>4</v>
      </c>
      <c r="AE1094">
        <v>1</v>
      </c>
      <c r="AF1094">
        <v>9</v>
      </c>
      <c r="AG1094">
        <v>22</v>
      </c>
      <c r="AH1094">
        <v>11</v>
      </c>
      <c r="AI1094">
        <v>13</v>
      </c>
      <c r="AJ1094">
        <v>12</v>
      </c>
      <c r="AK1094">
        <v>20</v>
      </c>
      <c r="AL1094">
        <v>24</v>
      </c>
      <c r="AM1094">
        <v>23</v>
      </c>
      <c r="AN1094">
        <v>3</v>
      </c>
      <c r="AO1094">
        <v>16</v>
      </c>
      <c r="AP1094">
        <v>7</v>
      </c>
      <c r="AQ1094">
        <v>15</v>
      </c>
      <c r="AR1094">
        <v>8</v>
      </c>
      <c r="AS1094">
        <v>5</v>
      </c>
    </row>
    <row r="1095" spans="1:45" x14ac:dyDescent="0.25">
      <c r="A1095">
        <v>45</v>
      </c>
      <c r="B1095" t="s">
        <v>392</v>
      </c>
      <c r="E1095" t="s">
        <v>387</v>
      </c>
      <c r="U1095">
        <v>994</v>
      </c>
      <c r="V1095">
        <v>16</v>
      </c>
      <c r="W1095">
        <v>9</v>
      </c>
      <c r="X1095">
        <v>8</v>
      </c>
      <c r="Y1095">
        <v>12</v>
      </c>
      <c r="Z1095">
        <v>15</v>
      </c>
      <c r="AA1095">
        <v>20</v>
      </c>
      <c r="AB1095">
        <v>5</v>
      </c>
      <c r="AC1095">
        <v>2</v>
      </c>
      <c r="AD1095">
        <v>4</v>
      </c>
      <c r="AE1095">
        <v>1</v>
      </c>
      <c r="AF1095">
        <v>10</v>
      </c>
      <c r="AG1095">
        <v>18</v>
      </c>
      <c r="AH1095">
        <v>14</v>
      </c>
      <c r="AI1095">
        <v>13</v>
      </c>
      <c r="AJ1095">
        <v>17</v>
      </c>
      <c r="AK1095">
        <v>19</v>
      </c>
      <c r="AL1095">
        <v>24</v>
      </c>
      <c r="AM1095">
        <v>23</v>
      </c>
      <c r="AN1095">
        <v>3</v>
      </c>
      <c r="AO1095">
        <v>21</v>
      </c>
      <c r="AP1095">
        <v>7</v>
      </c>
      <c r="AQ1095">
        <v>22</v>
      </c>
      <c r="AR1095">
        <v>11</v>
      </c>
      <c r="AS1095">
        <v>6</v>
      </c>
    </row>
    <row r="1096" spans="1:45" x14ac:dyDescent="0.25">
      <c r="A1096">
        <v>46</v>
      </c>
      <c r="B1096" t="s">
        <v>401</v>
      </c>
      <c r="E1096" t="s">
        <v>392</v>
      </c>
      <c r="U1096">
        <v>995</v>
      </c>
      <c r="V1096">
        <v>18</v>
      </c>
      <c r="W1096">
        <v>10</v>
      </c>
      <c r="X1096">
        <v>12</v>
      </c>
      <c r="Y1096">
        <v>11</v>
      </c>
      <c r="Z1096">
        <v>15</v>
      </c>
      <c r="AA1096">
        <v>20</v>
      </c>
      <c r="AB1096">
        <v>5</v>
      </c>
      <c r="AC1096">
        <v>2</v>
      </c>
      <c r="AD1096">
        <v>4</v>
      </c>
      <c r="AE1096">
        <v>1</v>
      </c>
      <c r="AF1096">
        <v>16</v>
      </c>
      <c r="AG1096">
        <v>14</v>
      </c>
      <c r="AH1096">
        <v>17</v>
      </c>
      <c r="AI1096">
        <v>13</v>
      </c>
      <c r="AJ1096">
        <v>8</v>
      </c>
      <c r="AK1096">
        <v>22</v>
      </c>
      <c r="AL1096">
        <v>23</v>
      </c>
      <c r="AM1096">
        <v>24</v>
      </c>
      <c r="AN1096">
        <v>3</v>
      </c>
      <c r="AO1096">
        <v>21</v>
      </c>
      <c r="AP1096">
        <v>9</v>
      </c>
      <c r="AQ1096">
        <v>19</v>
      </c>
      <c r="AR1096">
        <v>7</v>
      </c>
      <c r="AS1096">
        <v>6</v>
      </c>
    </row>
    <row r="1097" spans="1:45" x14ac:dyDescent="0.25">
      <c r="A1097">
        <v>46</v>
      </c>
      <c r="B1097" t="s">
        <v>386</v>
      </c>
      <c r="E1097" t="s">
        <v>396</v>
      </c>
      <c r="U1097">
        <v>996</v>
      </c>
      <c r="V1097">
        <v>14</v>
      </c>
      <c r="W1097">
        <v>6</v>
      </c>
      <c r="X1097">
        <v>13</v>
      </c>
      <c r="Y1097">
        <v>11</v>
      </c>
      <c r="Z1097">
        <v>17</v>
      </c>
      <c r="AA1097">
        <v>21</v>
      </c>
      <c r="AB1097">
        <v>8</v>
      </c>
      <c r="AC1097">
        <v>2</v>
      </c>
      <c r="AD1097">
        <v>4</v>
      </c>
      <c r="AE1097">
        <v>1</v>
      </c>
      <c r="AF1097">
        <v>10</v>
      </c>
      <c r="AG1097">
        <v>19</v>
      </c>
      <c r="AH1097">
        <v>15</v>
      </c>
      <c r="AI1097">
        <v>18</v>
      </c>
      <c r="AJ1097">
        <v>12</v>
      </c>
      <c r="AK1097">
        <v>22</v>
      </c>
      <c r="AL1097">
        <v>24</v>
      </c>
      <c r="AM1097">
        <v>23</v>
      </c>
      <c r="AN1097">
        <v>3</v>
      </c>
      <c r="AO1097">
        <v>20</v>
      </c>
      <c r="AP1097">
        <v>7</v>
      </c>
      <c r="AQ1097">
        <v>16</v>
      </c>
      <c r="AR1097">
        <v>5</v>
      </c>
      <c r="AS1097">
        <v>9</v>
      </c>
    </row>
    <row r="1098" spans="1:45" x14ac:dyDescent="0.25">
      <c r="A1098">
        <v>46</v>
      </c>
      <c r="B1098" t="s">
        <v>391</v>
      </c>
      <c r="E1098" t="s">
        <v>384</v>
      </c>
      <c r="U1098">
        <v>997</v>
      </c>
      <c r="V1098">
        <v>18</v>
      </c>
      <c r="W1098">
        <v>7</v>
      </c>
      <c r="X1098">
        <v>11</v>
      </c>
      <c r="Y1098">
        <v>12</v>
      </c>
      <c r="Z1098">
        <v>16</v>
      </c>
      <c r="AA1098">
        <v>21</v>
      </c>
      <c r="AB1098">
        <v>10</v>
      </c>
      <c r="AC1098">
        <v>2</v>
      </c>
      <c r="AD1098">
        <v>4</v>
      </c>
      <c r="AE1098">
        <v>1</v>
      </c>
      <c r="AF1098">
        <v>14</v>
      </c>
      <c r="AG1098">
        <v>13</v>
      </c>
      <c r="AH1098">
        <v>8</v>
      </c>
      <c r="AI1098">
        <v>17</v>
      </c>
      <c r="AJ1098">
        <v>15</v>
      </c>
      <c r="AK1098">
        <v>23</v>
      </c>
      <c r="AL1098">
        <v>24</v>
      </c>
      <c r="AM1098">
        <v>22</v>
      </c>
      <c r="AN1098">
        <v>3</v>
      </c>
      <c r="AO1098">
        <v>20</v>
      </c>
      <c r="AP1098">
        <v>6</v>
      </c>
      <c r="AQ1098">
        <v>19</v>
      </c>
      <c r="AR1098">
        <v>9</v>
      </c>
      <c r="AS1098">
        <v>5</v>
      </c>
    </row>
    <row r="1099" spans="1:45" x14ac:dyDescent="0.25">
      <c r="A1099">
        <v>46</v>
      </c>
      <c r="B1099" t="s">
        <v>382</v>
      </c>
      <c r="E1099" t="s">
        <v>393</v>
      </c>
      <c r="U1099">
        <v>998</v>
      </c>
      <c r="V1099">
        <v>10</v>
      </c>
      <c r="W1099">
        <v>19</v>
      </c>
      <c r="X1099">
        <v>11</v>
      </c>
      <c r="Y1099">
        <v>8</v>
      </c>
      <c r="Z1099">
        <v>16</v>
      </c>
      <c r="AA1099">
        <v>22</v>
      </c>
      <c r="AB1099">
        <v>5</v>
      </c>
      <c r="AC1099">
        <v>2</v>
      </c>
      <c r="AD1099">
        <v>7</v>
      </c>
      <c r="AE1099">
        <v>1</v>
      </c>
      <c r="AF1099">
        <v>6</v>
      </c>
      <c r="AG1099">
        <v>13</v>
      </c>
      <c r="AH1099">
        <v>14</v>
      </c>
      <c r="AI1099">
        <v>18</v>
      </c>
      <c r="AJ1099">
        <v>17</v>
      </c>
      <c r="AK1099">
        <v>20</v>
      </c>
      <c r="AL1099">
        <v>23</v>
      </c>
      <c r="AM1099">
        <v>24</v>
      </c>
      <c r="AN1099">
        <v>3</v>
      </c>
      <c r="AO1099">
        <v>21</v>
      </c>
      <c r="AP1099">
        <v>12</v>
      </c>
      <c r="AQ1099">
        <v>15</v>
      </c>
      <c r="AR1099">
        <v>9</v>
      </c>
      <c r="AS1099">
        <v>4</v>
      </c>
    </row>
    <row r="1100" spans="1:45" x14ac:dyDescent="0.25">
      <c r="A1100">
        <v>46</v>
      </c>
      <c r="B1100" t="s">
        <v>397</v>
      </c>
      <c r="E1100" t="s">
        <v>380</v>
      </c>
      <c r="U1100">
        <v>999</v>
      </c>
      <c r="V1100">
        <v>17</v>
      </c>
      <c r="W1100">
        <v>11</v>
      </c>
      <c r="X1100">
        <v>10</v>
      </c>
      <c r="Y1100">
        <v>8</v>
      </c>
      <c r="Z1100">
        <v>16</v>
      </c>
      <c r="AA1100">
        <v>21</v>
      </c>
      <c r="AB1100">
        <v>5</v>
      </c>
      <c r="AC1100">
        <v>2</v>
      </c>
      <c r="AD1100">
        <v>4</v>
      </c>
      <c r="AE1100">
        <v>1</v>
      </c>
      <c r="AF1100">
        <v>9</v>
      </c>
      <c r="AG1100">
        <v>13</v>
      </c>
      <c r="AH1100">
        <v>20</v>
      </c>
      <c r="AI1100">
        <v>12</v>
      </c>
      <c r="AJ1100">
        <v>14</v>
      </c>
      <c r="AK1100">
        <v>22</v>
      </c>
      <c r="AL1100">
        <v>24</v>
      </c>
      <c r="AM1100">
        <v>23</v>
      </c>
      <c r="AN1100">
        <v>3</v>
      </c>
      <c r="AO1100">
        <v>19</v>
      </c>
      <c r="AP1100">
        <v>15</v>
      </c>
      <c r="AQ1100">
        <v>18</v>
      </c>
      <c r="AR1100">
        <v>7</v>
      </c>
      <c r="AS1100">
        <v>6</v>
      </c>
    </row>
    <row r="1101" spans="1:45" x14ac:dyDescent="0.25">
      <c r="A1101">
        <v>46</v>
      </c>
      <c r="B1101" t="s">
        <v>387</v>
      </c>
      <c r="E1101" t="s">
        <v>379</v>
      </c>
      <c r="U1101">
        <v>1000</v>
      </c>
      <c r="V1101">
        <v>21</v>
      </c>
      <c r="W1101">
        <v>6</v>
      </c>
      <c r="X1101">
        <v>18</v>
      </c>
      <c r="Y1101">
        <v>17</v>
      </c>
      <c r="Z1101">
        <v>13</v>
      </c>
      <c r="AA1101">
        <v>20</v>
      </c>
      <c r="AB1101">
        <v>5</v>
      </c>
      <c r="AC1101">
        <v>2</v>
      </c>
      <c r="AD1101">
        <v>8</v>
      </c>
      <c r="AE1101">
        <v>1</v>
      </c>
      <c r="AF1101">
        <v>11</v>
      </c>
      <c r="AG1101">
        <v>15</v>
      </c>
      <c r="AH1101">
        <v>14</v>
      </c>
      <c r="AI1101">
        <v>10</v>
      </c>
      <c r="AJ1101">
        <v>9</v>
      </c>
      <c r="AK1101">
        <v>22</v>
      </c>
      <c r="AL1101">
        <v>23</v>
      </c>
      <c r="AM1101">
        <v>24</v>
      </c>
      <c r="AN1101">
        <v>3</v>
      </c>
      <c r="AO1101">
        <v>19</v>
      </c>
      <c r="AP1101">
        <v>12</v>
      </c>
      <c r="AQ1101">
        <v>16</v>
      </c>
      <c r="AR1101">
        <v>7</v>
      </c>
      <c r="AS1101">
        <v>4</v>
      </c>
    </row>
    <row r="1102" spans="1:45" x14ac:dyDescent="0.25">
      <c r="A1102">
        <v>46</v>
      </c>
      <c r="B1102" t="s">
        <v>378</v>
      </c>
      <c r="E1102" t="s">
        <v>390</v>
      </c>
    </row>
    <row r="1103" spans="1:45" x14ac:dyDescent="0.25">
      <c r="A1103">
        <v>46</v>
      </c>
      <c r="B1103" t="s">
        <v>399</v>
      </c>
      <c r="E1103" t="s">
        <v>389</v>
      </c>
    </row>
    <row r="1104" spans="1:45" x14ac:dyDescent="0.25">
      <c r="A1104">
        <v>46</v>
      </c>
      <c r="B1104" t="s">
        <v>385</v>
      </c>
      <c r="E1104" t="s">
        <v>383</v>
      </c>
    </row>
    <row r="1105" spans="1:5" x14ac:dyDescent="0.25">
      <c r="A1105">
        <v>46</v>
      </c>
      <c r="B1105" t="s">
        <v>398</v>
      </c>
      <c r="E1105" t="s">
        <v>395</v>
      </c>
    </row>
    <row r="1106" spans="1:5" x14ac:dyDescent="0.25">
      <c r="A1106">
        <v>46</v>
      </c>
      <c r="B1106" t="s">
        <v>394</v>
      </c>
      <c r="E1106" t="s">
        <v>381</v>
      </c>
    </row>
    <row r="1107" spans="1:5" x14ac:dyDescent="0.25">
      <c r="A1107">
        <v>46</v>
      </c>
      <c r="B1107" t="s">
        <v>388</v>
      </c>
      <c r="E1107" t="s">
        <v>400</v>
      </c>
    </row>
  </sheetData>
  <sortState xmlns:xlrd2="http://schemas.microsoft.com/office/spreadsheetml/2017/richdata2" ref="AL25:AL48">
    <sortCondition ref="AL25:AL48"/>
  </sortState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839E-1AA5-4D45-A8F8-CEC3CB40223E}">
  <sheetPr codeName="Sheet2"/>
  <dimension ref="A1:T26"/>
  <sheetViews>
    <sheetView topLeftCell="A3" workbookViewId="0">
      <selection activeCell="S40" sqref="S40"/>
    </sheetView>
  </sheetViews>
  <sheetFormatPr defaultColWidth="12.42578125" defaultRowHeight="12" customHeight="1" x14ac:dyDescent="0.25"/>
  <cols>
    <col min="1" max="1" width="10.5703125" bestFit="1" customWidth="1"/>
    <col min="2" max="2" width="15.85546875" bestFit="1" customWidth="1"/>
    <col min="3" max="3" width="17.42578125" bestFit="1" customWidth="1"/>
    <col min="4" max="4" width="5.28515625" bestFit="1" customWidth="1"/>
    <col min="5" max="5" width="4.5703125" bestFit="1" customWidth="1"/>
    <col min="6" max="6" width="4.140625" bestFit="1" customWidth="1"/>
    <col min="7" max="7" width="11.5703125" bestFit="1" customWidth="1"/>
    <col min="8" max="8" width="15.42578125" bestFit="1" customWidth="1"/>
    <col min="9" max="9" width="17.42578125" bestFit="1" customWidth="1"/>
    <col min="10" max="10" width="6" bestFit="1" customWidth="1"/>
    <col min="11" max="11" width="12.140625" bestFit="1" customWidth="1"/>
    <col min="12" max="12" width="5.7109375" bestFit="1" customWidth="1"/>
    <col min="13" max="14" width="7" bestFit="1" customWidth="1"/>
    <col min="15" max="15" width="9.85546875" bestFit="1" customWidth="1"/>
    <col min="16" max="16" width="8.5703125" bestFit="1" customWidth="1"/>
    <col min="22" max="22" width="17.85546875" bestFit="1" customWidth="1"/>
    <col min="23" max="23" width="17.5703125" bestFit="1" customWidth="1"/>
    <col min="24" max="24" width="16.140625" bestFit="1" customWidth="1"/>
    <col min="25" max="26" width="4" bestFit="1" customWidth="1"/>
    <col min="28" max="28" width="17.85546875" bestFit="1" customWidth="1"/>
    <col min="29" max="29" width="15.42578125" bestFit="1" customWidth="1"/>
    <col min="35" max="35" width="17.85546875" bestFit="1" customWidth="1"/>
    <col min="36" max="36" width="20" bestFit="1" customWidth="1"/>
    <col min="37" max="37" width="20.5703125" bestFit="1" customWidth="1"/>
    <col min="39" max="39" width="24.140625" bestFit="1" customWidth="1"/>
    <col min="42" max="43" width="20.5703125" bestFit="1" customWidth="1"/>
    <col min="44" max="44" width="23.5703125" bestFit="1" customWidth="1"/>
    <col min="45" max="45" width="13.42578125" customWidth="1"/>
    <col min="46" max="46" width="14.42578125" bestFit="1" customWidth="1"/>
    <col min="47" max="47" width="19.7109375" bestFit="1" customWidth="1"/>
    <col min="48" max="48" width="18.85546875" bestFit="1" customWidth="1"/>
    <col min="49" max="49" width="15.5703125" bestFit="1" customWidth="1"/>
    <col min="50" max="50" width="19.7109375" bestFit="1" customWidth="1"/>
  </cols>
  <sheetData>
    <row r="1" spans="1:20" ht="12" hidden="1" customHeight="1" x14ac:dyDescent="0.25">
      <c r="A1" s="43" t="s">
        <v>109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20" ht="15" hidden="1" x14ac:dyDescent="0.25">
      <c r="A2" t="s">
        <v>116</v>
      </c>
      <c r="B2" t="s">
        <v>117</v>
      </c>
      <c r="C2" t="s">
        <v>110</v>
      </c>
      <c r="D2" t="s">
        <v>4</v>
      </c>
      <c r="E2" t="s">
        <v>5</v>
      </c>
      <c r="F2" t="s">
        <v>6</v>
      </c>
      <c r="G2" t="s">
        <v>118</v>
      </c>
      <c r="H2" t="s">
        <v>111</v>
      </c>
      <c r="I2" t="s">
        <v>119</v>
      </c>
      <c r="J2" t="s">
        <v>10</v>
      </c>
      <c r="K2" t="s">
        <v>120</v>
      </c>
      <c r="L2" t="s">
        <v>12</v>
      </c>
      <c r="M2" t="s">
        <v>13</v>
      </c>
      <c r="N2" t="s">
        <v>14</v>
      </c>
      <c r="O2" t="s">
        <v>15</v>
      </c>
      <c r="P2" s="6" t="s">
        <v>20</v>
      </c>
    </row>
    <row r="3" spans="1:20" ht="15" x14ac:dyDescent="0.25">
      <c r="A3">
        <v>1</v>
      </c>
      <c r="B3" t="s">
        <v>387</v>
      </c>
      <c r="C3">
        <v>22</v>
      </c>
      <c r="D3">
        <v>18</v>
      </c>
      <c r="E3">
        <v>1</v>
      </c>
      <c r="F3">
        <v>3</v>
      </c>
      <c r="G3">
        <v>44</v>
      </c>
      <c r="H3">
        <v>16</v>
      </c>
      <c r="I3">
        <v>28</v>
      </c>
      <c r="J3">
        <v>55</v>
      </c>
      <c r="K3">
        <v>2.5</v>
      </c>
      <c r="L3">
        <v>39.9</v>
      </c>
      <c r="M3">
        <v>20.5</v>
      </c>
      <c r="N3">
        <v>19.399999999999999</v>
      </c>
      <c r="O3">
        <v>0.88</v>
      </c>
      <c r="P3" s="6"/>
      <c r="Q3" s="41" t="s">
        <v>106</v>
      </c>
      <c r="R3" s="41"/>
      <c r="S3" s="41"/>
      <c r="T3" s="41"/>
    </row>
    <row r="4" spans="1:20" ht="15" x14ac:dyDescent="0.25">
      <c r="A4">
        <v>2</v>
      </c>
      <c r="B4" t="s">
        <v>385</v>
      </c>
      <c r="C4">
        <v>22</v>
      </c>
      <c r="D4">
        <v>16</v>
      </c>
      <c r="E4">
        <v>4</v>
      </c>
      <c r="F4">
        <v>2</v>
      </c>
      <c r="G4">
        <v>47</v>
      </c>
      <c r="H4">
        <v>28</v>
      </c>
      <c r="I4">
        <v>19</v>
      </c>
      <c r="J4">
        <v>52</v>
      </c>
      <c r="K4">
        <v>2.36</v>
      </c>
      <c r="L4">
        <v>38</v>
      </c>
      <c r="M4">
        <v>24.2</v>
      </c>
      <c r="N4">
        <v>13.8</v>
      </c>
      <c r="O4">
        <v>0.63</v>
      </c>
      <c r="P4" s="6"/>
      <c r="Q4" s="41"/>
      <c r="R4" s="41"/>
      <c r="S4" s="41"/>
      <c r="T4" s="41"/>
    </row>
    <row r="5" spans="1:20" ht="15" x14ac:dyDescent="0.25">
      <c r="A5">
        <v>3</v>
      </c>
      <c r="B5" t="s">
        <v>386</v>
      </c>
      <c r="C5">
        <v>22</v>
      </c>
      <c r="D5">
        <v>12</v>
      </c>
      <c r="E5">
        <v>6</v>
      </c>
      <c r="F5">
        <v>4</v>
      </c>
      <c r="G5">
        <v>37</v>
      </c>
      <c r="H5">
        <v>22</v>
      </c>
      <c r="I5">
        <v>15</v>
      </c>
      <c r="J5">
        <v>42</v>
      </c>
      <c r="K5">
        <v>1.91</v>
      </c>
      <c r="L5">
        <v>36.799999999999997</v>
      </c>
      <c r="M5">
        <v>20.100000000000001</v>
      </c>
      <c r="N5">
        <v>16.7</v>
      </c>
      <c r="O5">
        <v>0.76</v>
      </c>
      <c r="P5" s="6"/>
      <c r="Q5" s="41"/>
      <c r="R5" s="41"/>
      <c r="S5" s="41"/>
      <c r="T5" s="41"/>
    </row>
    <row r="6" spans="1:20" ht="15" x14ac:dyDescent="0.25">
      <c r="A6">
        <v>4</v>
      </c>
      <c r="B6" t="s">
        <v>396</v>
      </c>
      <c r="C6">
        <v>22</v>
      </c>
      <c r="D6">
        <v>12</v>
      </c>
      <c r="E6">
        <v>6</v>
      </c>
      <c r="F6">
        <v>4</v>
      </c>
      <c r="G6">
        <v>37</v>
      </c>
      <c r="H6">
        <v>29</v>
      </c>
      <c r="I6">
        <v>8</v>
      </c>
      <c r="J6">
        <v>42</v>
      </c>
      <c r="K6">
        <v>1.91</v>
      </c>
      <c r="L6">
        <v>34.5</v>
      </c>
      <c r="M6">
        <v>25.1</v>
      </c>
      <c r="N6">
        <v>9.4</v>
      </c>
      <c r="O6">
        <v>0.43</v>
      </c>
      <c r="P6" s="6"/>
      <c r="Q6" s="41"/>
      <c r="R6" s="41"/>
      <c r="S6" s="41"/>
      <c r="T6" s="41"/>
    </row>
    <row r="7" spans="1:20" ht="15" x14ac:dyDescent="0.25">
      <c r="A7">
        <v>5</v>
      </c>
      <c r="B7" t="s">
        <v>401</v>
      </c>
      <c r="C7">
        <v>22</v>
      </c>
      <c r="D7">
        <v>10</v>
      </c>
      <c r="E7">
        <v>6</v>
      </c>
      <c r="F7">
        <v>6</v>
      </c>
      <c r="G7">
        <v>34</v>
      </c>
      <c r="H7">
        <v>22</v>
      </c>
      <c r="I7">
        <v>12</v>
      </c>
      <c r="J7">
        <v>36</v>
      </c>
      <c r="K7">
        <v>1.64</v>
      </c>
      <c r="L7">
        <v>26</v>
      </c>
      <c r="M7">
        <v>20.9</v>
      </c>
      <c r="N7">
        <v>5.0999999999999996</v>
      </c>
      <c r="O7">
        <v>0.23</v>
      </c>
      <c r="P7" s="6"/>
      <c r="Q7" s="42" t="s">
        <v>107</v>
      </c>
      <c r="R7" s="42"/>
      <c r="S7" s="42"/>
      <c r="T7" s="42"/>
    </row>
    <row r="8" spans="1:20" ht="15" x14ac:dyDescent="0.25">
      <c r="A8">
        <v>6</v>
      </c>
      <c r="B8" t="s">
        <v>384</v>
      </c>
      <c r="C8">
        <v>22</v>
      </c>
      <c r="D8">
        <v>10</v>
      </c>
      <c r="E8">
        <v>6</v>
      </c>
      <c r="F8">
        <v>6</v>
      </c>
      <c r="G8">
        <v>34</v>
      </c>
      <c r="H8">
        <v>27</v>
      </c>
      <c r="I8">
        <v>7</v>
      </c>
      <c r="J8">
        <v>36</v>
      </c>
      <c r="K8">
        <v>1.64</v>
      </c>
      <c r="L8">
        <v>29.7</v>
      </c>
      <c r="M8">
        <v>24.1</v>
      </c>
      <c r="N8">
        <v>5.6</v>
      </c>
      <c r="O8">
        <v>0.25</v>
      </c>
      <c r="P8" s="6"/>
    </row>
    <row r="9" spans="1:20" ht="15" x14ac:dyDescent="0.25">
      <c r="A9">
        <v>7</v>
      </c>
      <c r="B9" t="s">
        <v>398</v>
      </c>
      <c r="C9">
        <v>22</v>
      </c>
      <c r="D9">
        <v>10</v>
      </c>
      <c r="E9">
        <v>3</v>
      </c>
      <c r="F9">
        <v>9</v>
      </c>
      <c r="G9">
        <v>32</v>
      </c>
      <c r="H9">
        <v>24</v>
      </c>
      <c r="I9">
        <v>8</v>
      </c>
      <c r="J9">
        <v>33</v>
      </c>
      <c r="K9">
        <v>1.5</v>
      </c>
      <c r="L9">
        <v>36.299999999999997</v>
      </c>
      <c r="M9">
        <v>22.8</v>
      </c>
      <c r="N9">
        <v>13.5</v>
      </c>
      <c r="O9">
        <v>0.61</v>
      </c>
      <c r="P9" s="6"/>
    </row>
    <row r="10" spans="1:20" ht="15" x14ac:dyDescent="0.25">
      <c r="A10">
        <v>8</v>
      </c>
      <c r="B10" t="s">
        <v>392</v>
      </c>
      <c r="C10">
        <v>22</v>
      </c>
      <c r="D10">
        <v>9</v>
      </c>
      <c r="E10">
        <v>5</v>
      </c>
      <c r="F10">
        <v>8</v>
      </c>
      <c r="G10">
        <v>28</v>
      </c>
      <c r="H10">
        <v>38</v>
      </c>
      <c r="I10">
        <v>-10</v>
      </c>
      <c r="J10">
        <v>32</v>
      </c>
      <c r="K10">
        <v>1.45</v>
      </c>
      <c r="L10">
        <v>19.399999999999999</v>
      </c>
      <c r="M10">
        <v>28.8</v>
      </c>
      <c r="N10">
        <v>-9.4</v>
      </c>
      <c r="O10">
        <v>-0.43</v>
      </c>
      <c r="P10" s="6"/>
    </row>
    <row r="11" spans="1:20" ht="15" x14ac:dyDescent="0.25">
      <c r="A11">
        <v>9</v>
      </c>
      <c r="B11" t="s">
        <v>400</v>
      </c>
      <c r="C11">
        <v>22</v>
      </c>
      <c r="D11">
        <v>8</v>
      </c>
      <c r="E11">
        <v>7</v>
      </c>
      <c r="F11">
        <v>7</v>
      </c>
      <c r="G11">
        <v>35</v>
      </c>
      <c r="H11">
        <v>27</v>
      </c>
      <c r="I11">
        <v>8</v>
      </c>
      <c r="J11">
        <v>31</v>
      </c>
      <c r="K11">
        <v>1.41</v>
      </c>
      <c r="L11">
        <v>27.1</v>
      </c>
      <c r="M11">
        <v>25.1</v>
      </c>
      <c r="N11">
        <v>2</v>
      </c>
      <c r="O11">
        <v>0.09</v>
      </c>
      <c r="P11" s="6"/>
    </row>
    <row r="12" spans="1:20" ht="15" x14ac:dyDescent="0.25">
      <c r="A12">
        <v>10</v>
      </c>
      <c r="B12" t="s">
        <v>390</v>
      </c>
      <c r="C12">
        <v>22</v>
      </c>
      <c r="D12">
        <v>9</v>
      </c>
      <c r="E12">
        <v>4</v>
      </c>
      <c r="F12">
        <v>9</v>
      </c>
      <c r="G12">
        <v>39</v>
      </c>
      <c r="H12">
        <v>39</v>
      </c>
      <c r="I12">
        <v>0</v>
      </c>
      <c r="J12">
        <v>31</v>
      </c>
      <c r="K12">
        <v>1.41</v>
      </c>
      <c r="L12">
        <v>31</v>
      </c>
      <c r="M12">
        <v>33.6</v>
      </c>
      <c r="N12">
        <v>-2.6</v>
      </c>
      <c r="O12">
        <v>-0.12</v>
      </c>
      <c r="P12" s="6"/>
    </row>
    <row r="13" spans="1:20" ht="15" x14ac:dyDescent="0.25">
      <c r="A13">
        <v>11</v>
      </c>
      <c r="B13" t="s">
        <v>379</v>
      </c>
      <c r="C13">
        <v>22</v>
      </c>
      <c r="D13">
        <v>10</v>
      </c>
      <c r="E13">
        <v>1</v>
      </c>
      <c r="F13">
        <v>11</v>
      </c>
      <c r="G13">
        <v>34</v>
      </c>
      <c r="H13">
        <v>38</v>
      </c>
      <c r="I13">
        <v>-4</v>
      </c>
      <c r="J13">
        <v>31</v>
      </c>
      <c r="K13">
        <v>1.41</v>
      </c>
      <c r="L13">
        <v>33.4</v>
      </c>
      <c r="M13">
        <v>32.1</v>
      </c>
      <c r="N13">
        <v>1.2</v>
      </c>
      <c r="O13">
        <v>0.06</v>
      </c>
      <c r="P13" s="6"/>
    </row>
    <row r="14" spans="1:20" ht="15" x14ac:dyDescent="0.25">
      <c r="A14">
        <v>12</v>
      </c>
      <c r="B14" t="s">
        <v>381</v>
      </c>
      <c r="C14">
        <v>22</v>
      </c>
      <c r="D14">
        <v>9</v>
      </c>
      <c r="E14">
        <v>3</v>
      </c>
      <c r="F14">
        <v>10</v>
      </c>
      <c r="G14">
        <v>28</v>
      </c>
      <c r="H14">
        <v>27</v>
      </c>
      <c r="I14">
        <v>1</v>
      </c>
      <c r="J14">
        <v>30</v>
      </c>
      <c r="K14">
        <v>1.36</v>
      </c>
      <c r="L14">
        <v>23.8</v>
      </c>
      <c r="M14">
        <v>31.3</v>
      </c>
      <c r="N14">
        <v>-7.5</v>
      </c>
      <c r="O14">
        <v>-0.34</v>
      </c>
      <c r="P14" s="6"/>
    </row>
    <row r="15" spans="1:20" ht="15" x14ac:dyDescent="0.25">
      <c r="A15">
        <v>13</v>
      </c>
      <c r="B15" t="s">
        <v>388</v>
      </c>
      <c r="C15">
        <v>22</v>
      </c>
      <c r="D15">
        <v>9</v>
      </c>
      <c r="E15">
        <v>3</v>
      </c>
      <c r="F15">
        <v>10</v>
      </c>
      <c r="G15">
        <v>34</v>
      </c>
      <c r="H15">
        <v>34</v>
      </c>
      <c r="I15">
        <v>0</v>
      </c>
      <c r="J15">
        <v>30</v>
      </c>
      <c r="K15">
        <v>1.36</v>
      </c>
      <c r="L15">
        <v>35.299999999999997</v>
      </c>
      <c r="M15">
        <v>25.4</v>
      </c>
      <c r="N15">
        <v>9.9</v>
      </c>
      <c r="O15">
        <v>0.45</v>
      </c>
      <c r="P15" s="6"/>
    </row>
    <row r="16" spans="1:20" ht="15" x14ac:dyDescent="0.25">
      <c r="A16">
        <v>14</v>
      </c>
      <c r="B16" t="s">
        <v>380</v>
      </c>
      <c r="C16">
        <v>22</v>
      </c>
      <c r="D16">
        <v>8</v>
      </c>
      <c r="E16">
        <v>5</v>
      </c>
      <c r="F16">
        <v>9</v>
      </c>
      <c r="G16">
        <v>23</v>
      </c>
      <c r="H16">
        <v>24</v>
      </c>
      <c r="I16">
        <v>-1</v>
      </c>
      <c r="J16">
        <v>29</v>
      </c>
      <c r="K16">
        <v>1.32</v>
      </c>
      <c r="L16">
        <v>24.7</v>
      </c>
      <c r="M16">
        <v>24.3</v>
      </c>
      <c r="N16">
        <v>0.4</v>
      </c>
      <c r="O16">
        <v>0.02</v>
      </c>
      <c r="P16" s="6"/>
    </row>
    <row r="17" spans="1:20" ht="15" x14ac:dyDescent="0.25">
      <c r="A17">
        <v>15</v>
      </c>
      <c r="B17" t="s">
        <v>382</v>
      </c>
      <c r="C17">
        <v>22</v>
      </c>
      <c r="D17">
        <v>6</v>
      </c>
      <c r="E17">
        <v>9</v>
      </c>
      <c r="F17">
        <v>7</v>
      </c>
      <c r="G17">
        <v>28</v>
      </c>
      <c r="H17">
        <v>25</v>
      </c>
      <c r="I17">
        <v>3</v>
      </c>
      <c r="J17">
        <v>27</v>
      </c>
      <c r="K17">
        <v>1.23</v>
      </c>
      <c r="L17">
        <v>31.3</v>
      </c>
      <c r="M17">
        <v>24</v>
      </c>
      <c r="N17">
        <v>7.3</v>
      </c>
      <c r="O17">
        <v>0.33</v>
      </c>
      <c r="P17" s="6"/>
    </row>
    <row r="18" spans="1:20" ht="15" x14ac:dyDescent="0.25">
      <c r="A18">
        <v>16</v>
      </c>
      <c r="B18" t="s">
        <v>391</v>
      </c>
      <c r="C18">
        <v>22</v>
      </c>
      <c r="D18">
        <v>7</v>
      </c>
      <c r="E18">
        <v>5</v>
      </c>
      <c r="F18">
        <v>10</v>
      </c>
      <c r="G18">
        <v>34</v>
      </c>
      <c r="H18">
        <v>35</v>
      </c>
      <c r="I18">
        <v>-1</v>
      </c>
      <c r="J18">
        <v>26</v>
      </c>
      <c r="K18">
        <v>1.18</v>
      </c>
      <c r="L18">
        <v>29.2</v>
      </c>
      <c r="M18">
        <v>38.6</v>
      </c>
      <c r="N18">
        <v>-9.4</v>
      </c>
      <c r="O18">
        <v>-0.43</v>
      </c>
      <c r="P18" s="6"/>
    </row>
    <row r="19" spans="1:20" ht="15" x14ac:dyDescent="0.25">
      <c r="A19">
        <v>17</v>
      </c>
      <c r="B19" t="s">
        <v>378</v>
      </c>
      <c r="C19">
        <v>22</v>
      </c>
      <c r="D19">
        <v>7</v>
      </c>
      <c r="E19">
        <v>5</v>
      </c>
      <c r="F19">
        <v>10</v>
      </c>
      <c r="G19">
        <v>26</v>
      </c>
      <c r="H19">
        <v>32</v>
      </c>
      <c r="I19">
        <v>-6</v>
      </c>
      <c r="J19">
        <v>26</v>
      </c>
      <c r="K19">
        <v>1.18</v>
      </c>
      <c r="L19">
        <v>24.8</v>
      </c>
      <c r="M19">
        <v>30.5</v>
      </c>
      <c r="N19">
        <v>-5.7</v>
      </c>
      <c r="O19">
        <v>-0.26</v>
      </c>
      <c r="P19" s="6"/>
    </row>
    <row r="20" spans="1:20" ht="15" x14ac:dyDescent="0.25">
      <c r="A20">
        <v>18</v>
      </c>
      <c r="B20" t="s">
        <v>399</v>
      </c>
      <c r="C20">
        <v>22</v>
      </c>
      <c r="D20">
        <v>6</v>
      </c>
      <c r="E20">
        <v>7</v>
      </c>
      <c r="F20">
        <v>9</v>
      </c>
      <c r="G20">
        <v>30</v>
      </c>
      <c r="H20">
        <v>31</v>
      </c>
      <c r="I20">
        <v>-1</v>
      </c>
      <c r="J20">
        <v>25</v>
      </c>
      <c r="K20">
        <v>1.1399999999999999</v>
      </c>
      <c r="L20">
        <v>27</v>
      </c>
      <c r="M20">
        <v>33.6</v>
      </c>
      <c r="N20">
        <v>-6.6</v>
      </c>
      <c r="O20">
        <v>-0.3</v>
      </c>
      <c r="P20" s="6"/>
      <c r="Q20" s="41" t="s">
        <v>108</v>
      </c>
      <c r="R20" s="41"/>
      <c r="S20" s="41"/>
      <c r="T20" s="41"/>
    </row>
    <row r="21" spans="1:20" ht="15" x14ac:dyDescent="0.25">
      <c r="A21">
        <v>19</v>
      </c>
      <c r="B21" t="s">
        <v>397</v>
      </c>
      <c r="C21">
        <v>22</v>
      </c>
      <c r="D21">
        <v>6</v>
      </c>
      <c r="E21">
        <v>5</v>
      </c>
      <c r="F21">
        <v>11</v>
      </c>
      <c r="G21">
        <v>21</v>
      </c>
      <c r="H21">
        <v>30</v>
      </c>
      <c r="I21">
        <v>-9</v>
      </c>
      <c r="J21">
        <v>23</v>
      </c>
      <c r="K21">
        <v>1.05</v>
      </c>
      <c r="L21">
        <v>25.6</v>
      </c>
      <c r="M21">
        <v>29.3</v>
      </c>
      <c r="N21">
        <v>-3.7</v>
      </c>
      <c r="O21">
        <v>-0.17</v>
      </c>
      <c r="P21" s="6"/>
      <c r="Q21" s="41"/>
      <c r="R21" s="41"/>
      <c r="S21" s="41"/>
      <c r="T21" s="41"/>
    </row>
    <row r="22" spans="1:20" ht="15" x14ac:dyDescent="0.25">
      <c r="A22">
        <v>20</v>
      </c>
      <c r="B22" t="s">
        <v>389</v>
      </c>
      <c r="C22">
        <v>22</v>
      </c>
      <c r="D22" s="33">
        <v>5</v>
      </c>
      <c r="E22" s="33">
        <v>7</v>
      </c>
      <c r="F22" s="33">
        <v>10</v>
      </c>
      <c r="G22">
        <v>24</v>
      </c>
      <c r="H22">
        <v>31</v>
      </c>
      <c r="I22">
        <v>-7</v>
      </c>
      <c r="J22" s="33">
        <v>22</v>
      </c>
      <c r="K22">
        <v>1</v>
      </c>
      <c r="L22" s="33">
        <v>22.6</v>
      </c>
      <c r="M22" s="33">
        <v>30.3</v>
      </c>
      <c r="N22" s="33">
        <v>-7.7</v>
      </c>
      <c r="O22" s="33">
        <v>-0.35</v>
      </c>
      <c r="P22" s="6"/>
      <c r="Q22" s="41"/>
      <c r="R22" s="41"/>
      <c r="S22" s="41"/>
      <c r="T22" s="41"/>
    </row>
    <row r="23" spans="1:20" ht="15" x14ac:dyDescent="0.25">
      <c r="A23">
        <v>21</v>
      </c>
      <c r="B23" t="s">
        <v>383</v>
      </c>
      <c r="C23">
        <v>22</v>
      </c>
      <c r="D23">
        <v>4</v>
      </c>
      <c r="E23">
        <v>10</v>
      </c>
      <c r="F23">
        <v>8</v>
      </c>
      <c r="G23">
        <v>21</v>
      </c>
      <c r="H23">
        <v>36</v>
      </c>
      <c r="I23">
        <v>-15</v>
      </c>
      <c r="J23">
        <v>22</v>
      </c>
      <c r="K23">
        <v>1</v>
      </c>
      <c r="L23">
        <v>22.1</v>
      </c>
      <c r="M23">
        <v>32.6</v>
      </c>
      <c r="N23">
        <v>-10.4</v>
      </c>
      <c r="O23">
        <v>-0.47</v>
      </c>
      <c r="P23" s="6"/>
    </row>
    <row r="24" spans="1:20" ht="15" x14ac:dyDescent="0.25">
      <c r="A24">
        <v>22</v>
      </c>
      <c r="B24" t="s">
        <v>393</v>
      </c>
      <c r="C24">
        <v>22</v>
      </c>
      <c r="D24">
        <v>5</v>
      </c>
      <c r="E24">
        <v>5</v>
      </c>
      <c r="F24">
        <v>12</v>
      </c>
      <c r="G24">
        <v>20</v>
      </c>
      <c r="H24">
        <v>32</v>
      </c>
      <c r="I24">
        <v>-12</v>
      </c>
      <c r="J24">
        <v>20</v>
      </c>
      <c r="K24">
        <v>0.91</v>
      </c>
      <c r="L24">
        <v>18.899999999999999</v>
      </c>
      <c r="M24">
        <v>29</v>
      </c>
      <c r="N24">
        <v>-10</v>
      </c>
      <c r="O24">
        <v>-0.46</v>
      </c>
      <c r="P24" s="6"/>
    </row>
    <row r="25" spans="1:20" ht="15" x14ac:dyDescent="0.25">
      <c r="A25">
        <v>23</v>
      </c>
      <c r="B25" t="s">
        <v>395</v>
      </c>
      <c r="C25">
        <v>22</v>
      </c>
      <c r="D25">
        <v>4</v>
      </c>
      <c r="E25">
        <v>4</v>
      </c>
      <c r="F25">
        <v>14</v>
      </c>
      <c r="G25">
        <v>16</v>
      </c>
      <c r="H25">
        <v>35</v>
      </c>
      <c r="I25">
        <v>-19</v>
      </c>
      <c r="J25">
        <v>16</v>
      </c>
      <c r="K25">
        <v>0.73</v>
      </c>
      <c r="L25">
        <v>21.9</v>
      </c>
      <c r="M25">
        <v>27.9</v>
      </c>
      <c r="N25">
        <v>-6</v>
      </c>
      <c r="O25">
        <v>-0.27</v>
      </c>
      <c r="P25" s="6"/>
    </row>
    <row r="26" spans="1:20" ht="15" x14ac:dyDescent="0.25">
      <c r="A26">
        <v>24</v>
      </c>
      <c r="B26" t="s">
        <v>394</v>
      </c>
      <c r="C26">
        <v>22</v>
      </c>
      <c r="D26">
        <v>2</v>
      </c>
      <c r="E26">
        <v>7</v>
      </c>
      <c r="F26">
        <v>13</v>
      </c>
      <c r="G26">
        <v>20</v>
      </c>
      <c r="H26">
        <v>44</v>
      </c>
      <c r="I26">
        <v>-24</v>
      </c>
      <c r="J26">
        <v>13</v>
      </c>
      <c r="K26">
        <v>0.59</v>
      </c>
      <c r="L26">
        <v>14.9</v>
      </c>
      <c r="M26">
        <v>40.299999999999997</v>
      </c>
      <c r="N26">
        <v>-25.4</v>
      </c>
      <c r="O26">
        <v>-1.1499999999999999</v>
      </c>
      <c r="P26" s="6"/>
    </row>
  </sheetData>
  <sortState xmlns:xlrd2="http://schemas.microsoft.com/office/spreadsheetml/2017/richdata2" ref="V3:V22">
    <sortCondition ref="V3:V22"/>
  </sortState>
  <mergeCells count="4">
    <mergeCell ref="Q3:T6"/>
    <mergeCell ref="Q7:T7"/>
    <mergeCell ref="Q20:T22"/>
    <mergeCell ref="A1:P1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5D81-A414-46DD-8DB3-A5F89E660602}">
  <sheetPr codeName="Sheet10"/>
  <dimension ref="A1:T26"/>
  <sheetViews>
    <sheetView tabSelected="1" workbookViewId="0">
      <selection activeCell="D24" sqref="D24"/>
    </sheetView>
  </sheetViews>
  <sheetFormatPr defaultColWidth="16.85546875" defaultRowHeight="27" customHeight="1" x14ac:dyDescent="0.25"/>
  <cols>
    <col min="16" max="16" width="18.5703125" customWidth="1"/>
    <col min="17" max="17" width="18.7109375" customWidth="1"/>
  </cols>
  <sheetData>
    <row r="1" spans="1:20" ht="27" customHeight="1" x14ac:dyDescent="0.25">
      <c r="A1" s="47" t="s">
        <v>109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0" ht="27" customHeight="1" x14ac:dyDescent="0.25">
      <c r="A2" s="19" t="str">
        <f>Stats[[#Headers],[Position]]</f>
        <v>Position</v>
      </c>
      <c r="B2" s="19" t="str">
        <f>Stats[[#Headers],[Team]]</f>
        <v>Team</v>
      </c>
      <c r="C2" s="19" t="str">
        <f>Stats[[#Headers],[Matches Played]]</f>
        <v>Matches Played</v>
      </c>
      <c r="D2" s="19" t="str">
        <f>Stats[[#Headers],[W]]</f>
        <v>W</v>
      </c>
      <c r="E2" s="19" t="str">
        <f>Stats[[#Headers],[D]]</f>
        <v>D</v>
      </c>
      <c r="F2" s="19" t="str">
        <f>Stats[[#Headers],[L]]</f>
        <v>L</v>
      </c>
      <c r="G2" s="19" t="str">
        <f>Stats[[#Headers],[Goals For]]</f>
        <v>Goals For</v>
      </c>
      <c r="H2" s="19" t="str">
        <f>Stats[[#Headers],[Goals Against]]</f>
        <v>Goals Against</v>
      </c>
      <c r="I2" s="19" t="str">
        <f>Stats[[#Headers],[Goal Difference]]</f>
        <v>Goal Difference</v>
      </c>
      <c r="J2" s="19" t="str">
        <f>Stats[[#Headers],[Pts]]</f>
        <v>Pts</v>
      </c>
      <c r="K2" s="19" t="str">
        <f>Stats[[#Headers],[Pts/Game]]</f>
        <v>Pts/Game</v>
      </c>
      <c r="L2" s="19" t="str">
        <f>Stats[[#Headers],[xG]]</f>
        <v>xG</v>
      </c>
      <c r="M2" s="19" t="str">
        <f>Stats[[#Headers],[xGA]]</f>
        <v>xGA</v>
      </c>
      <c r="N2" s="19" t="str">
        <f>Stats[[#Headers],[xGD]]</f>
        <v>xGD</v>
      </c>
      <c r="O2" s="19" t="str">
        <f>Stats[[#Headers],[xGD/90]]</f>
        <v>xGD/90</v>
      </c>
      <c r="P2" s="19" t="str">
        <f>Stats[[#Headers],[Notes]]</f>
        <v>Notes</v>
      </c>
    </row>
    <row r="3" spans="1:20" ht="27" customHeight="1" x14ac:dyDescent="0.25">
      <c r="A3" s="20">
        <f>Stats[[#This Row],[Position]]</f>
        <v>1</v>
      </c>
      <c r="B3" s="20" t="str">
        <f>Stats[[#This Row],[Team]]</f>
        <v>Leicester City</v>
      </c>
      <c r="C3" s="20">
        <f>Stats[[#This Row],[Matches Played]]</f>
        <v>22</v>
      </c>
      <c r="D3" s="20">
        <f>Stats[[#This Row],[W]]</f>
        <v>18</v>
      </c>
      <c r="E3" s="20">
        <f>Stats[[#This Row],[D]]</f>
        <v>1</v>
      </c>
      <c r="F3" s="20">
        <f>Stats[[#This Row],[L]]</f>
        <v>3</v>
      </c>
      <c r="G3" s="20">
        <f>Stats[[#This Row],[Goals For]]</f>
        <v>44</v>
      </c>
      <c r="H3" s="20">
        <f>Stats[[#This Row],[Goals Against]]</f>
        <v>16</v>
      </c>
      <c r="I3" s="20">
        <f>Stats[[#This Row],[Goal Difference]]</f>
        <v>28</v>
      </c>
      <c r="J3" s="20">
        <f>Stats[[#This Row],[Pts]]</f>
        <v>55</v>
      </c>
      <c r="K3" s="20">
        <f>Stats[[#This Row],[Pts/Game]]</f>
        <v>2.5</v>
      </c>
      <c r="L3" s="20">
        <f>Stats[[#This Row],[xG]]</f>
        <v>39.9</v>
      </c>
      <c r="M3" s="20">
        <f>Stats[[#This Row],[xGA]]</f>
        <v>20.5</v>
      </c>
      <c r="N3" s="20">
        <f>Stats[[#This Row],[xGD]]</f>
        <v>19.399999999999999</v>
      </c>
      <c r="O3" s="20">
        <f>Stats[[#This Row],[xGD/90]]</f>
        <v>0.88</v>
      </c>
      <c r="P3" s="20" t="str">
        <f>IF(ISBLANK(Stats[[#This Row],[Notes]])=TRUE,"",Stats[[#This Row],[Notes]])</f>
        <v/>
      </c>
      <c r="Q3" s="46" t="s">
        <v>481</v>
      </c>
      <c r="R3" s="34"/>
      <c r="S3" s="34"/>
      <c r="T3" s="34"/>
    </row>
    <row r="4" spans="1:20" ht="27" customHeight="1" x14ac:dyDescent="0.25">
      <c r="A4" s="20">
        <f>Stats[[#This Row],[Position]]</f>
        <v>2</v>
      </c>
      <c r="B4" s="20" t="str">
        <f>Stats[[#This Row],[Team]]</f>
        <v>Ipswich Town</v>
      </c>
      <c r="C4" s="20">
        <f>Stats[[#This Row],[Matches Played]]</f>
        <v>22</v>
      </c>
      <c r="D4" s="20">
        <f>Stats[[#This Row],[W]]</f>
        <v>16</v>
      </c>
      <c r="E4" s="20">
        <f>Stats[[#This Row],[D]]</f>
        <v>4</v>
      </c>
      <c r="F4" s="20">
        <f>Stats[[#This Row],[L]]</f>
        <v>2</v>
      </c>
      <c r="G4" s="20">
        <f>Stats[[#This Row],[Goals For]]</f>
        <v>47</v>
      </c>
      <c r="H4" s="20">
        <f>Stats[[#This Row],[Goals Against]]</f>
        <v>28</v>
      </c>
      <c r="I4" s="20">
        <f>Stats[[#This Row],[Goal Difference]]</f>
        <v>19</v>
      </c>
      <c r="J4" s="20">
        <f>Stats[[#This Row],[Pts]]</f>
        <v>52</v>
      </c>
      <c r="K4" s="20">
        <f>Stats[[#This Row],[Pts/Game]]</f>
        <v>2.36</v>
      </c>
      <c r="L4" s="20">
        <f>Stats[[#This Row],[xG]]</f>
        <v>38</v>
      </c>
      <c r="M4" s="20">
        <f>Stats[[#This Row],[xGA]]</f>
        <v>24.2</v>
      </c>
      <c r="N4" s="20">
        <f>Stats[[#This Row],[xGD]]</f>
        <v>13.8</v>
      </c>
      <c r="O4" s="20">
        <f>Stats[[#This Row],[xGD/90]]</f>
        <v>0.63</v>
      </c>
      <c r="P4" s="20" t="str">
        <f>IF(ISBLANK(Stats[[#This Row],[Notes]])=TRUE,"",Stats[[#This Row],[Notes]])</f>
        <v/>
      </c>
      <c r="Q4" s="46"/>
      <c r="R4" s="34"/>
      <c r="S4" s="34"/>
      <c r="T4" s="34"/>
    </row>
    <row r="5" spans="1:20" ht="27" customHeight="1" x14ac:dyDescent="0.25">
      <c r="A5" s="25">
        <f>Stats[[#This Row],[Position]]</f>
        <v>3</v>
      </c>
      <c r="B5" s="25" t="str">
        <f>Stats[[#This Row],[Team]]</f>
        <v>Leeds United</v>
      </c>
      <c r="C5" s="25">
        <f>Stats[[#This Row],[Matches Played]]</f>
        <v>22</v>
      </c>
      <c r="D5" s="25">
        <f>Stats[[#This Row],[W]]</f>
        <v>12</v>
      </c>
      <c r="E5" s="25">
        <f>Stats[[#This Row],[D]]</f>
        <v>6</v>
      </c>
      <c r="F5" s="25">
        <f>Stats[[#This Row],[L]]</f>
        <v>4</v>
      </c>
      <c r="G5" s="25">
        <f>Stats[[#This Row],[Goals For]]</f>
        <v>37</v>
      </c>
      <c r="H5" s="25">
        <f>Stats[[#This Row],[Goals Against]]</f>
        <v>22</v>
      </c>
      <c r="I5" s="25">
        <f>Stats[[#This Row],[Goal Difference]]</f>
        <v>15</v>
      </c>
      <c r="J5" s="25">
        <f>Stats[[#This Row],[Pts]]</f>
        <v>42</v>
      </c>
      <c r="K5" s="25">
        <f>Stats[[#This Row],[Pts/Game]]</f>
        <v>1.91</v>
      </c>
      <c r="L5" s="25">
        <f>Stats[[#This Row],[xG]]</f>
        <v>36.799999999999997</v>
      </c>
      <c r="M5" s="25">
        <f>Stats[[#This Row],[xGA]]</f>
        <v>20.100000000000001</v>
      </c>
      <c r="N5" s="25">
        <f>Stats[[#This Row],[xGD]]</f>
        <v>16.7</v>
      </c>
      <c r="O5" s="25">
        <f>Stats[[#This Row],[xGD/90]]</f>
        <v>0.76</v>
      </c>
      <c r="P5" s="25" t="str">
        <f>IF(ISBLANK(Stats[[#This Row],[Notes]])=TRUE,"",Stats[[#This Row],[Notes]])</f>
        <v/>
      </c>
      <c r="Q5" s="45" t="s">
        <v>482</v>
      </c>
      <c r="R5" s="34"/>
      <c r="S5" s="34"/>
      <c r="T5" s="34"/>
    </row>
    <row r="6" spans="1:20" ht="27" customHeight="1" x14ac:dyDescent="0.25">
      <c r="A6" s="25">
        <f>Stats[[#This Row],[Position]]</f>
        <v>4</v>
      </c>
      <c r="B6" s="25" t="str">
        <f>Stats[[#This Row],[Team]]</f>
        <v>Southampton</v>
      </c>
      <c r="C6" s="25">
        <f>Stats[[#This Row],[Matches Played]]</f>
        <v>22</v>
      </c>
      <c r="D6" s="25">
        <f>Stats[[#This Row],[W]]</f>
        <v>12</v>
      </c>
      <c r="E6" s="25">
        <f>Stats[[#This Row],[D]]</f>
        <v>6</v>
      </c>
      <c r="F6" s="25">
        <f>Stats[[#This Row],[L]]</f>
        <v>4</v>
      </c>
      <c r="G6" s="25">
        <f>Stats[[#This Row],[Goals For]]</f>
        <v>37</v>
      </c>
      <c r="H6" s="25">
        <f>Stats[[#This Row],[Goals Against]]</f>
        <v>29</v>
      </c>
      <c r="I6" s="25">
        <f>Stats[[#This Row],[Goal Difference]]</f>
        <v>8</v>
      </c>
      <c r="J6" s="25">
        <f>Stats[[#This Row],[Pts]]</f>
        <v>42</v>
      </c>
      <c r="K6" s="25">
        <f>Stats[[#This Row],[Pts/Game]]</f>
        <v>1.91</v>
      </c>
      <c r="L6" s="25">
        <f>Stats[[#This Row],[xG]]</f>
        <v>34.5</v>
      </c>
      <c r="M6" s="25">
        <f>Stats[[#This Row],[xGA]]</f>
        <v>25.1</v>
      </c>
      <c r="N6" s="25">
        <f>Stats[[#This Row],[xGD]]</f>
        <v>9.4</v>
      </c>
      <c r="O6" s="25">
        <f>Stats[[#This Row],[xGD/90]]</f>
        <v>0.43</v>
      </c>
      <c r="P6" s="25" t="str">
        <f>IF(ISBLANK(Stats[[#This Row],[Notes]])=TRUE,"",Stats[[#This Row],[Notes]])</f>
        <v/>
      </c>
      <c r="Q6" s="45"/>
      <c r="R6" s="34"/>
      <c r="S6" s="34"/>
      <c r="T6" s="34"/>
    </row>
    <row r="7" spans="1:20" ht="27" customHeight="1" x14ac:dyDescent="0.25">
      <c r="A7" s="25">
        <f>Stats[[#This Row],[Position]]</f>
        <v>5</v>
      </c>
      <c r="B7" s="25" t="str">
        <f>Stats[[#This Row],[Team]]</f>
        <v>West Brom</v>
      </c>
      <c r="C7" s="25">
        <f>Stats[[#This Row],[Matches Played]]</f>
        <v>22</v>
      </c>
      <c r="D7" s="25">
        <f>Stats[[#This Row],[W]]</f>
        <v>10</v>
      </c>
      <c r="E7" s="25">
        <f>Stats[[#This Row],[D]]</f>
        <v>6</v>
      </c>
      <c r="F7" s="25">
        <f>Stats[[#This Row],[L]]</f>
        <v>6</v>
      </c>
      <c r="G7" s="25">
        <f>Stats[[#This Row],[Goals For]]</f>
        <v>34</v>
      </c>
      <c r="H7" s="25">
        <f>Stats[[#This Row],[Goals Against]]</f>
        <v>22</v>
      </c>
      <c r="I7" s="25">
        <f>Stats[[#This Row],[Goal Difference]]</f>
        <v>12</v>
      </c>
      <c r="J7" s="25">
        <f>Stats[[#This Row],[Pts]]</f>
        <v>36</v>
      </c>
      <c r="K7" s="25">
        <f>Stats[[#This Row],[Pts/Game]]</f>
        <v>1.64</v>
      </c>
      <c r="L7" s="25">
        <f>Stats[[#This Row],[xG]]</f>
        <v>26</v>
      </c>
      <c r="M7" s="25">
        <f>Stats[[#This Row],[xGA]]</f>
        <v>20.9</v>
      </c>
      <c r="N7" s="25">
        <f>Stats[[#This Row],[xGD]]</f>
        <v>5.0999999999999996</v>
      </c>
      <c r="O7" s="25">
        <f>Stats[[#This Row],[xGD/90]]</f>
        <v>0.23</v>
      </c>
      <c r="P7" s="25" t="str">
        <f>IF(ISBLANK(Stats[[#This Row],[Notes]])=TRUE,"",Stats[[#This Row],[Notes]])</f>
        <v/>
      </c>
      <c r="Q7" s="45"/>
      <c r="R7" s="34"/>
      <c r="S7" s="34"/>
      <c r="T7" s="34"/>
    </row>
    <row r="8" spans="1:20" ht="27" customHeight="1" x14ac:dyDescent="0.25">
      <c r="A8" s="25">
        <f>Stats[[#This Row],[Position]]</f>
        <v>6</v>
      </c>
      <c r="B8" s="25" t="str">
        <f>Stats[[#This Row],[Team]]</f>
        <v>Hull City</v>
      </c>
      <c r="C8" s="25">
        <f>Stats[[#This Row],[Matches Played]]</f>
        <v>22</v>
      </c>
      <c r="D8" s="25">
        <f>Stats[[#This Row],[W]]</f>
        <v>10</v>
      </c>
      <c r="E8" s="25">
        <f>Stats[[#This Row],[D]]</f>
        <v>6</v>
      </c>
      <c r="F8" s="25">
        <f>Stats[[#This Row],[L]]</f>
        <v>6</v>
      </c>
      <c r="G8" s="25">
        <f>Stats[[#This Row],[Goals For]]</f>
        <v>34</v>
      </c>
      <c r="H8" s="25">
        <f>Stats[[#This Row],[Goals Against]]</f>
        <v>27</v>
      </c>
      <c r="I8" s="25">
        <f>Stats[[#This Row],[Goal Difference]]</f>
        <v>7</v>
      </c>
      <c r="J8" s="25">
        <f>Stats[[#This Row],[Pts]]</f>
        <v>36</v>
      </c>
      <c r="K8" s="25">
        <f>Stats[[#This Row],[Pts/Game]]</f>
        <v>1.64</v>
      </c>
      <c r="L8" s="25">
        <f>Stats[[#This Row],[xG]]</f>
        <v>29.7</v>
      </c>
      <c r="M8" s="25">
        <f>Stats[[#This Row],[xGA]]</f>
        <v>24.1</v>
      </c>
      <c r="N8" s="25">
        <f>Stats[[#This Row],[xGD]]</f>
        <v>5.6</v>
      </c>
      <c r="O8" s="25">
        <f>Stats[[#This Row],[xGD/90]]</f>
        <v>0.25</v>
      </c>
      <c r="P8" s="25" t="str">
        <f>IF(ISBLANK(Stats[[#This Row],[Notes]])=TRUE,"",Stats[[#This Row],[Notes]])</f>
        <v/>
      </c>
      <c r="Q8" s="45"/>
      <c r="R8" s="34"/>
      <c r="S8" s="34"/>
      <c r="T8" s="34"/>
    </row>
    <row r="9" spans="1:20" ht="27" customHeight="1" x14ac:dyDescent="0.25">
      <c r="A9" s="26">
        <f>Stats[[#This Row],[Position]]</f>
        <v>7</v>
      </c>
      <c r="B9" s="26" t="str">
        <f>Stats[[#This Row],[Team]]</f>
        <v>Sunderland</v>
      </c>
      <c r="C9" s="26">
        <f>Stats[[#This Row],[Matches Played]]</f>
        <v>22</v>
      </c>
      <c r="D9" s="26">
        <f>Stats[[#This Row],[W]]</f>
        <v>10</v>
      </c>
      <c r="E9" s="26">
        <f>Stats[[#This Row],[D]]</f>
        <v>3</v>
      </c>
      <c r="F9" s="26">
        <f>Stats[[#This Row],[L]]</f>
        <v>9</v>
      </c>
      <c r="G9" s="26">
        <f>Stats[[#This Row],[Goals For]]</f>
        <v>32</v>
      </c>
      <c r="H9" s="26">
        <f>Stats[[#This Row],[Goals Against]]</f>
        <v>24</v>
      </c>
      <c r="I9" s="26">
        <f>Stats[[#This Row],[Goal Difference]]</f>
        <v>8</v>
      </c>
      <c r="J9" s="26">
        <f>Stats[[#This Row],[Pts]]</f>
        <v>33</v>
      </c>
      <c r="K9" s="26">
        <f>Stats[[#This Row],[Pts/Game]]</f>
        <v>1.5</v>
      </c>
      <c r="L9" s="26">
        <f>Stats[[#This Row],[xG]]</f>
        <v>36.299999999999997</v>
      </c>
      <c r="M9" s="26">
        <f>Stats[[#This Row],[xGA]]</f>
        <v>22.8</v>
      </c>
      <c r="N9" s="26">
        <f>Stats[[#This Row],[xGD]]</f>
        <v>13.5</v>
      </c>
      <c r="O9" s="26">
        <f>Stats[[#This Row],[xGD/90]]</f>
        <v>0.61</v>
      </c>
      <c r="P9" s="26" t="str">
        <f>IF(ISBLANK(Stats[[#This Row],[Notes]])=TRUE,"",Stats[[#This Row],[Notes]])</f>
        <v/>
      </c>
      <c r="Q9" s="29"/>
    </row>
    <row r="10" spans="1:20" ht="27" customHeight="1" x14ac:dyDescent="0.25">
      <c r="A10" s="26">
        <f>Stats[[#This Row],[Position]]</f>
        <v>8</v>
      </c>
      <c r="B10" s="26" t="str">
        <f>Stats[[#This Row],[Team]]</f>
        <v>Preston</v>
      </c>
      <c r="C10" s="26">
        <f>Stats[[#This Row],[Matches Played]]</f>
        <v>22</v>
      </c>
      <c r="D10" s="26">
        <f>Stats[[#This Row],[W]]</f>
        <v>9</v>
      </c>
      <c r="E10" s="26">
        <f>Stats[[#This Row],[D]]</f>
        <v>5</v>
      </c>
      <c r="F10" s="26">
        <f>Stats[[#This Row],[L]]</f>
        <v>8</v>
      </c>
      <c r="G10" s="26">
        <f>Stats[[#This Row],[Goals For]]</f>
        <v>28</v>
      </c>
      <c r="H10" s="26">
        <f>Stats[[#This Row],[Goals Against]]</f>
        <v>38</v>
      </c>
      <c r="I10" s="26">
        <f>Stats[[#This Row],[Goal Difference]]</f>
        <v>-10</v>
      </c>
      <c r="J10" s="26">
        <f>Stats[[#This Row],[Pts]]</f>
        <v>32</v>
      </c>
      <c r="K10" s="26">
        <f>Stats[[#This Row],[Pts/Game]]</f>
        <v>1.45</v>
      </c>
      <c r="L10" s="26">
        <f>Stats[[#This Row],[xG]]</f>
        <v>19.399999999999999</v>
      </c>
      <c r="M10" s="26">
        <f>Stats[[#This Row],[xGA]]</f>
        <v>28.8</v>
      </c>
      <c r="N10" s="26">
        <f>Stats[[#This Row],[xGD]]</f>
        <v>-9.4</v>
      </c>
      <c r="O10" s="26">
        <f>Stats[[#This Row],[xGD/90]]</f>
        <v>-0.43</v>
      </c>
      <c r="P10" s="26" t="str">
        <f>IF(ISBLANK(Stats[[#This Row],[Notes]])=TRUE,"",Stats[[#This Row],[Notes]])</f>
        <v/>
      </c>
      <c r="Q10" s="29"/>
    </row>
    <row r="11" spans="1:20" ht="27" customHeight="1" x14ac:dyDescent="0.25">
      <c r="A11" s="26">
        <f>Stats[[#This Row],[Position]]</f>
        <v>9</v>
      </c>
      <c r="B11" s="26" t="str">
        <f>Stats[[#This Row],[Team]]</f>
        <v>Watford</v>
      </c>
      <c r="C11" s="26">
        <f>Stats[[#This Row],[Matches Played]]</f>
        <v>22</v>
      </c>
      <c r="D11" s="26">
        <f>Stats[[#This Row],[W]]</f>
        <v>8</v>
      </c>
      <c r="E11" s="26">
        <f>Stats[[#This Row],[D]]</f>
        <v>7</v>
      </c>
      <c r="F11" s="26">
        <f>Stats[[#This Row],[L]]</f>
        <v>7</v>
      </c>
      <c r="G11" s="26">
        <f>Stats[[#This Row],[Goals For]]</f>
        <v>35</v>
      </c>
      <c r="H11" s="26">
        <f>Stats[[#This Row],[Goals Against]]</f>
        <v>27</v>
      </c>
      <c r="I11" s="26">
        <f>Stats[[#This Row],[Goal Difference]]</f>
        <v>8</v>
      </c>
      <c r="J11" s="26">
        <f>Stats[[#This Row],[Pts]]</f>
        <v>31</v>
      </c>
      <c r="K11" s="26">
        <f>Stats[[#This Row],[Pts/Game]]</f>
        <v>1.41</v>
      </c>
      <c r="L11" s="26">
        <f>Stats[[#This Row],[xG]]</f>
        <v>27.1</v>
      </c>
      <c r="M11" s="26">
        <f>Stats[[#This Row],[xGA]]</f>
        <v>25.1</v>
      </c>
      <c r="N11" s="26">
        <f>Stats[[#This Row],[xGD]]</f>
        <v>2</v>
      </c>
      <c r="O11" s="26">
        <f>Stats[[#This Row],[xGD/90]]</f>
        <v>0.09</v>
      </c>
      <c r="P11" s="26" t="str">
        <f>IF(ISBLANK(Stats[[#This Row],[Notes]])=TRUE,"",Stats[[#This Row],[Notes]])</f>
        <v/>
      </c>
      <c r="Q11" s="29"/>
    </row>
    <row r="12" spans="1:20" ht="27" customHeight="1" x14ac:dyDescent="0.25">
      <c r="A12" s="26">
        <f>Stats[[#This Row],[Position]]</f>
        <v>10</v>
      </c>
      <c r="B12" s="26" t="str">
        <f>Stats[[#This Row],[Team]]</f>
        <v>Norwich City</v>
      </c>
      <c r="C12" s="26">
        <f>Stats[[#This Row],[Matches Played]]</f>
        <v>22</v>
      </c>
      <c r="D12" s="26">
        <f>Stats[[#This Row],[W]]</f>
        <v>9</v>
      </c>
      <c r="E12" s="26">
        <f>Stats[[#This Row],[D]]</f>
        <v>4</v>
      </c>
      <c r="F12" s="26">
        <f>Stats[[#This Row],[L]]</f>
        <v>9</v>
      </c>
      <c r="G12" s="26">
        <f>Stats[[#This Row],[Goals For]]</f>
        <v>39</v>
      </c>
      <c r="H12" s="26">
        <f>Stats[[#This Row],[Goals Against]]</f>
        <v>39</v>
      </c>
      <c r="I12" s="26">
        <f>Stats[[#This Row],[Goal Difference]]</f>
        <v>0</v>
      </c>
      <c r="J12" s="26">
        <f>Stats[[#This Row],[Pts]]</f>
        <v>31</v>
      </c>
      <c r="K12" s="26">
        <f>Stats[[#This Row],[Pts/Game]]</f>
        <v>1.41</v>
      </c>
      <c r="L12" s="26">
        <f>Stats[[#This Row],[xG]]</f>
        <v>31</v>
      </c>
      <c r="M12" s="26">
        <f>Stats[[#This Row],[xGA]]</f>
        <v>33.6</v>
      </c>
      <c r="N12" s="26">
        <f>Stats[[#This Row],[xGD]]</f>
        <v>-2.6</v>
      </c>
      <c r="O12" s="26">
        <f>Stats[[#This Row],[xGD/90]]</f>
        <v>-0.12</v>
      </c>
      <c r="P12" s="26" t="str">
        <f>IF(ISBLANK(Stats[[#This Row],[Notes]])=TRUE,"",Stats[[#This Row],[Notes]])</f>
        <v/>
      </c>
      <c r="Q12" s="29"/>
    </row>
    <row r="13" spans="1:20" ht="27" customHeight="1" x14ac:dyDescent="0.25">
      <c r="A13" s="26">
        <f>Stats[[#This Row],[Position]]</f>
        <v>11</v>
      </c>
      <c r="B13" s="26" t="str">
        <f>Stats[[#This Row],[Team]]</f>
        <v>Blackburn</v>
      </c>
      <c r="C13" s="26">
        <f>Stats[[#This Row],[Matches Played]]</f>
        <v>22</v>
      </c>
      <c r="D13" s="26">
        <f>Stats[[#This Row],[W]]</f>
        <v>10</v>
      </c>
      <c r="E13" s="26">
        <f>Stats[[#This Row],[D]]</f>
        <v>1</v>
      </c>
      <c r="F13" s="26">
        <f>Stats[[#This Row],[L]]</f>
        <v>11</v>
      </c>
      <c r="G13" s="26">
        <f>Stats[[#This Row],[Goals For]]</f>
        <v>34</v>
      </c>
      <c r="H13" s="26">
        <f>Stats[[#This Row],[Goals Against]]</f>
        <v>38</v>
      </c>
      <c r="I13" s="26">
        <f>Stats[[#This Row],[Goal Difference]]</f>
        <v>-4</v>
      </c>
      <c r="J13" s="26">
        <f>Stats[[#This Row],[Pts]]</f>
        <v>31</v>
      </c>
      <c r="K13" s="26">
        <f>Stats[[#This Row],[Pts/Game]]</f>
        <v>1.41</v>
      </c>
      <c r="L13" s="26">
        <f>Stats[[#This Row],[xG]]</f>
        <v>33.4</v>
      </c>
      <c r="M13" s="26">
        <f>Stats[[#This Row],[xGA]]</f>
        <v>32.1</v>
      </c>
      <c r="N13" s="26">
        <f>Stats[[#This Row],[xGD]]</f>
        <v>1.2</v>
      </c>
      <c r="O13" s="26">
        <f>Stats[[#This Row],[xGD/90]]</f>
        <v>0.06</v>
      </c>
      <c r="P13" s="26" t="str">
        <f>IF(ISBLANK(Stats[[#This Row],[Notes]])=TRUE,"",Stats[[#This Row],[Notes]])</f>
        <v/>
      </c>
      <c r="Q13" s="29"/>
    </row>
    <row r="14" spans="1:20" ht="27" customHeight="1" x14ac:dyDescent="0.25">
      <c r="A14" s="26">
        <f>Stats[[#This Row],[Position]]</f>
        <v>12</v>
      </c>
      <c r="B14" s="26" t="str">
        <f>Stats[[#This Row],[Team]]</f>
        <v>Cardiff City</v>
      </c>
      <c r="C14" s="26">
        <f>Stats[[#This Row],[Matches Played]]</f>
        <v>22</v>
      </c>
      <c r="D14" s="26">
        <f>Stats[[#This Row],[W]]</f>
        <v>9</v>
      </c>
      <c r="E14" s="26">
        <f>Stats[[#This Row],[D]]</f>
        <v>3</v>
      </c>
      <c r="F14" s="26">
        <f>Stats[[#This Row],[L]]</f>
        <v>10</v>
      </c>
      <c r="G14" s="26">
        <f>Stats[[#This Row],[Goals For]]</f>
        <v>28</v>
      </c>
      <c r="H14" s="26">
        <f>Stats[[#This Row],[Goals Against]]</f>
        <v>27</v>
      </c>
      <c r="I14" s="26">
        <f>Stats[[#This Row],[Goal Difference]]</f>
        <v>1</v>
      </c>
      <c r="J14" s="26">
        <f>Stats[[#This Row],[Pts]]</f>
        <v>30</v>
      </c>
      <c r="K14" s="26">
        <f>Stats[[#This Row],[Pts/Game]]</f>
        <v>1.36</v>
      </c>
      <c r="L14" s="26">
        <f>Stats[[#This Row],[xG]]</f>
        <v>23.8</v>
      </c>
      <c r="M14" s="26">
        <f>Stats[[#This Row],[xGA]]</f>
        <v>31.3</v>
      </c>
      <c r="N14" s="26">
        <f>Stats[[#This Row],[xGD]]</f>
        <v>-7.5</v>
      </c>
      <c r="O14" s="26">
        <f>Stats[[#This Row],[xGD/90]]</f>
        <v>-0.34</v>
      </c>
      <c r="P14" s="26" t="str">
        <f>IF(ISBLANK(Stats[[#This Row],[Notes]])=TRUE,"",Stats[[#This Row],[Notes]])</f>
        <v/>
      </c>
      <c r="Q14" s="29"/>
    </row>
    <row r="15" spans="1:20" ht="27" customHeight="1" x14ac:dyDescent="0.25">
      <c r="A15" s="26">
        <f>Stats[[#This Row],[Position]]</f>
        <v>13</v>
      </c>
      <c r="B15" s="26" t="str">
        <f>Stats[[#This Row],[Team]]</f>
        <v>Middlesbrough</v>
      </c>
      <c r="C15" s="26">
        <f>Stats[[#This Row],[Matches Played]]</f>
        <v>22</v>
      </c>
      <c r="D15" s="26">
        <f>Stats[[#This Row],[W]]</f>
        <v>9</v>
      </c>
      <c r="E15" s="26">
        <f>Stats[[#This Row],[D]]</f>
        <v>3</v>
      </c>
      <c r="F15" s="26">
        <f>Stats[[#This Row],[L]]</f>
        <v>10</v>
      </c>
      <c r="G15" s="26">
        <f>Stats[[#This Row],[Goals For]]</f>
        <v>34</v>
      </c>
      <c r="H15" s="26">
        <f>Stats[[#This Row],[Goals Against]]</f>
        <v>34</v>
      </c>
      <c r="I15" s="26">
        <f>Stats[[#This Row],[Goal Difference]]</f>
        <v>0</v>
      </c>
      <c r="J15" s="26">
        <f>Stats[[#This Row],[Pts]]</f>
        <v>30</v>
      </c>
      <c r="K15" s="26">
        <f>Stats[[#This Row],[Pts/Game]]</f>
        <v>1.36</v>
      </c>
      <c r="L15" s="26">
        <f>Stats[[#This Row],[xG]]</f>
        <v>35.299999999999997</v>
      </c>
      <c r="M15" s="26">
        <f>Stats[[#This Row],[xGA]]</f>
        <v>25.4</v>
      </c>
      <c r="N15" s="26">
        <f>Stats[[#This Row],[xGD]]</f>
        <v>9.9</v>
      </c>
      <c r="O15" s="26">
        <f>Stats[[#This Row],[xGD/90]]</f>
        <v>0.45</v>
      </c>
      <c r="P15" s="26" t="str">
        <f>IF(ISBLANK(Stats[[#This Row],[Notes]])=TRUE,"",Stats[[#This Row],[Notes]])</f>
        <v/>
      </c>
      <c r="Q15" s="29"/>
    </row>
    <row r="16" spans="1:20" ht="27" customHeight="1" x14ac:dyDescent="0.25">
      <c r="A16" s="26">
        <f>Stats[[#This Row],[Position]]</f>
        <v>14</v>
      </c>
      <c r="B16" s="26" t="str">
        <f>Stats[[#This Row],[Team]]</f>
        <v>Bristol City</v>
      </c>
      <c r="C16" s="26">
        <f>Stats[[#This Row],[Matches Played]]</f>
        <v>22</v>
      </c>
      <c r="D16" s="26">
        <f>Stats[[#This Row],[W]]</f>
        <v>8</v>
      </c>
      <c r="E16" s="26">
        <f>Stats[[#This Row],[D]]</f>
        <v>5</v>
      </c>
      <c r="F16" s="26">
        <f>Stats[[#This Row],[L]]</f>
        <v>9</v>
      </c>
      <c r="G16" s="26">
        <f>Stats[[#This Row],[Goals For]]</f>
        <v>23</v>
      </c>
      <c r="H16" s="26">
        <f>Stats[[#This Row],[Goals Against]]</f>
        <v>24</v>
      </c>
      <c r="I16" s="26">
        <f>Stats[[#This Row],[Goal Difference]]</f>
        <v>-1</v>
      </c>
      <c r="J16" s="26">
        <f>Stats[[#This Row],[Pts]]</f>
        <v>29</v>
      </c>
      <c r="K16" s="26">
        <f>Stats[[#This Row],[Pts/Game]]</f>
        <v>1.32</v>
      </c>
      <c r="L16" s="26">
        <f>Stats[[#This Row],[xG]]</f>
        <v>24.7</v>
      </c>
      <c r="M16" s="26">
        <f>Stats[[#This Row],[xGA]]</f>
        <v>24.3</v>
      </c>
      <c r="N16" s="26">
        <f>Stats[[#This Row],[xGD]]</f>
        <v>0.4</v>
      </c>
      <c r="O16" s="26">
        <f>Stats[[#This Row],[xGD/90]]</f>
        <v>0.02</v>
      </c>
      <c r="P16" s="26" t="str">
        <f>IF(ISBLANK(Stats[[#This Row],[Notes]])=TRUE,"",Stats[[#This Row],[Notes]])</f>
        <v/>
      </c>
      <c r="Q16" s="29"/>
    </row>
    <row r="17" spans="1:20" ht="27" customHeight="1" x14ac:dyDescent="0.25">
      <c r="A17" s="26">
        <f>Stats[[#This Row],[Position]]</f>
        <v>15</v>
      </c>
      <c r="B17" s="26" t="str">
        <f>Stats[[#This Row],[Team]]</f>
        <v>Coventry City</v>
      </c>
      <c r="C17" s="26">
        <f>Stats[[#This Row],[Matches Played]]</f>
        <v>22</v>
      </c>
      <c r="D17" s="26">
        <f>Stats[[#This Row],[W]]</f>
        <v>6</v>
      </c>
      <c r="E17" s="26">
        <f>Stats[[#This Row],[D]]</f>
        <v>9</v>
      </c>
      <c r="F17" s="26">
        <f>Stats[[#This Row],[L]]</f>
        <v>7</v>
      </c>
      <c r="G17" s="26">
        <f>Stats[[#This Row],[Goals For]]</f>
        <v>28</v>
      </c>
      <c r="H17" s="26">
        <f>Stats[[#This Row],[Goals Against]]</f>
        <v>25</v>
      </c>
      <c r="I17" s="26">
        <f>Stats[[#This Row],[Goal Difference]]</f>
        <v>3</v>
      </c>
      <c r="J17" s="26">
        <f>Stats[[#This Row],[Pts]]</f>
        <v>27</v>
      </c>
      <c r="K17" s="26">
        <f>Stats[[#This Row],[Pts/Game]]</f>
        <v>1.23</v>
      </c>
      <c r="L17" s="26">
        <f>Stats[[#This Row],[xG]]</f>
        <v>31.3</v>
      </c>
      <c r="M17" s="26">
        <f>Stats[[#This Row],[xGA]]</f>
        <v>24</v>
      </c>
      <c r="N17" s="26">
        <f>Stats[[#This Row],[xGD]]</f>
        <v>7.3</v>
      </c>
      <c r="O17" s="26">
        <f>Stats[[#This Row],[xGD/90]]</f>
        <v>0.33</v>
      </c>
      <c r="P17" s="26" t="str">
        <f>IF(ISBLANK(Stats[[#This Row],[Notes]])=TRUE,"",Stats[[#This Row],[Notes]])</f>
        <v/>
      </c>
      <c r="Q17" s="29"/>
    </row>
    <row r="18" spans="1:20" ht="27" customHeight="1" x14ac:dyDescent="0.25">
      <c r="A18" s="26">
        <f>Stats[[#This Row],[Position]]</f>
        <v>16</v>
      </c>
      <c r="B18" s="26" t="str">
        <f>Stats[[#This Row],[Team]]</f>
        <v>Plymouth Argyle</v>
      </c>
      <c r="C18" s="26">
        <f>Stats[[#This Row],[Matches Played]]</f>
        <v>22</v>
      </c>
      <c r="D18" s="26">
        <f>Stats[[#This Row],[W]]</f>
        <v>7</v>
      </c>
      <c r="E18" s="26">
        <f>Stats[[#This Row],[D]]</f>
        <v>5</v>
      </c>
      <c r="F18" s="26">
        <f>Stats[[#This Row],[L]]</f>
        <v>10</v>
      </c>
      <c r="G18" s="26">
        <f>Stats[[#This Row],[Goals For]]</f>
        <v>34</v>
      </c>
      <c r="H18" s="26">
        <f>Stats[[#This Row],[Goals Against]]</f>
        <v>35</v>
      </c>
      <c r="I18" s="26">
        <f>Stats[[#This Row],[Goal Difference]]</f>
        <v>-1</v>
      </c>
      <c r="J18" s="26">
        <f>Stats[[#This Row],[Pts]]</f>
        <v>26</v>
      </c>
      <c r="K18" s="26">
        <f>Stats[[#This Row],[Pts/Game]]</f>
        <v>1.18</v>
      </c>
      <c r="L18" s="26">
        <f>Stats[[#This Row],[xG]]</f>
        <v>29.2</v>
      </c>
      <c r="M18" s="26">
        <f>Stats[[#This Row],[xGA]]</f>
        <v>38.6</v>
      </c>
      <c r="N18" s="26">
        <f>Stats[[#This Row],[xGD]]</f>
        <v>-9.4</v>
      </c>
      <c r="O18" s="26">
        <f>Stats[[#This Row],[xGD/90]]</f>
        <v>-0.43</v>
      </c>
      <c r="P18" s="26" t="str">
        <f>IF(ISBLANK(Stats[[#This Row],[Notes]])=TRUE,"",Stats[[#This Row],[Notes]])</f>
        <v/>
      </c>
      <c r="Q18" s="29"/>
    </row>
    <row r="19" spans="1:20" ht="27" customHeight="1" x14ac:dyDescent="0.25">
      <c r="A19" s="26">
        <f>Stats[[#This Row],[Position]]</f>
        <v>17</v>
      </c>
      <c r="B19" s="26" t="str">
        <f>Stats[[#This Row],[Team]]</f>
        <v>Birmingham City</v>
      </c>
      <c r="C19" s="26">
        <f>Stats[[#This Row],[Matches Played]]</f>
        <v>22</v>
      </c>
      <c r="D19" s="26">
        <f>Stats[[#This Row],[W]]</f>
        <v>7</v>
      </c>
      <c r="E19" s="26">
        <f>Stats[[#This Row],[D]]</f>
        <v>5</v>
      </c>
      <c r="F19" s="26">
        <f>Stats[[#This Row],[L]]</f>
        <v>10</v>
      </c>
      <c r="G19" s="26">
        <f>Stats[[#This Row],[Goals For]]</f>
        <v>26</v>
      </c>
      <c r="H19" s="26">
        <f>Stats[[#This Row],[Goals Against]]</f>
        <v>32</v>
      </c>
      <c r="I19" s="26">
        <f>Stats[[#This Row],[Goal Difference]]</f>
        <v>-6</v>
      </c>
      <c r="J19" s="26">
        <f>Stats[[#This Row],[Pts]]</f>
        <v>26</v>
      </c>
      <c r="K19" s="26">
        <f>Stats[[#This Row],[Pts/Game]]</f>
        <v>1.18</v>
      </c>
      <c r="L19" s="26">
        <f>Stats[[#This Row],[xG]]</f>
        <v>24.8</v>
      </c>
      <c r="M19" s="26">
        <f>Stats[[#This Row],[xGA]]</f>
        <v>30.5</v>
      </c>
      <c r="N19" s="26">
        <f>Stats[[#This Row],[xGD]]</f>
        <v>-5.7</v>
      </c>
      <c r="O19" s="26">
        <f>Stats[[#This Row],[xGD/90]]</f>
        <v>-0.26</v>
      </c>
      <c r="P19" s="26" t="str">
        <f>IF(ISBLANK(Stats[[#This Row],[Notes]])=TRUE,"",Stats[[#This Row],[Notes]])</f>
        <v/>
      </c>
      <c r="Q19" s="29"/>
    </row>
    <row r="20" spans="1:20" ht="27" customHeight="1" x14ac:dyDescent="0.25">
      <c r="A20" s="26">
        <f>Stats[[#This Row],[Position]]</f>
        <v>18</v>
      </c>
      <c r="B20" s="26" t="str">
        <f>Stats[[#This Row],[Team]]</f>
        <v>Swansea City</v>
      </c>
      <c r="C20" s="26">
        <f>Stats[[#This Row],[Matches Played]]</f>
        <v>22</v>
      </c>
      <c r="D20" s="26">
        <f>Stats[[#This Row],[W]]</f>
        <v>6</v>
      </c>
      <c r="E20" s="26">
        <f>Stats[[#This Row],[D]]</f>
        <v>7</v>
      </c>
      <c r="F20" s="26">
        <f>Stats[[#This Row],[L]]</f>
        <v>9</v>
      </c>
      <c r="G20" s="26">
        <f>Stats[[#This Row],[Goals For]]</f>
        <v>30</v>
      </c>
      <c r="H20" s="26">
        <f>Stats[[#This Row],[Goals Against]]</f>
        <v>31</v>
      </c>
      <c r="I20" s="26">
        <f>Stats[[#This Row],[Goal Difference]]</f>
        <v>-1</v>
      </c>
      <c r="J20" s="26">
        <f>Stats[[#This Row],[Pts]]</f>
        <v>25</v>
      </c>
      <c r="K20" s="26">
        <f>Stats[[#This Row],[Pts/Game]]</f>
        <v>1.1399999999999999</v>
      </c>
      <c r="L20" s="26">
        <f>Stats[[#This Row],[xG]]</f>
        <v>27</v>
      </c>
      <c r="M20" s="26">
        <f>Stats[[#This Row],[xGA]]</f>
        <v>33.6</v>
      </c>
      <c r="N20" s="26">
        <f>Stats[[#This Row],[xGD]]</f>
        <v>-6.6</v>
      </c>
      <c r="O20" s="26">
        <f>Stats[[#This Row],[xGD/90]]</f>
        <v>-0.3</v>
      </c>
      <c r="P20" s="26" t="str">
        <f>IF(ISBLANK(Stats[[#This Row],[Notes]])=TRUE,"",Stats[[#This Row],[Notes]])</f>
        <v/>
      </c>
      <c r="Q20" s="30"/>
      <c r="R20" s="34"/>
      <c r="S20" s="34"/>
      <c r="T20" s="34"/>
    </row>
    <row r="21" spans="1:20" ht="27" customHeight="1" x14ac:dyDescent="0.25">
      <c r="A21" s="26">
        <f>Stats[[#This Row],[Position]]</f>
        <v>19</v>
      </c>
      <c r="B21" s="26" t="str">
        <f>Stats[[#This Row],[Team]]</f>
        <v>Stoke City</v>
      </c>
      <c r="C21" s="26">
        <f>Stats[[#This Row],[Matches Played]]</f>
        <v>22</v>
      </c>
      <c r="D21" s="26">
        <f>Stats[[#This Row],[W]]</f>
        <v>6</v>
      </c>
      <c r="E21" s="26">
        <f>Stats[[#This Row],[D]]</f>
        <v>5</v>
      </c>
      <c r="F21" s="26">
        <f>Stats[[#This Row],[L]]</f>
        <v>11</v>
      </c>
      <c r="G21" s="26">
        <f>Stats[[#This Row],[Goals For]]</f>
        <v>21</v>
      </c>
      <c r="H21" s="26">
        <f>Stats[[#This Row],[Goals Against]]</f>
        <v>30</v>
      </c>
      <c r="I21" s="26">
        <f>Stats[[#This Row],[Goal Difference]]</f>
        <v>-9</v>
      </c>
      <c r="J21" s="26">
        <f>Stats[[#This Row],[Pts]]</f>
        <v>23</v>
      </c>
      <c r="K21" s="26">
        <f>Stats[[#This Row],[Pts/Game]]</f>
        <v>1.05</v>
      </c>
      <c r="L21" s="26">
        <f>Stats[[#This Row],[xG]]</f>
        <v>25.6</v>
      </c>
      <c r="M21" s="26">
        <f>Stats[[#This Row],[xGA]]</f>
        <v>29.3</v>
      </c>
      <c r="N21" s="26">
        <f>Stats[[#This Row],[xGD]]</f>
        <v>-3.7</v>
      </c>
      <c r="O21" s="26">
        <f>Stats[[#This Row],[xGD/90]]</f>
        <v>-0.17</v>
      </c>
      <c r="P21" s="26" t="str">
        <f>IF(ISBLANK(Stats[[#This Row],[Notes]])=TRUE,"",Stats[[#This Row],[Notes]])</f>
        <v/>
      </c>
      <c r="Q21" s="30"/>
      <c r="R21" s="34"/>
      <c r="S21" s="34"/>
      <c r="T21" s="34"/>
    </row>
    <row r="22" spans="1:20" ht="27" customHeight="1" x14ac:dyDescent="0.25">
      <c r="A22" s="26">
        <f>Stats[[#This Row],[Position]]</f>
        <v>20</v>
      </c>
      <c r="B22" s="26" t="str">
        <f>Stats[[#This Row],[Team]]</f>
        <v>Millwall</v>
      </c>
      <c r="C22" s="26">
        <f>Stats[[#This Row],[Matches Played]]</f>
        <v>22</v>
      </c>
      <c r="D22" s="26">
        <f>Stats[[#This Row],[W]]</f>
        <v>5</v>
      </c>
      <c r="E22" s="26">
        <f>Stats[[#This Row],[D]]</f>
        <v>7</v>
      </c>
      <c r="F22" s="26">
        <f>Stats[[#This Row],[L]]</f>
        <v>10</v>
      </c>
      <c r="G22" s="26">
        <f>Stats[[#This Row],[Goals For]]</f>
        <v>24</v>
      </c>
      <c r="H22" s="26">
        <f>Stats[[#This Row],[Goals Against]]</f>
        <v>31</v>
      </c>
      <c r="I22" s="26">
        <f>Stats[[#This Row],[Goal Difference]]</f>
        <v>-7</v>
      </c>
      <c r="J22" s="26">
        <f>Stats[[#This Row],[Pts]]</f>
        <v>22</v>
      </c>
      <c r="K22" s="26">
        <f>Stats[[#This Row],[Pts/Game]]</f>
        <v>1</v>
      </c>
      <c r="L22" s="26">
        <f>Stats[[#This Row],[xG]]</f>
        <v>22.6</v>
      </c>
      <c r="M22" s="26">
        <f>Stats[[#This Row],[xGA]]</f>
        <v>30.3</v>
      </c>
      <c r="N22" s="26">
        <f>Stats[[#This Row],[xGD]]</f>
        <v>-7.7</v>
      </c>
      <c r="O22" s="26">
        <f>Stats[[#This Row],[xGD/90]]</f>
        <v>-0.35</v>
      </c>
      <c r="P22" s="26" t="str">
        <f>IF(ISBLANK(Stats[[#This Row],[Notes]])=TRUE,"",Stats[[#This Row],[Notes]])</f>
        <v/>
      </c>
      <c r="Q22" s="30"/>
      <c r="R22" s="34"/>
      <c r="S22" s="34"/>
      <c r="T22" s="34"/>
    </row>
    <row r="23" spans="1:20" ht="27" customHeight="1" x14ac:dyDescent="0.25">
      <c r="A23" s="26">
        <f>Stats[[#This Row],[Position]]</f>
        <v>21</v>
      </c>
      <c r="B23" s="26" t="str">
        <f>Stats[[#This Row],[Team]]</f>
        <v>Huddersfield</v>
      </c>
      <c r="C23" s="26">
        <f>Stats[[#This Row],[Matches Played]]</f>
        <v>22</v>
      </c>
      <c r="D23" s="26">
        <f>Stats[[#This Row],[W]]</f>
        <v>4</v>
      </c>
      <c r="E23" s="26">
        <f>Stats[[#This Row],[D]]</f>
        <v>10</v>
      </c>
      <c r="F23" s="26">
        <f>Stats[[#This Row],[L]]</f>
        <v>8</v>
      </c>
      <c r="G23" s="26">
        <f>Stats[[#This Row],[Goals For]]</f>
        <v>21</v>
      </c>
      <c r="H23" s="26">
        <f>Stats[[#This Row],[Goals Against]]</f>
        <v>36</v>
      </c>
      <c r="I23" s="26">
        <f>Stats[[#This Row],[Goal Difference]]</f>
        <v>-15</v>
      </c>
      <c r="J23" s="26">
        <f>Stats[[#This Row],[Pts]]</f>
        <v>22</v>
      </c>
      <c r="K23" s="26">
        <f>Stats[[#This Row],[Pts/Game]]</f>
        <v>1</v>
      </c>
      <c r="L23" s="26">
        <f>Stats[[#This Row],[xG]]</f>
        <v>22.1</v>
      </c>
      <c r="M23" s="26">
        <f>Stats[[#This Row],[xGA]]</f>
        <v>32.6</v>
      </c>
      <c r="N23" s="26">
        <f>Stats[[#This Row],[xGD]]</f>
        <v>-10.4</v>
      </c>
      <c r="O23" s="26">
        <f>Stats[[#This Row],[xGD/90]]</f>
        <v>-0.47</v>
      </c>
      <c r="P23" s="26" t="str">
        <f>IF(ISBLANK(Stats[[#This Row],[Notes]])=TRUE,"",Stats[[#This Row],[Notes]])</f>
        <v/>
      </c>
      <c r="Q23" s="29"/>
    </row>
    <row r="24" spans="1:20" ht="27" customHeight="1" x14ac:dyDescent="0.25">
      <c r="A24" s="21">
        <f>Stats[[#This Row],[Position]]</f>
        <v>22</v>
      </c>
      <c r="B24" s="21" t="str">
        <f>Stats[[#This Row],[Team]]</f>
        <v>QPR</v>
      </c>
      <c r="C24" s="21">
        <f>Stats[[#This Row],[Matches Played]]</f>
        <v>22</v>
      </c>
      <c r="D24" s="21">
        <f>Stats[[#This Row],[W]]</f>
        <v>5</v>
      </c>
      <c r="E24" s="21">
        <f>Stats[[#This Row],[D]]</f>
        <v>5</v>
      </c>
      <c r="F24" s="21">
        <f>Stats[[#This Row],[L]]</f>
        <v>12</v>
      </c>
      <c r="G24" s="21">
        <f>Stats[[#This Row],[Goals For]]</f>
        <v>20</v>
      </c>
      <c r="H24" s="21">
        <f>Stats[[#This Row],[Goals Against]]</f>
        <v>32</v>
      </c>
      <c r="I24" s="21">
        <f>Stats[[#This Row],[Goal Difference]]</f>
        <v>-12</v>
      </c>
      <c r="J24" s="21">
        <f>Stats[[#This Row],[Pts]]</f>
        <v>20</v>
      </c>
      <c r="K24" s="21">
        <f>Stats[[#This Row],[Pts/Game]]</f>
        <v>0.91</v>
      </c>
      <c r="L24" s="21">
        <f>Stats[[#This Row],[xG]]</f>
        <v>18.899999999999999</v>
      </c>
      <c r="M24" s="21">
        <f>Stats[[#This Row],[xGA]]</f>
        <v>29</v>
      </c>
      <c r="N24" s="21">
        <f>Stats[[#This Row],[xGD]]</f>
        <v>-10</v>
      </c>
      <c r="O24" s="21">
        <f>Stats[[#This Row],[xGD/90]]</f>
        <v>-0.46</v>
      </c>
      <c r="P24" s="21" t="str">
        <f>IF(ISBLANK(Stats[[#This Row],[Notes]])=TRUE,"",Stats[[#This Row],[Notes]])</f>
        <v/>
      </c>
      <c r="Q24" s="45" t="s">
        <v>304</v>
      </c>
    </row>
    <row r="25" spans="1:20" ht="27" customHeight="1" x14ac:dyDescent="0.25">
      <c r="A25" s="21">
        <f>Stats[[#This Row],[Position]]</f>
        <v>23</v>
      </c>
      <c r="B25" s="21" t="str">
        <f>Stats[[#This Row],[Team]]</f>
        <v>Sheffield Weds</v>
      </c>
      <c r="C25" s="21">
        <f>Stats[[#This Row],[Matches Played]]</f>
        <v>22</v>
      </c>
      <c r="D25" s="21">
        <f>Stats[[#This Row],[W]]</f>
        <v>4</v>
      </c>
      <c r="E25" s="21">
        <f>Stats[[#This Row],[D]]</f>
        <v>4</v>
      </c>
      <c r="F25" s="21">
        <f>Stats[[#This Row],[L]]</f>
        <v>14</v>
      </c>
      <c r="G25" s="21">
        <f>Stats[[#This Row],[Goals For]]</f>
        <v>16</v>
      </c>
      <c r="H25" s="21">
        <f>Stats[[#This Row],[Goals Against]]</f>
        <v>35</v>
      </c>
      <c r="I25" s="21">
        <f>Stats[[#This Row],[Goal Difference]]</f>
        <v>-19</v>
      </c>
      <c r="J25" s="21">
        <f>Stats[[#This Row],[Pts]]</f>
        <v>16</v>
      </c>
      <c r="K25" s="21">
        <f>Stats[[#This Row],[Pts/Game]]</f>
        <v>0.73</v>
      </c>
      <c r="L25" s="21">
        <f>Stats[[#This Row],[xG]]</f>
        <v>21.9</v>
      </c>
      <c r="M25" s="21">
        <f>Stats[[#This Row],[xGA]]</f>
        <v>27.9</v>
      </c>
      <c r="N25" s="21">
        <f>Stats[[#This Row],[xGD]]</f>
        <v>-6</v>
      </c>
      <c r="O25" s="21">
        <f>Stats[[#This Row],[xGD/90]]</f>
        <v>-0.27</v>
      </c>
      <c r="P25" s="21" t="str">
        <f>IF(ISBLANK(Stats[[#This Row],[Notes]])=TRUE,"",Stats[[#This Row],[Notes]])</f>
        <v/>
      </c>
      <c r="Q25" s="45"/>
    </row>
    <row r="26" spans="1:20" ht="27" customHeight="1" x14ac:dyDescent="0.25">
      <c r="A26" s="21">
        <f>Stats[[#This Row],[Position]]</f>
        <v>24</v>
      </c>
      <c r="B26" s="21" t="str">
        <f>Stats[[#This Row],[Team]]</f>
        <v>Rotherham Utd</v>
      </c>
      <c r="C26" s="21">
        <f>Stats[[#This Row],[Matches Played]]</f>
        <v>22</v>
      </c>
      <c r="D26" s="21">
        <f>Stats[[#This Row],[W]]</f>
        <v>2</v>
      </c>
      <c r="E26" s="21">
        <f>Stats[[#This Row],[D]]</f>
        <v>7</v>
      </c>
      <c r="F26" s="21">
        <f>Stats[[#This Row],[L]]</f>
        <v>13</v>
      </c>
      <c r="G26" s="21">
        <f>Stats[[#This Row],[Goals For]]</f>
        <v>20</v>
      </c>
      <c r="H26" s="21">
        <f>Stats[[#This Row],[Goals Against]]</f>
        <v>44</v>
      </c>
      <c r="I26" s="21">
        <f>Stats[[#This Row],[Goal Difference]]</f>
        <v>-24</v>
      </c>
      <c r="J26" s="21">
        <f>Stats[[#This Row],[Pts]]</f>
        <v>13</v>
      </c>
      <c r="K26" s="21">
        <f>Stats[[#This Row],[Pts/Game]]</f>
        <v>0.59</v>
      </c>
      <c r="L26" s="21">
        <f>Stats[[#This Row],[xG]]</f>
        <v>14.9</v>
      </c>
      <c r="M26" s="21">
        <f>Stats[[#This Row],[xGA]]</f>
        <v>40.299999999999997</v>
      </c>
      <c r="N26" s="21">
        <f>Stats[[#This Row],[xGD]]</f>
        <v>-25.4</v>
      </c>
      <c r="O26" s="21">
        <f>Stats[[#This Row],[xGD/90]]</f>
        <v>-1.1499999999999999</v>
      </c>
      <c r="P26" s="21" t="str">
        <f>IF(ISBLANK(Stats[[#This Row],[Notes]])=TRUE,"",Stats[[#This Row],[Notes]])</f>
        <v/>
      </c>
      <c r="Q26" s="45"/>
    </row>
  </sheetData>
  <mergeCells count="4">
    <mergeCell ref="Q24:Q26"/>
    <mergeCell ref="Q3:Q4"/>
    <mergeCell ref="Q5:Q8"/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094D-1589-47F7-8985-640A6CEE825C}">
  <sheetPr codeName="Sheet4"/>
  <dimension ref="A1:P29"/>
  <sheetViews>
    <sheetView zoomScaleNormal="100" workbookViewId="0">
      <selection activeCell="R30" sqref="R30"/>
    </sheetView>
  </sheetViews>
  <sheetFormatPr defaultRowHeight="15" x14ac:dyDescent="0.25"/>
  <cols>
    <col min="1" max="1" width="15.85546875" bestFit="1" customWidth="1"/>
    <col min="2" max="2" width="17.42578125" bestFit="1" customWidth="1"/>
    <col min="3" max="3" width="8.28515625" bestFit="1" customWidth="1"/>
    <col min="4" max="4" width="12" bestFit="1" customWidth="1"/>
    <col min="5" max="5" width="8.140625" bestFit="1" customWidth="1"/>
    <col min="6" max="6" width="17" bestFit="1" customWidth="1"/>
    <col min="7" max="7" width="19" bestFit="1" customWidth="1"/>
    <col min="8" max="8" width="11" bestFit="1" customWidth="1"/>
    <col min="9" max="9" width="20" style="7" bestFit="1" customWidth="1"/>
    <col min="10" max="10" width="17.85546875" bestFit="1" customWidth="1"/>
    <col min="11" max="11" width="23" bestFit="1" customWidth="1"/>
    <col min="12" max="12" width="5.7109375" bestFit="1" customWidth="1"/>
    <col min="13" max="14" width="12" bestFit="1" customWidth="1"/>
    <col min="15" max="15" width="8" bestFit="1" customWidth="1"/>
    <col min="16" max="16" width="12" customWidth="1"/>
  </cols>
  <sheetData>
    <row r="1" spans="1:16" x14ac:dyDescent="0.25">
      <c r="A1" t="s">
        <v>117</v>
      </c>
      <c r="B1" t="s">
        <v>110</v>
      </c>
      <c r="C1" t="s">
        <v>47</v>
      </c>
      <c r="D1" t="s">
        <v>149</v>
      </c>
      <c r="E1" t="s">
        <v>121</v>
      </c>
      <c r="F1" t="s">
        <v>122</v>
      </c>
      <c r="G1" t="s">
        <v>123</v>
      </c>
      <c r="H1" t="s">
        <v>124</v>
      </c>
      <c r="I1" t="s">
        <v>114</v>
      </c>
      <c r="J1" s="7" t="s">
        <v>125</v>
      </c>
      <c r="K1" t="s">
        <v>126</v>
      </c>
      <c r="L1" t="s">
        <v>12</v>
      </c>
      <c r="M1" t="s">
        <v>127</v>
      </c>
      <c r="N1" t="s">
        <v>128</v>
      </c>
      <c r="O1" t="s">
        <v>33</v>
      </c>
      <c r="P1" t="s">
        <v>129</v>
      </c>
    </row>
    <row r="2" spans="1:16" x14ac:dyDescent="0.25">
      <c r="A2" t="s">
        <v>378</v>
      </c>
      <c r="B2">
        <v>22</v>
      </c>
      <c r="C2">
        <v>25</v>
      </c>
      <c r="D2">
        <v>1.1363636363636365</v>
      </c>
      <c r="E2">
        <v>273</v>
      </c>
      <c r="F2">
        <v>86</v>
      </c>
      <c r="G2">
        <v>31.5</v>
      </c>
      <c r="H2">
        <v>12.41</v>
      </c>
      <c r="I2">
        <v>3.91</v>
      </c>
      <c r="J2" s="7">
        <v>0.08</v>
      </c>
      <c r="K2">
        <v>0.27</v>
      </c>
      <c r="L2">
        <v>24.8</v>
      </c>
      <c r="M2">
        <v>9.0842490842490839E-2</v>
      </c>
      <c r="N2">
        <v>1.1272727272727272</v>
      </c>
      <c r="O2">
        <v>22.4</v>
      </c>
      <c r="P2">
        <v>1.0181818181818181</v>
      </c>
    </row>
    <row r="3" spans="1:16" x14ac:dyDescent="0.25">
      <c r="A3" t="s">
        <v>379</v>
      </c>
      <c r="B3">
        <v>22</v>
      </c>
      <c r="C3">
        <v>33</v>
      </c>
      <c r="D3">
        <v>1.5</v>
      </c>
      <c r="E3">
        <v>302</v>
      </c>
      <c r="F3">
        <v>97</v>
      </c>
      <c r="G3">
        <v>32.1</v>
      </c>
      <c r="H3">
        <v>13.73</v>
      </c>
      <c r="I3">
        <v>4.41</v>
      </c>
      <c r="J3" s="7">
        <v>0.11</v>
      </c>
      <c r="K3">
        <v>0.34</v>
      </c>
      <c r="L3">
        <v>33.4</v>
      </c>
      <c r="M3">
        <v>0.11059602649006622</v>
      </c>
      <c r="N3">
        <v>1.5181818181818181</v>
      </c>
      <c r="O3">
        <v>32.6</v>
      </c>
      <c r="P3">
        <v>1.4818181818181819</v>
      </c>
    </row>
    <row r="4" spans="1:16" x14ac:dyDescent="0.25">
      <c r="A4" t="s">
        <v>380</v>
      </c>
      <c r="B4">
        <v>22</v>
      </c>
      <c r="C4">
        <v>23</v>
      </c>
      <c r="D4">
        <v>1.0454545454545454</v>
      </c>
      <c r="E4">
        <v>243</v>
      </c>
      <c r="F4">
        <v>72</v>
      </c>
      <c r="G4">
        <v>29.6</v>
      </c>
      <c r="H4">
        <v>11.05</v>
      </c>
      <c r="I4">
        <v>3.27</v>
      </c>
      <c r="J4" s="7">
        <v>0.09</v>
      </c>
      <c r="K4">
        <v>0.28999999999999998</v>
      </c>
      <c r="L4">
        <v>24.7</v>
      </c>
      <c r="M4">
        <v>0.10164609053497942</v>
      </c>
      <c r="N4">
        <v>1.1227272727272728</v>
      </c>
      <c r="O4">
        <v>23.2</v>
      </c>
      <c r="P4">
        <v>1.0545454545454545</v>
      </c>
    </row>
    <row r="5" spans="1:16" x14ac:dyDescent="0.25">
      <c r="A5" t="s">
        <v>381</v>
      </c>
      <c r="B5">
        <v>22</v>
      </c>
      <c r="C5">
        <v>27</v>
      </c>
      <c r="D5">
        <v>1.2272727272727273</v>
      </c>
      <c r="E5">
        <v>233</v>
      </c>
      <c r="F5">
        <v>81</v>
      </c>
      <c r="G5">
        <v>34.799999999999997</v>
      </c>
      <c r="H5">
        <v>10.59</v>
      </c>
      <c r="I5">
        <v>3.68</v>
      </c>
      <c r="J5" s="7">
        <v>0.11</v>
      </c>
      <c r="K5">
        <v>0.31</v>
      </c>
      <c r="L5">
        <v>23.8</v>
      </c>
      <c r="M5">
        <v>0.10214592274678112</v>
      </c>
      <c r="N5">
        <v>1.0818181818181818</v>
      </c>
      <c r="O5">
        <v>22.2</v>
      </c>
      <c r="P5">
        <v>1.009090909090909</v>
      </c>
    </row>
    <row r="6" spans="1:16" x14ac:dyDescent="0.25">
      <c r="A6" t="s">
        <v>382</v>
      </c>
      <c r="B6">
        <v>22</v>
      </c>
      <c r="C6">
        <v>24</v>
      </c>
      <c r="D6">
        <v>1.0909090909090908</v>
      </c>
      <c r="E6">
        <v>304</v>
      </c>
      <c r="F6">
        <v>92</v>
      </c>
      <c r="G6">
        <v>30.3</v>
      </c>
      <c r="H6">
        <v>13.82</v>
      </c>
      <c r="I6">
        <v>4.18</v>
      </c>
      <c r="J6" s="7">
        <v>0.08</v>
      </c>
      <c r="K6">
        <v>0.26</v>
      </c>
      <c r="L6">
        <v>31.3</v>
      </c>
      <c r="M6">
        <v>0.10296052631578947</v>
      </c>
      <c r="N6">
        <v>1.4227272727272728</v>
      </c>
      <c r="O6">
        <v>29.7</v>
      </c>
      <c r="P6">
        <v>1.3499999999999999</v>
      </c>
    </row>
    <row r="7" spans="1:16" x14ac:dyDescent="0.25">
      <c r="A7" t="s">
        <v>383</v>
      </c>
      <c r="B7">
        <v>22</v>
      </c>
      <c r="C7">
        <v>19</v>
      </c>
      <c r="D7">
        <v>0.86363636363636365</v>
      </c>
      <c r="E7">
        <v>229</v>
      </c>
      <c r="F7">
        <v>71</v>
      </c>
      <c r="G7">
        <v>31</v>
      </c>
      <c r="H7">
        <v>10.41</v>
      </c>
      <c r="I7">
        <v>3.23</v>
      </c>
      <c r="J7" s="7">
        <v>0.08</v>
      </c>
      <c r="K7">
        <v>0.25</v>
      </c>
      <c r="L7">
        <v>22.1</v>
      </c>
      <c r="M7">
        <v>9.650655021834062E-2</v>
      </c>
      <c r="N7">
        <v>1.0045454545454546</v>
      </c>
      <c r="O7">
        <v>21.3</v>
      </c>
      <c r="P7">
        <v>0.96818181818181825</v>
      </c>
    </row>
    <row r="8" spans="1:16" x14ac:dyDescent="0.25">
      <c r="A8" t="s">
        <v>384</v>
      </c>
      <c r="B8">
        <v>22</v>
      </c>
      <c r="C8">
        <v>34</v>
      </c>
      <c r="D8">
        <v>1.5454545454545454</v>
      </c>
      <c r="E8">
        <v>314</v>
      </c>
      <c r="F8">
        <v>114</v>
      </c>
      <c r="G8">
        <v>36.299999999999997</v>
      </c>
      <c r="H8">
        <v>14.27</v>
      </c>
      <c r="I8">
        <v>5.18</v>
      </c>
      <c r="J8" s="7">
        <v>0.11</v>
      </c>
      <c r="K8">
        <v>0.28999999999999998</v>
      </c>
      <c r="L8">
        <v>29.7</v>
      </c>
      <c r="M8">
        <v>9.458598726114649E-2</v>
      </c>
      <c r="N8">
        <v>1.3499999999999999</v>
      </c>
      <c r="O8">
        <v>28.1</v>
      </c>
      <c r="P8">
        <v>1.2772727272727273</v>
      </c>
    </row>
    <row r="9" spans="1:16" x14ac:dyDescent="0.25">
      <c r="A9" t="s">
        <v>385</v>
      </c>
      <c r="B9">
        <v>22</v>
      </c>
      <c r="C9">
        <v>45</v>
      </c>
      <c r="D9">
        <v>2.0454545454545454</v>
      </c>
      <c r="E9">
        <v>358</v>
      </c>
      <c r="F9">
        <v>124</v>
      </c>
      <c r="G9">
        <v>34.6</v>
      </c>
      <c r="H9">
        <v>16.27</v>
      </c>
      <c r="I9">
        <v>5.64</v>
      </c>
      <c r="J9" s="7">
        <v>0.12</v>
      </c>
      <c r="K9">
        <v>0.35</v>
      </c>
      <c r="L9">
        <v>38</v>
      </c>
      <c r="M9">
        <v>0.10614525139664804</v>
      </c>
      <c r="N9">
        <v>1.7272727272727273</v>
      </c>
      <c r="O9">
        <v>37.200000000000003</v>
      </c>
      <c r="P9">
        <v>1.6909090909090911</v>
      </c>
    </row>
    <row r="10" spans="1:16" x14ac:dyDescent="0.25">
      <c r="A10" t="s">
        <v>386</v>
      </c>
      <c r="B10">
        <v>22</v>
      </c>
      <c r="C10">
        <v>36</v>
      </c>
      <c r="D10">
        <v>1.6363636363636365</v>
      </c>
      <c r="E10">
        <v>351</v>
      </c>
      <c r="F10">
        <v>117</v>
      </c>
      <c r="G10">
        <v>33.299999999999997</v>
      </c>
      <c r="H10">
        <v>15.95</v>
      </c>
      <c r="I10">
        <v>5.32</v>
      </c>
      <c r="J10" s="7">
        <v>0.1</v>
      </c>
      <c r="K10">
        <v>0.3</v>
      </c>
      <c r="L10">
        <v>36.799999999999997</v>
      </c>
      <c r="M10">
        <v>0.10484330484330484</v>
      </c>
      <c r="N10">
        <v>1.6727272727272726</v>
      </c>
      <c r="O10">
        <v>35.299999999999997</v>
      </c>
      <c r="P10">
        <v>1.6045454545454545</v>
      </c>
    </row>
    <row r="11" spans="1:16" x14ac:dyDescent="0.25">
      <c r="A11" t="s">
        <v>387</v>
      </c>
      <c r="B11">
        <v>22</v>
      </c>
      <c r="C11">
        <v>44</v>
      </c>
      <c r="D11">
        <v>2</v>
      </c>
      <c r="E11">
        <v>311</v>
      </c>
      <c r="F11">
        <v>107</v>
      </c>
      <c r="G11">
        <v>34.4</v>
      </c>
      <c r="H11">
        <v>14.14</v>
      </c>
      <c r="I11">
        <v>4.8600000000000003</v>
      </c>
      <c r="J11" s="7">
        <v>0.13</v>
      </c>
      <c r="K11">
        <v>0.36</v>
      </c>
      <c r="L11">
        <v>39.9</v>
      </c>
      <c r="M11">
        <v>0.12829581993569131</v>
      </c>
      <c r="N11">
        <v>1.8136363636363635</v>
      </c>
      <c r="O11">
        <v>36</v>
      </c>
      <c r="P11">
        <v>1.6363636363636365</v>
      </c>
    </row>
    <row r="12" spans="1:16" x14ac:dyDescent="0.25">
      <c r="A12" t="s">
        <v>388</v>
      </c>
      <c r="B12">
        <v>22</v>
      </c>
      <c r="C12">
        <v>33</v>
      </c>
      <c r="D12">
        <v>1.5</v>
      </c>
      <c r="E12">
        <v>301</v>
      </c>
      <c r="F12">
        <v>117</v>
      </c>
      <c r="G12">
        <v>38.9</v>
      </c>
      <c r="H12">
        <v>13.68</v>
      </c>
      <c r="I12">
        <v>5.32</v>
      </c>
      <c r="J12" s="7">
        <v>0.1</v>
      </c>
      <c r="K12">
        <v>0.26</v>
      </c>
      <c r="L12">
        <v>35.299999999999997</v>
      </c>
      <c r="M12">
        <v>0.11727574750830563</v>
      </c>
      <c r="N12">
        <v>1.6045454545454545</v>
      </c>
      <c r="O12">
        <v>32.700000000000003</v>
      </c>
      <c r="P12">
        <v>1.4863636363636366</v>
      </c>
    </row>
    <row r="13" spans="1:16" x14ac:dyDescent="0.25">
      <c r="A13" t="s">
        <v>389</v>
      </c>
      <c r="B13">
        <v>22</v>
      </c>
      <c r="C13">
        <v>24</v>
      </c>
      <c r="D13">
        <v>1.0909090909090908</v>
      </c>
      <c r="E13">
        <v>259</v>
      </c>
      <c r="F13">
        <v>81</v>
      </c>
      <c r="G13">
        <v>31.3</v>
      </c>
      <c r="H13">
        <v>11.77</v>
      </c>
      <c r="I13">
        <v>3.68</v>
      </c>
      <c r="J13" s="7">
        <v>0.09</v>
      </c>
      <c r="K13">
        <v>0.3</v>
      </c>
      <c r="L13">
        <v>22.6</v>
      </c>
      <c r="M13">
        <v>8.7258687258687267E-2</v>
      </c>
      <c r="N13">
        <v>1.0272727272727273</v>
      </c>
      <c r="O13">
        <v>21.8</v>
      </c>
      <c r="P13">
        <v>0.99090909090909096</v>
      </c>
    </row>
    <row r="14" spans="1:16" x14ac:dyDescent="0.25">
      <c r="A14" t="s">
        <v>390</v>
      </c>
      <c r="B14">
        <v>22</v>
      </c>
      <c r="C14">
        <v>37</v>
      </c>
      <c r="D14">
        <v>1.6818181818181819</v>
      </c>
      <c r="E14">
        <v>311</v>
      </c>
      <c r="F14">
        <v>90</v>
      </c>
      <c r="G14">
        <v>28.9</v>
      </c>
      <c r="H14">
        <v>14.14</v>
      </c>
      <c r="I14">
        <v>4.09</v>
      </c>
      <c r="J14" s="7">
        <v>0.11</v>
      </c>
      <c r="K14">
        <v>0.39</v>
      </c>
      <c r="L14">
        <v>31</v>
      </c>
      <c r="M14">
        <v>9.9678456591639875E-2</v>
      </c>
      <c r="N14">
        <v>1.4090909090909092</v>
      </c>
      <c r="O14">
        <v>29.4</v>
      </c>
      <c r="P14">
        <v>1.3363636363636362</v>
      </c>
    </row>
    <row r="15" spans="1:16" x14ac:dyDescent="0.25">
      <c r="A15" t="s">
        <v>391</v>
      </c>
      <c r="B15">
        <v>22</v>
      </c>
      <c r="C15">
        <v>34</v>
      </c>
      <c r="D15">
        <v>1.5454545454545454</v>
      </c>
      <c r="E15">
        <v>305</v>
      </c>
      <c r="F15">
        <v>114</v>
      </c>
      <c r="G15">
        <v>37.4</v>
      </c>
      <c r="H15">
        <v>13.86</v>
      </c>
      <c r="I15">
        <v>5.18</v>
      </c>
      <c r="J15" s="7">
        <v>0.11</v>
      </c>
      <c r="K15">
        <v>0.28999999999999998</v>
      </c>
      <c r="L15">
        <v>29.2</v>
      </c>
      <c r="M15">
        <v>9.5737704918032782E-2</v>
      </c>
      <c r="N15">
        <v>1.3272727272727272</v>
      </c>
      <c r="O15">
        <v>28.5</v>
      </c>
      <c r="P15">
        <v>1.2954545454545454</v>
      </c>
    </row>
    <row r="16" spans="1:16" x14ac:dyDescent="0.25">
      <c r="A16" t="s">
        <v>392</v>
      </c>
      <c r="B16">
        <v>22</v>
      </c>
      <c r="C16">
        <v>27</v>
      </c>
      <c r="D16">
        <v>1.2272727272727273</v>
      </c>
      <c r="E16">
        <v>199</v>
      </c>
      <c r="F16">
        <v>63</v>
      </c>
      <c r="G16">
        <v>31.7</v>
      </c>
      <c r="H16">
        <v>9.0500000000000007</v>
      </c>
      <c r="I16">
        <v>2.86</v>
      </c>
      <c r="J16" s="7">
        <v>0.13</v>
      </c>
      <c r="K16">
        <v>0.4</v>
      </c>
      <c r="L16">
        <v>19.399999999999999</v>
      </c>
      <c r="M16">
        <v>9.7487437185929643E-2</v>
      </c>
      <c r="N16">
        <v>0.88181818181818172</v>
      </c>
      <c r="O16">
        <v>17.899999999999999</v>
      </c>
      <c r="P16">
        <v>0.8136363636363636</v>
      </c>
    </row>
    <row r="17" spans="1:16" x14ac:dyDescent="0.25">
      <c r="A17" t="s">
        <v>393</v>
      </c>
      <c r="B17">
        <v>22</v>
      </c>
      <c r="C17">
        <v>18</v>
      </c>
      <c r="D17">
        <v>0.81818181818181823</v>
      </c>
      <c r="E17">
        <v>230</v>
      </c>
      <c r="F17">
        <v>77</v>
      </c>
      <c r="G17">
        <v>33.5</v>
      </c>
      <c r="H17">
        <v>10.45</v>
      </c>
      <c r="I17">
        <v>3.5</v>
      </c>
      <c r="J17" s="7">
        <v>7.0000000000000007E-2</v>
      </c>
      <c r="K17">
        <v>0.22</v>
      </c>
      <c r="L17">
        <v>18.899999999999999</v>
      </c>
      <c r="M17">
        <v>8.217391304347825E-2</v>
      </c>
      <c r="N17">
        <v>0.85909090909090902</v>
      </c>
      <c r="O17">
        <v>18.100000000000001</v>
      </c>
      <c r="P17">
        <v>0.82272727272727275</v>
      </c>
    </row>
    <row r="18" spans="1:16" x14ac:dyDescent="0.25">
      <c r="A18" t="s">
        <v>394</v>
      </c>
      <c r="B18">
        <v>22</v>
      </c>
      <c r="C18">
        <v>20</v>
      </c>
      <c r="D18">
        <v>0.90909090909090906</v>
      </c>
      <c r="E18">
        <v>169</v>
      </c>
      <c r="F18">
        <v>51</v>
      </c>
      <c r="G18">
        <v>30.2</v>
      </c>
      <c r="H18">
        <v>7.68</v>
      </c>
      <c r="I18">
        <v>2.3199999999999998</v>
      </c>
      <c r="J18" s="7">
        <v>0.12</v>
      </c>
      <c r="K18">
        <v>0.39</v>
      </c>
      <c r="L18">
        <v>14.9</v>
      </c>
      <c r="M18">
        <v>8.8165680473372782E-2</v>
      </c>
      <c r="N18">
        <v>0.67727272727272725</v>
      </c>
      <c r="O18">
        <v>14.9</v>
      </c>
      <c r="P18">
        <v>0.67727272727272725</v>
      </c>
    </row>
    <row r="19" spans="1:16" x14ac:dyDescent="0.25">
      <c r="A19" t="s">
        <v>395</v>
      </c>
      <c r="B19">
        <v>22</v>
      </c>
      <c r="C19">
        <v>16</v>
      </c>
      <c r="D19">
        <v>0.72727272727272729</v>
      </c>
      <c r="E19">
        <v>219</v>
      </c>
      <c r="F19">
        <v>61</v>
      </c>
      <c r="G19">
        <v>27.9</v>
      </c>
      <c r="H19">
        <v>9.9499999999999993</v>
      </c>
      <c r="I19">
        <v>2.77</v>
      </c>
      <c r="J19" s="7">
        <v>7.0000000000000007E-2</v>
      </c>
      <c r="K19">
        <v>0.26</v>
      </c>
      <c r="L19">
        <v>21.9</v>
      </c>
      <c r="M19">
        <v>9.9999999999999992E-2</v>
      </c>
      <c r="N19">
        <v>0.99545454545454537</v>
      </c>
      <c r="O19">
        <v>21.9</v>
      </c>
      <c r="P19">
        <v>0.99545454545454537</v>
      </c>
    </row>
    <row r="20" spans="1:16" x14ac:dyDescent="0.25">
      <c r="A20" t="s">
        <v>396</v>
      </c>
      <c r="B20">
        <v>22</v>
      </c>
      <c r="C20">
        <v>36</v>
      </c>
      <c r="D20">
        <v>1.6363636363636365</v>
      </c>
      <c r="E20">
        <v>334</v>
      </c>
      <c r="F20">
        <v>118</v>
      </c>
      <c r="G20">
        <v>35.299999999999997</v>
      </c>
      <c r="H20">
        <v>15.18</v>
      </c>
      <c r="I20">
        <v>5.36</v>
      </c>
      <c r="J20" s="7">
        <v>0.1</v>
      </c>
      <c r="K20">
        <v>0.28999999999999998</v>
      </c>
      <c r="L20">
        <v>34.5</v>
      </c>
      <c r="M20">
        <v>0.10329341317365269</v>
      </c>
      <c r="N20">
        <v>1.5681818181818181</v>
      </c>
      <c r="O20">
        <v>32.1</v>
      </c>
      <c r="P20">
        <v>1.4590909090909092</v>
      </c>
    </row>
    <row r="21" spans="1:16" x14ac:dyDescent="0.25">
      <c r="A21" t="s">
        <v>397</v>
      </c>
      <c r="B21">
        <v>22</v>
      </c>
      <c r="C21">
        <v>20</v>
      </c>
      <c r="D21">
        <v>0.90909090909090906</v>
      </c>
      <c r="E21">
        <v>258</v>
      </c>
      <c r="F21">
        <v>63</v>
      </c>
      <c r="G21">
        <v>24.4</v>
      </c>
      <c r="H21">
        <v>11.73</v>
      </c>
      <c r="I21">
        <v>2.86</v>
      </c>
      <c r="J21" s="7">
        <v>7.0000000000000007E-2</v>
      </c>
      <c r="K21">
        <v>0.3</v>
      </c>
      <c r="L21">
        <v>25.6</v>
      </c>
      <c r="M21">
        <v>9.9224806201550386E-2</v>
      </c>
      <c r="N21">
        <v>1.1636363636363638</v>
      </c>
      <c r="O21">
        <v>24.1</v>
      </c>
      <c r="P21">
        <v>1.0954545454545455</v>
      </c>
    </row>
    <row r="22" spans="1:16" x14ac:dyDescent="0.25">
      <c r="A22" t="s">
        <v>398</v>
      </c>
      <c r="B22">
        <v>22</v>
      </c>
      <c r="C22">
        <v>31</v>
      </c>
      <c r="D22">
        <v>1.4090909090909092</v>
      </c>
      <c r="E22">
        <v>353</v>
      </c>
      <c r="F22">
        <v>110</v>
      </c>
      <c r="G22">
        <v>31.2</v>
      </c>
      <c r="H22">
        <v>16.05</v>
      </c>
      <c r="I22">
        <v>5</v>
      </c>
      <c r="J22" s="7">
        <v>7.0000000000000007E-2</v>
      </c>
      <c r="K22">
        <v>0.24</v>
      </c>
      <c r="L22">
        <v>36.299999999999997</v>
      </c>
      <c r="M22">
        <v>0.10283286118980169</v>
      </c>
      <c r="N22">
        <v>1.65</v>
      </c>
      <c r="O22">
        <v>32.4</v>
      </c>
      <c r="P22">
        <v>1.4727272727272727</v>
      </c>
    </row>
    <row r="23" spans="1:16" x14ac:dyDescent="0.25">
      <c r="A23" t="s">
        <v>399</v>
      </c>
      <c r="B23">
        <v>22</v>
      </c>
      <c r="C23">
        <v>30</v>
      </c>
      <c r="D23">
        <v>1.3636363636363635</v>
      </c>
      <c r="E23">
        <v>252</v>
      </c>
      <c r="F23">
        <v>81</v>
      </c>
      <c r="G23">
        <v>32.1</v>
      </c>
      <c r="H23">
        <v>11.45</v>
      </c>
      <c r="I23">
        <v>3.68</v>
      </c>
      <c r="J23" s="7">
        <v>0.11</v>
      </c>
      <c r="K23">
        <v>0.35</v>
      </c>
      <c r="L23">
        <v>27</v>
      </c>
      <c r="M23">
        <v>0.10714285714285714</v>
      </c>
      <c r="N23">
        <v>1.2272727272727273</v>
      </c>
      <c r="O23">
        <v>24.6</v>
      </c>
      <c r="P23">
        <v>1.1181818181818182</v>
      </c>
    </row>
    <row r="24" spans="1:16" x14ac:dyDescent="0.25">
      <c r="A24" t="s">
        <v>400</v>
      </c>
      <c r="B24">
        <v>22</v>
      </c>
      <c r="C24">
        <v>35</v>
      </c>
      <c r="D24">
        <v>1.5909090909090908</v>
      </c>
      <c r="E24">
        <v>301</v>
      </c>
      <c r="F24">
        <v>98</v>
      </c>
      <c r="G24">
        <v>32.6</v>
      </c>
      <c r="H24">
        <v>13.68</v>
      </c>
      <c r="I24">
        <v>4.45</v>
      </c>
      <c r="J24" s="7">
        <v>0.12</v>
      </c>
      <c r="K24">
        <v>0.36</v>
      </c>
      <c r="L24">
        <v>27.1</v>
      </c>
      <c r="M24">
        <v>9.0033222591362136E-2</v>
      </c>
      <c r="N24">
        <v>1.2318181818181819</v>
      </c>
      <c r="O24">
        <v>27.1</v>
      </c>
      <c r="P24">
        <v>1.2318181818181819</v>
      </c>
    </row>
    <row r="25" spans="1:16" x14ac:dyDescent="0.25">
      <c r="A25" t="s">
        <v>401</v>
      </c>
      <c r="B25">
        <v>22</v>
      </c>
      <c r="C25">
        <v>33</v>
      </c>
      <c r="D25">
        <v>1.5</v>
      </c>
      <c r="E25">
        <v>248</v>
      </c>
      <c r="F25">
        <v>69</v>
      </c>
      <c r="G25">
        <v>27.8</v>
      </c>
      <c r="H25">
        <v>11.27</v>
      </c>
      <c r="I25">
        <v>3.14</v>
      </c>
      <c r="J25" s="7">
        <v>0.13</v>
      </c>
      <c r="K25">
        <v>0.45</v>
      </c>
      <c r="L25">
        <v>26</v>
      </c>
      <c r="M25">
        <v>0.10483870967741936</v>
      </c>
      <c r="N25">
        <v>1.1818181818181819</v>
      </c>
      <c r="O25">
        <v>24.4</v>
      </c>
      <c r="P25">
        <v>1.1090909090909091</v>
      </c>
    </row>
    <row r="27" spans="1:16" x14ac:dyDescent="0.25">
      <c r="A27" t="s">
        <v>115</v>
      </c>
    </row>
    <row r="28" spans="1:16" x14ac:dyDescent="0.25">
      <c r="A28" t="s">
        <v>130</v>
      </c>
      <c r="B28">
        <f>AVERAGE(Stats_3[xG/Shot])</f>
        <v>0.10057131114755535</v>
      </c>
      <c r="C28">
        <f>AVERAGE(Stats_3[Shots on Target/90])</f>
        <v>4.0787500000000003</v>
      </c>
    </row>
    <row r="29" spans="1:16" x14ac:dyDescent="0.25">
      <c r="A29" t="s">
        <v>131</v>
      </c>
      <c r="B29">
        <f>AVERAGE(Stats_3[Conversion Rate])</f>
        <v>0.10041666666666667</v>
      </c>
      <c r="C29">
        <f>AVERAGE(Stats_3[Shots/90])</f>
        <v>12.6075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5EB9-7A72-4FF9-B62B-E3FE6BADE0F0}">
  <sheetPr codeName="Sheet3"/>
  <dimension ref="A1:H28"/>
  <sheetViews>
    <sheetView zoomScaleNormal="100" workbookViewId="0">
      <selection activeCell="L41" sqref="L41"/>
    </sheetView>
  </sheetViews>
  <sheetFormatPr defaultRowHeight="15" x14ac:dyDescent="0.25"/>
  <cols>
    <col min="1" max="1" width="15.85546875" bestFit="1" customWidth="1"/>
    <col min="2" max="2" width="17.42578125" bestFit="1" customWidth="1"/>
    <col min="3" max="3" width="15.42578125" bestFit="1" customWidth="1"/>
    <col min="4" max="4" width="18.28515625" bestFit="1" customWidth="1"/>
    <col min="5" max="5" width="24.28515625" bestFit="1" customWidth="1"/>
    <col min="6" max="6" width="20" bestFit="1" customWidth="1"/>
    <col min="7" max="7" width="8.28515625" bestFit="1" customWidth="1"/>
    <col min="8" max="8" width="9" bestFit="1" customWidth="1"/>
  </cols>
  <sheetData>
    <row r="1" spans="1:8" x14ac:dyDescent="0.25">
      <c r="A1" t="s">
        <v>2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40</v>
      </c>
      <c r="H1" t="s">
        <v>41</v>
      </c>
    </row>
    <row r="2" spans="1:8" x14ac:dyDescent="0.25">
      <c r="A2" t="s">
        <v>378</v>
      </c>
      <c r="B2">
        <v>22</v>
      </c>
      <c r="C2">
        <v>32</v>
      </c>
      <c r="D2">
        <v>1.45</v>
      </c>
      <c r="E2">
        <v>105</v>
      </c>
      <c r="F2">
        <v>4.7727272727272725</v>
      </c>
      <c r="G2">
        <v>75</v>
      </c>
      <c r="H2">
        <v>69.5</v>
      </c>
    </row>
    <row r="3" spans="1:8" x14ac:dyDescent="0.25">
      <c r="A3" t="s">
        <v>379</v>
      </c>
      <c r="B3">
        <v>22</v>
      </c>
      <c r="C3">
        <v>38</v>
      </c>
      <c r="D3">
        <v>1.73</v>
      </c>
      <c r="E3">
        <v>115</v>
      </c>
      <c r="F3">
        <v>5.2272727272727275</v>
      </c>
      <c r="G3">
        <v>77</v>
      </c>
      <c r="H3">
        <v>68.7</v>
      </c>
    </row>
    <row r="4" spans="1:8" x14ac:dyDescent="0.25">
      <c r="A4" t="s">
        <v>380</v>
      </c>
      <c r="B4">
        <v>22</v>
      </c>
      <c r="C4">
        <v>24</v>
      </c>
      <c r="D4">
        <v>1.0900000000000001</v>
      </c>
      <c r="E4">
        <v>87</v>
      </c>
      <c r="F4">
        <v>3.9545454545454546</v>
      </c>
      <c r="G4">
        <v>65</v>
      </c>
      <c r="H4">
        <v>73.599999999999994</v>
      </c>
    </row>
    <row r="5" spans="1:8" x14ac:dyDescent="0.25">
      <c r="A5" t="s">
        <v>381</v>
      </c>
      <c r="B5">
        <v>22</v>
      </c>
      <c r="C5">
        <v>27</v>
      </c>
      <c r="D5">
        <v>1.23</v>
      </c>
      <c r="E5">
        <v>81</v>
      </c>
      <c r="F5">
        <v>3.6818181818181817</v>
      </c>
      <c r="G5">
        <v>55</v>
      </c>
      <c r="H5">
        <v>66.7</v>
      </c>
    </row>
    <row r="6" spans="1:8" x14ac:dyDescent="0.25">
      <c r="A6" t="s">
        <v>382</v>
      </c>
      <c r="B6">
        <v>22</v>
      </c>
      <c r="C6">
        <v>25</v>
      </c>
      <c r="D6">
        <v>1.1399999999999999</v>
      </c>
      <c r="E6">
        <v>86</v>
      </c>
      <c r="F6">
        <v>3.9090909090909092</v>
      </c>
      <c r="G6">
        <v>61</v>
      </c>
      <c r="H6">
        <v>72.099999999999994</v>
      </c>
    </row>
    <row r="7" spans="1:8" x14ac:dyDescent="0.25">
      <c r="A7" t="s">
        <v>383</v>
      </c>
      <c r="B7">
        <v>22</v>
      </c>
      <c r="C7">
        <v>36</v>
      </c>
      <c r="D7">
        <v>1.64</v>
      </c>
      <c r="E7">
        <v>103</v>
      </c>
      <c r="F7">
        <v>4.6818181818181817</v>
      </c>
      <c r="G7">
        <v>68</v>
      </c>
      <c r="H7">
        <v>66</v>
      </c>
    </row>
    <row r="8" spans="1:8" x14ac:dyDescent="0.25">
      <c r="A8" t="s">
        <v>384</v>
      </c>
      <c r="B8">
        <v>22</v>
      </c>
      <c r="C8">
        <v>27</v>
      </c>
      <c r="D8">
        <v>1.23</v>
      </c>
      <c r="E8">
        <v>80</v>
      </c>
      <c r="F8">
        <v>3.6363636363636362</v>
      </c>
      <c r="G8">
        <v>53</v>
      </c>
      <c r="H8">
        <v>66.3</v>
      </c>
    </row>
    <row r="9" spans="1:8" x14ac:dyDescent="0.25">
      <c r="A9" t="s">
        <v>385</v>
      </c>
      <c r="B9">
        <v>22</v>
      </c>
      <c r="C9">
        <v>28</v>
      </c>
      <c r="D9">
        <v>1.27</v>
      </c>
      <c r="E9">
        <v>82</v>
      </c>
      <c r="F9">
        <v>3.7272727272727271</v>
      </c>
      <c r="G9">
        <v>57</v>
      </c>
      <c r="H9">
        <v>65.900000000000006</v>
      </c>
    </row>
    <row r="10" spans="1:8" x14ac:dyDescent="0.25">
      <c r="A10" t="s">
        <v>386</v>
      </c>
      <c r="B10">
        <v>22</v>
      </c>
      <c r="C10">
        <v>22</v>
      </c>
      <c r="D10">
        <v>1</v>
      </c>
      <c r="E10">
        <v>59</v>
      </c>
      <c r="F10">
        <v>2.6818181818181817</v>
      </c>
      <c r="G10">
        <v>39</v>
      </c>
      <c r="H10">
        <v>64.400000000000006</v>
      </c>
    </row>
    <row r="11" spans="1:8" x14ac:dyDescent="0.25">
      <c r="A11" t="s">
        <v>387</v>
      </c>
      <c r="B11">
        <v>22</v>
      </c>
      <c r="C11">
        <v>16</v>
      </c>
      <c r="D11">
        <v>0.73</v>
      </c>
      <c r="E11">
        <v>82</v>
      </c>
      <c r="F11">
        <v>3.7272727272727271</v>
      </c>
      <c r="G11">
        <v>66</v>
      </c>
      <c r="H11">
        <v>80.5</v>
      </c>
    </row>
    <row r="12" spans="1:8" x14ac:dyDescent="0.25">
      <c r="A12" t="s">
        <v>388</v>
      </c>
      <c r="B12">
        <v>22</v>
      </c>
      <c r="C12">
        <v>34</v>
      </c>
      <c r="D12">
        <v>1.55</v>
      </c>
      <c r="E12">
        <v>87</v>
      </c>
      <c r="F12">
        <v>3.9545454545454546</v>
      </c>
      <c r="G12">
        <v>55</v>
      </c>
      <c r="H12">
        <v>63.2</v>
      </c>
    </row>
    <row r="13" spans="1:8" x14ac:dyDescent="0.25">
      <c r="A13" t="s">
        <v>389</v>
      </c>
      <c r="B13">
        <v>22</v>
      </c>
      <c r="C13">
        <v>31</v>
      </c>
      <c r="D13">
        <v>1.41</v>
      </c>
      <c r="E13">
        <v>88</v>
      </c>
      <c r="F13">
        <v>4</v>
      </c>
      <c r="G13">
        <v>56</v>
      </c>
      <c r="H13">
        <v>68.2</v>
      </c>
    </row>
    <row r="14" spans="1:8" x14ac:dyDescent="0.25">
      <c r="A14" t="s">
        <v>390</v>
      </c>
      <c r="B14">
        <v>22</v>
      </c>
      <c r="C14">
        <v>39</v>
      </c>
      <c r="D14">
        <v>1.77</v>
      </c>
      <c r="E14">
        <v>108</v>
      </c>
      <c r="F14">
        <v>4.9090909090909092</v>
      </c>
      <c r="G14">
        <v>71</v>
      </c>
      <c r="H14">
        <v>67.599999999999994</v>
      </c>
    </row>
    <row r="15" spans="1:8" x14ac:dyDescent="0.25">
      <c r="A15" t="s">
        <v>391</v>
      </c>
      <c r="B15">
        <v>22</v>
      </c>
      <c r="C15">
        <v>35</v>
      </c>
      <c r="D15">
        <v>1.59</v>
      </c>
      <c r="E15">
        <v>112</v>
      </c>
      <c r="F15">
        <v>5.0909090909090908</v>
      </c>
      <c r="G15">
        <v>77</v>
      </c>
      <c r="H15">
        <v>70.5</v>
      </c>
    </row>
    <row r="16" spans="1:8" x14ac:dyDescent="0.25">
      <c r="A16" t="s">
        <v>392</v>
      </c>
      <c r="B16">
        <v>22</v>
      </c>
      <c r="C16">
        <v>38</v>
      </c>
      <c r="D16">
        <v>1.73</v>
      </c>
      <c r="E16">
        <v>98</v>
      </c>
      <c r="F16">
        <v>4.4545454545454541</v>
      </c>
      <c r="G16">
        <v>61</v>
      </c>
      <c r="H16">
        <v>62.2</v>
      </c>
    </row>
    <row r="17" spans="1:8" x14ac:dyDescent="0.25">
      <c r="A17" t="s">
        <v>393</v>
      </c>
      <c r="B17">
        <v>22</v>
      </c>
      <c r="C17">
        <v>32</v>
      </c>
      <c r="D17">
        <v>1.46</v>
      </c>
      <c r="E17">
        <v>97</v>
      </c>
      <c r="F17">
        <v>4.4090909090909092</v>
      </c>
      <c r="G17">
        <v>65</v>
      </c>
      <c r="H17">
        <v>68</v>
      </c>
    </row>
    <row r="18" spans="1:8" x14ac:dyDescent="0.25">
      <c r="A18" t="s">
        <v>394</v>
      </c>
      <c r="B18">
        <v>22</v>
      </c>
      <c r="C18">
        <v>44</v>
      </c>
      <c r="D18">
        <v>2</v>
      </c>
      <c r="E18">
        <v>131</v>
      </c>
      <c r="F18">
        <v>5.9545454545454541</v>
      </c>
      <c r="G18">
        <v>87</v>
      </c>
      <c r="H18">
        <v>67.2</v>
      </c>
    </row>
    <row r="19" spans="1:8" x14ac:dyDescent="0.25">
      <c r="A19" t="s">
        <v>395</v>
      </c>
      <c r="B19">
        <v>22</v>
      </c>
      <c r="C19">
        <v>35</v>
      </c>
      <c r="D19">
        <v>1.59</v>
      </c>
      <c r="E19">
        <v>87</v>
      </c>
      <c r="F19">
        <v>3.9545454545454546</v>
      </c>
      <c r="G19">
        <v>52</v>
      </c>
      <c r="H19">
        <v>64.400000000000006</v>
      </c>
    </row>
    <row r="20" spans="1:8" x14ac:dyDescent="0.25">
      <c r="A20" t="s">
        <v>396</v>
      </c>
      <c r="B20">
        <v>22</v>
      </c>
      <c r="C20">
        <v>29</v>
      </c>
      <c r="D20">
        <v>1.32</v>
      </c>
      <c r="E20">
        <v>79</v>
      </c>
      <c r="F20">
        <v>3.5909090909090908</v>
      </c>
      <c r="G20">
        <v>50</v>
      </c>
      <c r="H20">
        <v>64.599999999999994</v>
      </c>
    </row>
    <row r="21" spans="1:8" x14ac:dyDescent="0.25">
      <c r="A21" t="s">
        <v>397</v>
      </c>
      <c r="B21">
        <v>22</v>
      </c>
      <c r="C21">
        <v>30</v>
      </c>
      <c r="D21">
        <v>1.36</v>
      </c>
      <c r="E21">
        <v>101</v>
      </c>
      <c r="F21">
        <v>4.5909090909090908</v>
      </c>
      <c r="G21">
        <v>72</v>
      </c>
      <c r="H21">
        <v>72.3</v>
      </c>
    </row>
    <row r="22" spans="1:8" x14ac:dyDescent="0.25">
      <c r="A22" t="s">
        <v>398</v>
      </c>
      <c r="B22">
        <v>22</v>
      </c>
      <c r="C22">
        <v>24</v>
      </c>
      <c r="D22">
        <v>1.0900000000000001</v>
      </c>
      <c r="E22">
        <v>74</v>
      </c>
      <c r="F22">
        <v>3.3636363636363638</v>
      </c>
      <c r="G22">
        <v>49</v>
      </c>
      <c r="H22">
        <v>68.900000000000006</v>
      </c>
    </row>
    <row r="23" spans="1:8" x14ac:dyDescent="0.25">
      <c r="A23" t="s">
        <v>399</v>
      </c>
      <c r="B23">
        <v>22</v>
      </c>
      <c r="C23">
        <v>31</v>
      </c>
      <c r="D23">
        <v>1.41</v>
      </c>
      <c r="E23">
        <v>103</v>
      </c>
      <c r="F23">
        <v>4.6818181818181817</v>
      </c>
      <c r="G23">
        <v>74</v>
      </c>
      <c r="H23">
        <v>73.8</v>
      </c>
    </row>
    <row r="24" spans="1:8" x14ac:dyDescent="0.25">
      <c r="A24" t="s">
        <v>400</v>
      </c>
      <c r="B24">
        <v>22</v>
      </c>
      <c r="C24">
        <v>27</v>
      </c>
      <c r="D24">
        <v>1.23</v>
      </c>
      <c r="E24">
        <v>93</v>
      </c>
      <c r="F24">
        <v>4.2272727272727275</v>
      </c>
      <c r="G24">
        <v>65</v>
      </c>
      <c r="H24">
        <v>72</v>
      </c>
    </row>
    <row r="25" spans="1:8" x14ac:dyDescent="0.25">
      <c r="A25" t="s">
        <v>401</v>
      </c>
      <c r="B25">
        <v>22</v>
      </c>
      <c r="C25">
        <v>22</v>
      </c>
      <c r="D25">
        <v>1</v>
      </c>
      <c r="E25">
        <v>58</v>
      </c>
      <c r="F25">
        <v>2.6363636363636362</v>
      </c>
      <c r="G25">
        <v>35</v>
      </c>
      <c r="H25">
        <v>65.5</v>
      </c>
    </row>
    <row r="28" spans="1:8" x14ac:dyDescent="0.25">
      <c r="A28" t="s">
        <v>115</v>
      </c>
      <c r="B28">
        <f>AVERAGE(Stats_2[Goals Against/90])</f>
        <v>1.3758333333333335</v>
      </c>
      <c r="C28">
        <f>AVERAGE(Stats_2[Shots on Target/90])</f>
        <v>4.1590909090909092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37FD-366C-4D7F-B33F-824BCDB2E252}">
  <sheetPr codeName="Sheet5"/>
  <dimension ref="A1:F27"/>
  <sheetViews>
    <sheetView workbookViewId="0">
      <selection activeCell="N40" sqref="N40"/>
    </sheetView>
  </sheetViews>
  <sheetFormatPr defaultRowHeight="15" x14ac:dyDescent="0.25"/>
  <cols>
    <col min="1" max="1" width="15.85546875" bestFit="1" customWidth="1"/>
    <col min="2" max="2" width="17.42578125" bestFit="1" customWidth="1"/>
    <col min="3" max="3" width="19.7109375" bestFit="1" customWidth="1"/>
    <col min="4" max="4" width="19.5703125" bestFit="1" customWidth="1"/>
    <col min="5" max="5" width="22.42578125" bestFit="1" customWidth="1"/>
    <col min="6" max="6" width="18.28515625" customWidth="1"/>
  </cols>
  <sheetData>
    <row r="1" spans="1:6" x14ac:dyDescent="0.25">
      <c r="A1" t="s">
        <v>2</v>
      </c>
      <c r="B1" t="s">
        <v>110</v>
      </c>
      <c r="C1" t="s">
        <v>132</v>
      </c>
      <c r="D1" t="s">
        <v>133</v>
      </c>
      <c r="E1" t="s">
        <v>136</v>
      </c>
      <c r="F1" t="s">
        <v>134</v>
      </c>
    </row>
    <row r="2" spans="1:6" x14ac:dyDescent="0.25">
      <c r="A2" t="s">
        <v>378</v>
      </c>
      <c r="B2">
        <v>22</v>
      </c>
      <c r="C2">
        <v>6763</v>
      </c>
      <c r="D2">
        <v>9084</v>
      </c>
      <c r="E2">
        <v>412.90909090909093</v>
      </c>
      <c r="F2">
        <v>74.400000000000006</v>
      </c>
    </row>
    <row r="3" spans="1:6" x14ac:dyDescent="0.25">
      <c r="A3" t="s">
        <v>379</v>
      </c>
      <c r="B3">
        <v>22</v>
      </c>
      <c r="C3">
        <v>10092</v>
      </c>
      <c r="D3">
        <v>12390</v>
      </c>
      <c r="E3">
        <v>563.18181818181813</v>
      </c>
      <c r="F3">
        <v>81.5</v>
      </c>
    </row>
    <row r="4" spans="1:6" x14ac:dyDescent="0.25">
      <c r="A4" t="s">
        <v>380</v>
      </c>
      <c r="B4">
        <v>22</v>
      </c>
      <c r="C4">
        <v>8092</v>
      </c>
      <c r="D4">
        <v>10723</v>
      </c>
      <c r="E4">
        <v>487.40909090909093</v>
      </c>
      <c r="F4">
        <v>75.5</v>
      </c>
    </row>
    <row r="5" spans="1:6" x14ac:dyDescent="0.25">
      <c r="A5" t="s">
        <v>381</v>
      </c>
      <c r="B5">
        <v>22</v>
      </c>
      <c r="C5">
        <v>7831</v>
      </c>
      <c r="D5">
        <v>10288</v>
      </c>
      <c r="E5">
        <v>467.63636363636363</v>
      </c>
      <c r="F5">
        <v>76.099999999999994</v>
      </c>
    </row>
    <row r="6" spans="1:6" x14ac:dyDescent="0.25">
      <c r="A6" t="s">
        <v>382</v>
      </c>
      <c r="B6">
        <v>22</v>
      </c>
      <c r="C6">
        <v>8846</v>
      </c>
      <c r="D6">
        <v>11131</v>
      </c>
      <c r="E6">
        <v>505.95454545454544</v>
      </c>
      <c r="F6">
        <v>79.5</v>
      </c>
    </row>
    <row r="7" spans="1:6" x14ac:dyDescent="0.25">
      <c r="A7" t="s">
        <v>383</v>
      </c>
      <c r="B7">
        <v>22</v>
      </c>
      <c r="C7">
        <v>5300</v>
      </c>
      <c r="D7">
        <v>7842</v>
      </c>
      <c r="E7">
        <v>356.45454545454544</v>
      </c>
      <c r="F7">
        <v>67.599999999999994</v>
      </c>
    </row>
    <row r="8" spans="1:6" x14ac:dyDescent="0.25">
      <c r="A8" t="s">
        <v>384</v>
      </c>
      <c r="B8">
        <v>22</v>
      </c>
      <c r="C8">
        <v>11417</v>
      </c>
      <c r="D8">
        <v>13409</v>
      </c>
      <c r="E8">
        <v>609.5</v>
      </c>
      <c r="F8">
        <v>85.1</v>
      </c>
    </row>
    <row r="9" spans="1:6" x14ac:dyDescent="0.25">
      <c r="A9" t="s">
        <v>385</v>
      </c>
      <c r="B9">
        <v>22</v>
      </c>
      <c r="C9">
        <v>9216</v>
      </c>
      <c r="D9">
        <v>11655</v>
      </c>
      <c r="E9">
        <v>529.77272727272725</v>
      </c>
      <c r="F9">
        <v>79.099999999999994</v>
      </c>
    </row>
    <row r="10" spans="1:6" x14ac:dyDescent="0.25">
      <c r="A10" t="s">
        <v>386</v>
      </c>
      <c r="B10">
        <v>22</v>
      </c>
      <c r="C10">
        <v>10443</v>
      </c>
      <c r="D10">
        <v>12469</v>
      </c>
      <c r="E10">
        <v>566.77272727272725</v>
      </c>
      <c r="F10">
        <v>83.8</v>
      </c>
    </row>
    <row r="11" spans="1:6" x14ac:dyDescent="0.25">
      <c r="A11" t="s">
        <v>387</v>
      </c>
      <c r="B11">
        <v>22</v>
      </c>
      <c r="C11">
        <v>13340</v>
      </c>
      <c r="D11">
        <v>15263</v>
      </c>
      <c r="E11">
        <v>693.77272727272725</v>
      </c>
      <c r="F11">
        <v>87.4</v>
      </c>
    </row>
    <row r="12" spans="1:6" x14ac:dyDescent="0.25">
      <c r="A12" t="s">
        <v>388</v>
      </c>
      <c r="B12">
        <v>22</v>
      </c>
      <c r="C12">
        <v>10509</v>
      </c>
      <c r="D12">
        <v>12665</v>
      </c>
      <c r="E12">
        <v>575.68181818181813</v>
      </c>
      <c r="F12">
        <v>83</v>
      </c>
    </row>
    <row r="13" spans="1:6" x14ac:dyDescent="0.25">
      <c r="A13" t="s">
        <v>389</v>
      </c>
      <c r="B13">
        <v>22</v>
      </c>
      <c r="C13">
        <v>6579</v>
      </c>
      <c r="D13">
        <v>9136</v>
      </c>
      <c r="E13">
        <v>415.27272727272725</v>
      </c>
      <c r="F13">
        <v>72</v>
      </c>
    </row>
    <row r="14" spans="1:6" x14ac:dyDescent="0.25">
      <c r="A14" t="s">
        <v>390</v>
      </c>
      <c r="B14">
        <v>22</v>
      </c>
      <c r="C14">
        <v>8629</v>
      </c>
      <c r="D14">
        <v>10848</v>
      </c>
      <c r="E14">
        <v>493.09090909090907</v>
      </c>
      <c r="F14">
        <v>79.5</v>
      </c>
    </row>
    <row r="15" spans="1:6" x14ac:dyDescent="0.25">
      <c r="A15" t="s">
        <v>391</v>
      </c>
      <c r="B15">
        <v>22</v>
      </c>
      <c r="C15">
        <v>7664</v>
      </c>
      <c r="D15">
        <v>9994</v>
      </c>
      <c r="E15">
        <v>454.27272727272725</v>
      </c>
      <c r="F15">
        <v>76.7</v>
      </c>
    </row>
    <row r="16" spans="1:6" x14ac:dyDescent="0.25">
      <c r="A16" t="s">
        <v>392</v>
      </c>
      <c r="B16">
        <v>22</v>
      </c>
      <c r="C16">
        <v>6310</v>
      </c>
      <c r="D16">
        <v>8972</v>
      </c>
      <c r="E16">
        <v>407.81818181818181</v>
      </c>
      <c r="F16">
        <v>70.3</v>
      </c>
    </row>
    <row r="17" spans="1:6" x14ac:dyDescent="0.25">
      <c r="A17" t="s">
        <v>393</v>
      </c>
      <c r="B17">
        <v>22</v>
      </c>
      <c r="C17">
        <v>6926</v>
      </c>
      <c r="D17">
        <v>9422</v>
      </c>
      <c r="E17">
        <v>428.27272727272725</v>
      </c>
      <c r="F17">
        <v>73.5</v>
      </c>
    </row>
    <row r="18" spans="1:6" x14ac:dyDescent="0.25">
      <c r="A18" t="s">
        <v>394</v>
      </c>
      <c r="B18">
        <v>22</v>
      </c>
      <c r="C18">
        <v>4520</v>
      </c>
      <c r="D18">
        <v>7115</v>
      </c>
      <c r="E18">
        <v>323.40909090909093</v>
      </c>
      <c r="F18">
        <v>63.5</v>
      </c>
    </row>
    <row r="19" spans="1:6" x14ac:dyDescent="0.25">
      <c r="A19" t="s">
        <v>395</v>
      </c>
      <c r="B19">
        <v>22</v>
      </c>
      <c r="C19">
        <v>6462</v>
      </c>
      <c r="D19">
        <v>8885</v>
      </c>
      <c r="E19">
        <v>403.86363636363637</v>
      </c>
      <c r="F19">
        <v>72.7</v>
      </c>
    </row>
    <row r="20" spans="1:6" x14ac:dyDescent="0.25">
      <c r="A20" t="s">
        <v>396</v>
      </c>
      <c r="B20">
        <v>22</v>
      </c>
      <c r="C20">
        <v>13692</v>
      </c>
      <c r="D20">
        <v>15567</v>
      </c>
      <c r="E20">
        <v>707.59090909090912</v>
      </c>
      <c r="F20">
        <v>88</v>
      </c>
    </row>
    <row r="21" spans="1:6" x14ac:dyDescent="0.25">
      <c r="A21" t="s">
        <v>397</v>
      </c>
      <c r="B21">
        <v>22</v>
      </c>
      <c r="C21">
        <v>7932</v>
      </c>
      <c r="D21">
        <v>10630</v>
      </c>
      <c r="E21">
        <v>483.18181818181819</v>
      </c>
      <c r="F21">
        <v>74.599999999999994</v>
      </c>
    </row>
    <row r="22" spans="1:6" x14ac:dyDescent="0.25">
      <c r="A22" t="s">
        <v>398</v>
      </c>
      <c r="B22">
        <v>22</v>
      </c>
      <c r="C22">
        <v>10703</v>
      </c>
      <c r="D22">
        <v>12792</v>
      </c>
      <c r="E22">
        <v>581.4545454545455</v>
      </c>
      <c r="F22">
        <v>83.7</v>
      </c>
    </row>
    <row r="23" spans="1:6" x14ac:dyDescent="0.25">
      <c r="A23" t="s">
        <v>399</v>
      </c>
      <c r="B23">
        <v>22</v>
      </c>
      <c r="C23">
        <v>9717</v>
      </c>
      <c r="D23">
        <v>12127</v>
      </c>
      <c r="E23">
        <v>551.22727272727275</v>
      </c>
      <c r="F23">
        <v>80.099999999999994</v>
      </c>
    </row>
    <row r="24" spans="1:6" x14ac:dyDescent="0.25">
      <c r="A24" t="s">
        <v>400</v>
      </c>
      <c r="B24">
        <v>22</v>
      </c>
      <c r="C24">
        <v>9511</v>
      </c>
      <c r="D24">
        <v>11853</v>
      </c>
      <c r="E24">
        <v>538.77272727272725</v>
      </c>
      <c r="F24">
        <v>80.2</v>
      </c>
    </row>
    <row r="25" spans="1:6" x14ac:dyDescent="0.25">
      <c r="A25" t="s">
        <v>401</v>
      </c>
      <c r="B25">
        <v>22</v>
      </c>
      <c r="C25">
        <v>8787</v>
      </c>
      <c r="D25">
        <v>11042</v>
      </c>
      <c r="E25">
        <v>501.90909090909093</v>
      </c>
      <c r="F25">
        <v>79.599999999999994</v>
      </c>
    </row>
    <row r="27" spans="1:6" x14ac:dyDescent="0.25">
      <c r="A27" t="s">
        <v>135</v>
      </c>
      <c r="B27">
        <f>AVERAGE(Stats_6[Completion Rate])</f>
        <v>77.808333333333323</v>
      </c>
      <c r="C27">
        <f>AVERAGE(Stats_6[Passes Attempted/90])</f>
        <v>502.46590909090901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44C9-861C-4262-811F-038F3E24C117}">
  <sheetPr codeName="Sheet6"/>
  <dimension ref="A1:L29"/>
  <sheetViews>
    <sheetView workbookViewId="0">
      <selection activeCell="N38" sqref="N38"/>
    </sheetView>
  </sheetViews>
  <sheetFormatPr defaultRowHeight="15" x14ac:dyDescent="0.25"/>
  <cols>
    <col min="1" max="1" width="15.85546875" bestFit="1" customWidth="1"/>
    <col min="2" max="2" width="17.42578125" bestFit="1" customWidth="1"/>
    <col min="3" max="3" width="20.140625" bestFit="1" customWidth="1"/>
    <col min="4" max="4" width="23" bestFit="1" customWidth="1"/>
    <col min="5" max="5" width="14.42578125" bestFit="1" customWidth="1"/>
    <col min="6" max="6" width="15" style="8" bestFit="1" customWidth="1"/>
    <col min="7" max="7" width="14.42578125" bestFit="1" customWidth="1"/>
    <col min="8" max="8" width="12" bestFit="1" customWidth="1"/>
    <col min="9" max="9" width="21" bestFit="1" customWidth="1"/>
    <col min="10" max="10" width="23.85546875" bestFit="1" customWidth="1"/>
    <col min="11" max="11" width="12.85546875" bestFit="1" customWidth="1"/>
    <col min="12" max="12" width="15.85546875" bestFit="1" customWidth="1"/>
  </cols>
  <sheetData>
    <row r="1" spans="1:12" x14ac:dyDescent="0.25">
      <c r="A1" t="s">
        <v>2</v>
      </c>
      <c r="B1" t="s">
        <v>110</v>
      </c>
      <c r="C1" t="s">
        <v>137</v>
      </c>
      <c r="D1" t="s">
        <v>138</v>
      </c>
      <c r="E1" t="s">
        <v>139</v>
      </c>
      <c r="F1" s="8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2" x14ac:dyDescent="0.25">
      <c r="A2" t="s">
        <v>378</v>
      </c>
      <c r="B2">
        <v>22</v>
      </c>
      <c r="C2">
        <v>409</v>
      </c>
      <c r="D2">
        <v>18.59090909090909</v>
      </c>
      <c r="E2">
        <v>249</v>
      </c>
      <c r="F2" s="8">
        <v>0.60880195599022002</v>
      </c>
      <c r="G2">
        <v>295</v>
      </c>
      <c r="H2">
        <v>13.409090909090908</v>
      </c>
      <c r="I2">
        <v>237</v>
      </c>
      <c r="J2">
        <v>646</v>
      </c>
      <c r="K2">
        <v>476</v>
      </c>
      <c r="L2">
        <v>21.636363636363637</v>
      </c>
    </row>
    <row r="3" spans="1:12" x14ac:dyDescent="0.25">
      <c r="A3" t="s">
        <v>379</v>
      </c>
      <c r="B3">
        <v>22</v>
      </c>
      <c r="C3">
        <v>402</v>
      </c>
      <c r="D3">
        <v>18.272727272727273</v>
      </c>
      <c r="E3">
        <v>243</v>
      </c>
      <c r="F3" s="8">
        <v>0.60447761194029803</v>
      </c>
      <c r="G3">
        <v>314</v>
      </c>
      <c r="H3">
        <v>14.272727272727273</v>
      </c>
      <c r="I3">
        <v>219</v>
      </c>
      <c r="J3">
        <v>621</v>
      </c>
      <c r="K3">
        <v>438</v>
      </c>
      <c r="L3">
        <v>19.90909090909091</v>
      </c>
    </row>
    <row r="4" spans="1:12" x14ac:dyDescent="0.25">
      <c r="A4" t="s">
        <v>380</v>
      </c>
      <c r="B4">
        <v>22</v>
      </c>
      <c r="C4">
        <v>380</v>
      </c>
      <c r="D4">
        <v>17.272727272727273</v>
      </c>
      <c r="E4">
        <v>235</v>
      </c>
      <c r="F4" s="8">
        <v>0.61842105263157898</v>
      </c>
      <c r="G4">
        <v>229</v>
      </c>
      <c r="H4">
        <v>10.409090909090908</v>
      </c>
      <c r="I4">
        <v>220</v>
      </c>
      <c r="J4">
        <v>600</v>
      </c>
      <c r="K4">
        <v>403</v>
      </c>
      <c r="L4">
        <v>18.318181818181817</v>
      </c>
    </row>
    <row r="5" spans="1:12" x14ac:dyDescent="0.25">
      <c r="A5" t="s">
        <v>381</v>
      </c>
      <c r="B5">
        <v>22</v>
      </c>
      <c r="C5">
        <v>351</v>
      </c>
      <c r="D5">
        <v>15.954545454545455</v>
      </c>
      <c r="E5">
        <v>228</v>
      </c>
      <c r="F5" s="8">
        <v>0.64957264957265004</v>
      </c>
      <c r="G5">
        <v>247</v>
      </c>
      <c r="H5">
        <v>11.227272727272727</v>
      </c>
      <c r="I5">
        <v>260</v>
      </c>
      <c r="J5">
        <v>611</v>
      </c>
      <c r="K5">
        <v>448</v>
      </c>
      <c r="L5">
        <v>20.363636363636363</v>
      </c>
    </row>
    <row r="6" spans="1:12" x14ac:dyDescent="0.25">
      <c r="A6" t="s">
        <v>382</v>
      </c>
      <c r="B6">
        <v>22</v>
      </c>
      <c r="C6">
        <v>400</v>
      </c>
      <c r="D6">
        <v>18.181818181818183</v>
      </c>
      <c r="E6">
        <v>241</v>
      </c>
      <c r="F6" s="8">
        <v>0.60250000000000004</v>
      </c>
      <c r="G6">
        <v>226</v>
      </c>
      <c r="H6">
        <v>10.272727272727273</v>
      </c>
      <c r="I6">
        <v>207</v>
      </c>
      <c r="J6">
        <v>607</v>
      </c>
      <c r="K6">
        <v>378</v>
      </c>
      <c r="L6">
        <v>17.181818181818183</v>
      </c>
    </row>
    <row r="7" spans="1:12" x14ac:dyDescent="0.25">
      <c r="A7" t="s">
        <v>383</v>
      </c>
      <c r="B7">
        <v>22</v>
      </c>
      <c r="C7">
        <v>351</v>
      </c>
      <c r="D7">
        <v>15.954545454545455</v>
      </c>
      <c r="E7">
        <v>206</v>
      </c>
      <c r="F7" s="8">
        <v>0.58689458689458696</v>
      </c>
      <c r="G7">
        <v>262</v>
      </c>
      <c r="H7">
        <v>11.909090909090908</v>
      </c>
      <c r="I7">
        <v>201</v>
      </c>
      <c r="J7">
        <v>552</v>
      </c>
      <c r="K7">
        <v>524</v>
      </c>
      <c r="L7">
        <v>23.818181818181817</v>
      </c>
    </row>
    <row r="8" spans="1:12" x14ac:dyDescent="0.25">
      <c r="A8" t="s">
        <v>384</v>
      </c>
      <c r="B8">
        <v>22</v>
      </c>
      <c r="C8">
        <v>249</v>
      </c>
      <c r="D8">
        <v>11.318181818181818</v>
      </c>
      <c r="E8">
        <v>149</v>
      </c>
      <c r="F8" s="8">
        <v>0.59839357429718898</v>
      </c>
      <c r="G8">
        <v>252</v>
      </c>
      <c r="H8">
        <v>11.454545454545455</v>
      </c>
      <c r="I8">
        <v>160</v>
      </c>
      <c r="J8">
        <v>409</v>
      </c>
      <c r="K8">
        <v>411</v>
      </c>
      <c r="L8">
        <v>18.681818181818183</v>
      </c>
    </row>
    <row r="9" spans="1:12" x14ac:dyDescent="0.25">
      <c r="A9" t="s">
        <v>385</v>
      </c>
      <c r="B9">
        <v>22</v>
      </c>
      <c r="C9">
        <v>376</v>
      </c>
      <c r="D9">
        <v>17.09090909090909</v>
      </c>
      <c r="E9">
        <v>246</v>
      </c>
      <c r="F9" s="8">
        <v>0.65425531914893598</v>
      </c>
      <c r="G9">
        <v>261</v>
      </c>
      <c r="H9">
        <v>11.863636363636363</v>
      </c>
      <c r="I9">
        <v>196</v>
      </c>
      <c r="J9">
        <v>572</v>
      </c>
      <c r="K9">
        <v>373</v>
      </c>
      <c r="L9">
        <v>16.954545454545453</v>
      </c>
    </row>
    <row r="10" spans="1:12" x14ac:dyDescent="0.25">
      <c r="A10" t="s">
        <v>386</v>
      </c>
      <c r="B10">
        <v>22</v>
      </c>
      <c r="C10">
        <v>377</v>
      </c>
      <c r="D10">
        <v>17.136363636363637</v>
      </c>
      <c r="E10">
        <v>257</v>
      </c>
      <c r="F10" s="8">
        <v>0.68169761273209595</v>
      </c>
      <c r="G10">
        <v>258</v>
      </c>
      <c r="H10">
        <v>11.727272727272727</v>
      </c>
      <c r="I10">
        <v>202</v>
      </c>
      <c r="J10">
        <v>579</v>
      </c>
      <c r="K10">
        <v>367</v>
      </c>
      <c r="L10">
        <v>16.681818181818183</v>
      </c>
    </row>
    <row r="11" spans="1:12" x14ac:dyDescent="0.25">
      <c r="A11" t="s">
        <v>387</v>
      </c>
      <c r="B11">
        <v>22</v>
      </c>
      <c r="C11">
        <v>389</v>
      </c>
      <c r="D11">
        <v>17.681818181818183</v>
      </c>
      <c r="E11">
        <v>252</v>
      </c>
      <c r="F11" s="8">
        <v>0.64781491002570701</v>
      </c>
      <c r="G11">
        <v>232</v>
      </c>
      <c r="H11">
        <v>10.545454545454545</v>
      </c>
      <c r="I11">
        <v>186</v>
      </c>
      <c r="J11">
        <v>575</v>
      </c>
      <c r="K11">
        <v>381</v>
      </c>
      <c r="L11">
        <v>17.318181818181817</v>
      </c>
    </row>
    <row r="12" spans="1:12" x14ac:dyDescent="0.25">
      <c r="A12" t="s">
        <v>388</v>
      </c>
      <c r="B12">
        <v>22</v>
      </c>
      <c r="C12">
        <v>318</v>
      </c>
      <c r="D12">
        <v>14.454545454545455</v>
      </c>
      <c r="E12">
        <v>194</v>
      </c>
      <c r="F12" s="8">
        <v>0.61006289308176098</v>
      </c>
      <c r="G12">
        <v>233</v>
      </c>
      <c r="H12">
        <v>10.590909090909092</v>
      </c>
      <c r="I12">
        <v>191</v>
      </c>
      <c r="J12">
        <v>509</v>
      </c>
      <c r="K12">
        <v>359</v>
      </c>
      <c r="L12">
        <v>16.318181818181817</v>
      </c>
    </row>
    <row r="13" spans="1:12" x14ac:dyDescent="0.25">
      <c r="A13" t="s">
        <v>389</v>
      </c>
      <c r="B13">
        <v>22</v>
      </c>
      <c r="C13">
        <v>392</v>
      </c>
      <c r="D13">
        <v>17.818181818181817</v>
      </c>
      <c r="E13">
        <v>237</v>
      </c>
      <c r="F13" s="8">
        <v>0.60459183673469397</v>
      </c>
      <c r="G13">
        <v>265</v>
      </c>
      <c r="H13">
        <v>12.045454545454545</v>
      </c>
      <c r="I13">
        <v>225</v>
      </c>
      <c r="J13">
        <v>617</v>
      </c>
      <c r="K13">
        <v>453</v>
      </c>
      <c r="L13">
        <v>20.59090909090909</v>
      </c>
    </row>
    <row r="14" spans="1:12" x14ac:dyDescent="0.25">
      <c r="A14" t="s">
        <v>390</v>
      </c>
      <c r="B14">
        <v>22</v>
      </c>
      <c r="C14">
        <v>363</v>
      </c>
      <c r="D14">
        <v>16.5</v>
      </c>
      <c r="E14">
        <v>215</v>
      </c>
      <c r="F14" s="8">
        <v>0.59228650137741001</v>
      </c>
      <c r="G14">
        <v>284</v>
      </c>
      <c r="H14">
        <v>12.909090909090908</v>
      </c>
      <c r="I14">
        <v>201</v>
      </c>
      <c r="J14">
        <v>564</v>
      </c>
      <c r="K14">
        <v>481</v>
      </c>
      <c r="L14">
        <v>21.863636363636363</v>
      </c>
    </row>
    <row r="15" spans="1:12" x14ac:dyDescent="0.25">
      <c r="A15" t="s">
        <v>391</v>
      </c>
      <c r="B15">
        <v>22</v>
      </c>
      <c r="C15">
        <v>278</v>
      </c>
      <c r="D15">
        <v>12.636363636363637</v>
      </c>
      <c r="E15">
        <v>202</v>
      </c>
      <c r="F15" s="8">
        <v>0.72661870503597104</v>
      </c>
      <c r="G15">
        <v>295</v>
      </c>
      <c r="H15">
        <v>13.409090909090908</v>
      </c>
      <c r="I15">
        <v>212</v>
      </c>
      <c r="J15">
        <v>490</v>
      </c>
      <c r="K15">
        <v>506</v>
      </c>
      <c r="L15">
        <v>23</v>
      </c>
    </row>
    <row r="16" spans="1:12" x14ac:dyDescent="0.25">
      <c r="A16" t="s">
        <v>392</v>
      </c>
      <c r="B16">
        <v>22</v>
      </c>
      <c r="C16">
        <v>382</v>
      </c>
      <c r="D16">
        <v>17.363636363636363</v>
      </c>
      <c r="E16">
        <v>226</v>
      </c>
      <c r="F16" s="8">
        <v>0.59162303664921501</v>
      </c>
      <c r="G16">
        <v>300</v>
      </c>
      <c r="H16">
        <v>13.636363636363637</v>
      </c>
      <c r="I16">
        <v>272</v>
      </c>
      <c r="J16">
        <v>654</v>
      </c>
      <c r="K16">
        <v>489</v>
      </c>
      <c r="L16">
        <v>22.227272727272727</v>
      </c>
    </row>
    <row r="17" spans="1:12" x14ac:dyDescent="0.25">
      <c r="A17" t="s">
        <v>393</v>
      </c>
      <c r="B17">
        <v>22</v>
      </c>
      <c r="C17">
        <v>350</v>
      </c>
      <c r="D17">
        <v>15.909090909090908</v>
      </c>
      <c r="E17">
        <v>229</v>
      </c>
      <c r="F17" s="8">
        <v>0.65428571428571403</v>
      </c>
      <c r="G17">
        <v>238</v>
      </c>
      <c r="H17">
        <v>10.818181818181818</v>
      </c>
      <c r="I17">
        <v>182</v>
      </c>
      <c r="J17">
        <v>532</v>
      </c>
      <c r="K17">
        <v>423</v>
      </c>
      <c r="L17">
        <v>19.227272727272727</v>
      </c>
    </row>
    <row r="18" spans="1:12" x14ac:dyDescent="0.25">
      <c r="A18" t="s">
        <v>394</v>
      </c>
      <c r="B18">
        <v>22</v>
      </c>
      <c r="C18">
        <v>337</v>
      </c>
      <c r="D18">
        <v>15.318181818181818</v>
      </c>
      <c r="E18">
        <v>208</v>
      </c>
      <c r="F18" s="8">
        <v>0.61721068249258204</v>
      </c>
      <c r="G18">
        <v>251</v>
      </c>
      <c r="H18">
        <v>11.409090909090908</v>
      </c>
      <c r="I18">
        <v>207</v>
      </c>
      <c r="J18">
        <v>544</v>
      </c>
      <c r="K18">
        <v>502</v>
      </c>
      <c r="L18">
        <v>22.818181818181817</v>
      </c>
    </row>
    <row r="19" spans="1:12" x14ac:dyDescent="0.25">
      <c r="A19" t="s">
        <v>395</v>
      </c>
      <c r="B19">
        <v>22</v>
      </c>
      <c r="C19">
        <v>372</v>
      </c>
      <c r="D19">
        <v>16.90909090909091</v>
      </c>
      <c r="E19">
        <v>239</v>
      </c>
      <c r="F19" s="8">
        <v>0.64247311827956999</v>
      </c>
      <c r="G19">
        <v>270</v>
      </c>
      <c r="H19">
        <v>12.272727272727273</v>
      </c>
      <c r="I19">
        <v>206</v>
      </c>
      <c r="J19">
        <v>578</v>
      </c>
      <c r="K19">
        <v>421</v>
      </c>
      <c r="L19">
        <v>19.136363636363637</v>
      </c>
    </row>
    <row r="20" spans="1:12" x14ac:dyDescent="0.25">
      <c r="A20" t="s">
        <v>396</v>
      </c>
      <c r="B20">
        <v>22</v>
      </c>
      <c r="C20">
        <v>323</v>
      </c>
      <c r="D20">
        <v>14.681818181818182</v>
      </c>
      <c r="E20">
        <v>202</v>
      </c>
      <c r="F20" s="8">
        <v>0.62538699690402499</v>
      </c>
      <c r="G20">
        <v>209</v>
      </c>
      <c r="H20">
        <v>9.5</v>
      </c>
      <c r="I20">
        <v>198</v>
      </c>
      <c r="J20">
        <v>521</v>
      </c>
      <c r="K20">
        <v>355</v>
      </c>
      <c r="L20">
        <v>16.136363636363637</v>
      </c>
    </row>
    <row r="21" spans="1:12" x14ac:dyDescent="0.25">
      <c r="A21" t="s">
        <v>397</v>
      </c>
      <c r="B21">
        <v>22</v>
      </c>
      <c r="C21">
        <v>396</v>
      </c>
      <c r="D21">
        <v>18</v>
      </c>
      <c r="E21">
        <v>256</v>
      </c>
      <c r="F21" s="8">
        <v>0.64646464646464596</v>
      </c>
      <c r="G21">
        <v>218</v>
      </c>
      <c r="H21">
        <v>9.9090909090909083</v>
      </c>
      <c r="I21">
        <v>246</v>
      </c>
      <c r="J21">
        <v>642</v>
      </c>
      <c r="K21">
        <v>398</v>
      </c>
      <c r="L21">
        <v>18.09090909090909</v>
      </c>
    </row>
    <row r="22" spans="1:12" x14ac:dyDescent="0.25">
      <c r="A22" t="s">
        <v>398</v>
      </c>
      <c r="B22">
        <v>22</v>
      </c>
      <c r="C22">
        <v>361</v>
      </c>
      <c r="D22">
        <v>16.40909090909091</v>
      </c>
      <c r="E22">
        <v>225</v>
      </c>
      <c r="F22" s="8">
        <v>0.62326869806094198</v>
      </c>
      <c r="G22">
        <v>239</v>
      </c>
      <c r="H22">
        <v>10.863636363636363</v>
      </c>
      <c r="I22">
        <v>185</v>
      </c>
      <c r="J22">
        <v>546</v>
      </c>
      <c r="K22">
        <v>347</v>
      </c>
      <c r="L22">
        <v>15.772727272727273</v>
      </c>
    </row>
    <row r="23" spans="1:12" x14ac:dyDescent="0.25">
      <c r="A23" t="s">
        <v>399</v>
      </c>
      <c r="B23">
        <v>22</v>
      </c>
      <c r="C23">
        <v>336</v>
      </c>
      <c r="D23">
        <v>15.272727272727273</v>
      </c>
      <c r="E23">
        <v>206</v>
      </c>
      <c r="F23" s="8">
        <v>0.61309523809523803</v>
      </c>
      <c r="G23">
        <v>239</v>
      </c>
      <c r="H23">
        <v>10.863636363636363</v>
      </c>
      <c r="I23">
        <v>234</v>
      </c>
      <c r="J23">
        <v>570</v>
      </c>
      <c r="K23">
        <v>431</v>
      </c>
      <c r="L23">
        <v>19.59090909090909</v>
      </c>
    </row>
    <row r="24" spans="1:12" x14ac:dyDescent="0.25">
      <c r="A24" t="s">
        <v>400</v>
      </c>
      <c r="B24">
        <v>22</v>
      </c>
      <c r="C24">
        <v>363</v>
      </c>
      <c r="D24">
        <v>16.5</v>
      </c>
      <c r="E24">
        <v>243</v>
      </c>
      <c r="F24" s="8">
        <v>0.669421487603306</v>
      </c>
      <c r="G24">
        <v>247</v>
      </c>
      <c r="H24">
        <v>11.227272727272727</v>
      </c>
      <c r="I24">
        <v>219</v>
      </c>
      <c r="J24">
        <v>582</v>
      </c>
      <c r="K24">
        <v>351</v>
      </c>
      <c r="L24">
        <v>15.954545454545455</v>
      </c>
    </row>
    <row r="25" spans="1:12" x14ac:dyDescent="0.25">
      <c r="A25" t="s">
        <v>401</v>
      </c>
      <c r="B25">
        <v>22</v>
      </c>
      <c r="C25">
        <v>308</v>
      </c>
      <c r="D25">
        <v>14</v>
      </c>
      <c r="E25">
        <v>185</v>
      </c>
      <c r="F25" s="8">
        <v>0.60064935064935099</v>
      </c>
      <c r="G25">
        <v>216</v>
      </c>
      <c r="H25">
        <v>9.8181818181818183</v>
      </c>
      <c r="I25">
        <v>208</v>
      </c>
      <c r="J25">
        <v>516</v>
      </c>
      <c r="K25">
        <v>402</v>
      </c>
      <c r="L25">
        <v>18.272727272727273</v>
      </c>
    </row>
    <row r="27" spans="1:12" x14ac:dyDescent="0.25">
      <c r="A27" t="s">
        <v>115</v>
      </c>
    </row>
    <row r="28" spans="1:12" x14ac:dyDescent="0.25">
      <c r="A28" t="s">
        <v>147</v>
      </c>
      <c r="B28">
        <f>AVERAGE(Stats_7[Clearances/90])</f>
        <v>19.160984848484844</v>
      </c>
      <c r="C28">
        <f>AVERAGE(Stats_7[Blocks/90])</f>
        <v>11.515151515151516</v>
      </c>
    </row>
    <row r="29" spans="1:12" x14ac:dyDescent="0.25">
      <c r="A29" t="s">
        <v>148</v>
      </c>
      <c r="B29">
        <f>AVERAGE(Stats_7[Tackle Win %])</f>
        <v>0.62792784078948682</v>
      </c>
      <c r="C29">
        <f>AVERAGE(Stats_7[Tackles Attempted/90])</f>
        <v>16.217803030303031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CCA4-00F6-41CA-9737-3028DC5B7783}">
  <sheetPr codeName="Sheet8"/>
  <dimension ref="A1:T78"/>
  <sheetViews>
    <sheetView workbookViewId="0">
      <selection activeCell="L44" sqref="L44"/>
    </sheetView>
  </sheetViews>
  <sheetFormatPr defaultColWidth="15.5703125" defaultRowHeight="15.75" customHeight="1" x14ac:dyDescent="0.25"/>
  <sheetData>
    <row r="1" spans="1:20" ht="15.75" customHeight="1" x14ac:dyDescent="0.25">
      <c r="A1" s="64" t="s">
        <v>156</v>
      </c>
      <c r="B1" s="57" t="s">
        <v>391</v>
      </c>
      <c r="C1" s="58"/>
      <c r="D1" s="58"/>
      <c r="E1" s="58"/>
      <c r="F1" s="58"/>
      <c r="G1" s="59"/>
      <c r="H1" s="65">
        <f>VLOOKUP(B1,'Table Prediction Calculations'!CK4:CM23,2)*VLOOKUP(B3,'Table Prediction Calculations'!CK4:CM23,3)*('Table Prediction Calculations'!CM2/2)</f>
        <v>1.8131298377865428</v>
      </c>
      <c r="I1" s="66"/>
      <c r="J1" s="67"/>
      <c r="K1" s="54">
        <f>SUM(E11:E20)</f>
        <v>0.48656197548339186</v>
      </c>
      <c r="L1" s="54"/>
      <c r="M1" s="54"/>
    </row>
    <row r="2" spans="1:20" ht="15.75" customHeight="1" x14ac:dyDescent="0.25">
      <c r="A2" s="64"/>
      <c r="B2" s="60"/>
      <c r="C2" s="61"/>
      <c r="D2" s="61"/>
      <c r="E2" s="61"/>
      <c r="F2" s="61"/>
      <c r="G2" s="62"/>
      <c r="H2" s="68"/>
      <c r="I2" s="69"/>
      <c r="J2" s="70"/>
      <c r="K2" s="54"/>
      <c r="L2" s="54"/>
      <c r="M2" s="54"/>
      <c r="N2" s="55">
        <f>1-SUM(K1:M4)</f>
        <v>0.22944080772688946</v>
      </c>
      <c r="O2" s="56"/>
      <c r="P2" s="56"/>
    </row>
    <row r="3" spans="1:20" ht="15.75" customHeight="1" x14ac:dyDescent="0.25">
      <c r="A3" s="64" t="s">
        <v>157</v>
      </c>
      <c r="B3" s="57" t="s">
        <v>378</v>
      </c>
      <c r="C3" s="58"/>
      <c r="D3" s="58"/>
      <c r="E3" s="58"/>
      <c r="F3" s="58"/>
      <c r="G3" s="59"/>
      <c r="H3" s="65">
        <f>VLOOKUP(B3,'Table Prediction Calculations'!CK4:CM23,2)*VLOOKUP(B1,'Table Prediction Calculations'!CK4:CM23,3)*('Table Prediction Calculations'!CM2/2)</f>
        <v>1.338250085225519</v>
      </c>
      <c r="I3" s="66"/>
      <c r="J3" s="67"/>
      <c r="K3" s="54">
        <f>SUM(F11:F20)</f>
        <v>0.28399721678971862</v>
      </c>
      <c r="L3" s="54"/>
      <c r="M3" s="54"/>
      <c r="N3" s="56"/>
      <c r="O3" s="56"/>
      <c r="P3" s="56"/>
    </row>
    <row r="4" spans="1:20" ht="15.75" customHeight="1" x14ac:dyDescent="0.25">
      <c r="A4" s="64"/>
      <c r="B4" s="60"/>
      <c r="C4" s="61"/>
      <c r="D4" s="61"/>
      <c r="E4" s="61"/>
      <c r="F4" s="61"/>
      <c r="G4" s="62"/>
      <c r="H4" s="68"/>
      <c r="I4" s="69"/>
      <c r="J4" s="70"/>
      <c r="K4" s="54"/>
      <c r="L4" s="54"/>
      <c r="M4" s="54"/>
    </row>
    <row r="6" spans="1:20" ht="15.75" customHeight="1" x14ac:dyDescent="0.25">
      <c r="A6" s="63" t="s">
        <v>158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</row>
    <row r="7" spans="1:20" ht="15.75" customHeight="1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10"/>
      <c r="R7" s="10"/>
      <c r="S7" s="10"/>
    </row>
    <row r="9" spans="1:20" s="10" customFormat="1" ht="15" hidden="1" customHeight="1" x14ac:dyDescent="0.25">
      <c r="A9" s="10" t="s">
        <v>47</v>
      </c>
      <c r="B9" s="11" t="str">
        <f>B1&amp;" Goals"</f>
        <v>Plymouth Argyle Goals</v>
      </c>
      <c r="C9" s="11" t="str">
        <f>B3&amp;" Goals"</f>
        <v>Birmingham City Goals</v>
      </c>
      <c r="E9" s="10" t="str">
        <f>B1&amp;" Win %"</f>
        <v>Plymouth Argyle Win %</v>
      </c>
      <c r="F9" s="10" t="str">
        <f>B3&amp;" Win %"</f>
        <v>Birmingham City Win %</v>
      </c>
      <c r="R9"/>
      <c r="S9"/>
      <c r="T9"/>
    </row>
    <row r="10" spans="1:20" ht="15.75" hidden="1" customHeight="1" x14ac:dyDescent="0.25">
      <c r="A10">
        <v>0</v>
      </c>
      <c r="B10" s="8">
        <f>_xlfn.POISSON.DIST(A10,$H$1,FALSE)</f>
        <v>0.1631427266343258</v>
      </c>
      <c r="C10" s="8">
        <f>_xlfn.POISSON.DIST(A10,$H$3,FALSE)</f>
        <v>0.262304277330493</v>
      </c>
    </row>
    <row r="11" spans="1:20" ht="15.75" hidden="1" customHeight="1" x14ac:dyDescent="0.25">
      <c r="A11">
        <v>1</v>
      </c>
      <c r="B11" s="8">
        <f t="shared" ref="B11:B20" si="0">_xlfn.POISSON.DIST(A11,$H$1,FALSE)</f>
        <v>0.2957989454785494</v>
      </c>
      <c r="C11" s="8">
        <f t="shared" ref="C11:C20" si="1">_xlfn.POISSON.DIST(A11,$H$3,FALSE)</f>
        <v>0.35102872149255043</v>
      </c>
      <c r="E11" s="13">
        <f>B11*SUM($C$10:C10)</f>
        <v>7.75893286288728E-2</v>
      </c>
      <c r="F11" s="13">
        <f>C11*SUM($B$10:B10)</f>
        <v>5.726778275125604E-2</v>
      </c>
    </row>
    <row r="12" spans="1:20" ht="15.75" hidden="1" customHeight="1" x14ac:dyDescent="0.25">
      <c r="A12">
        <v>2</v>
      </c>
      <c r="B12" s="8">
        <f t="shared" si="0"/>
        <v>0.26816094701647641</v>
      </c>
      <c r="C12" s="8">
        <f t="shared" si="1"/>
        <v>0.23488210822700531</v>
      </c>
      <c r="E12" s="13">
        <f>B12*SUM($C$10:C11)</f>
        <v>0.16447195780084273</v>
      </c>
      <c r="F12" s="13">
        <f>C12*SUM($B$10:B11)</f>
        <v>0.10779718749909913</v>
      </c>
    </row>
    <row r="13" spans="1:20" ht="15.75" hidden="1" customHeight="1" x14ac:dyDescent="0.25">
      <c r="A13">
        <v>3</v>
      </c>
      <c r="B13" s="8">
        <f t="shared" si="0"/>
        <v>0.16207020478822323</v>
      </c>
      <c r="C13" s="8">
        <f t="shared" si="1"/>
        <v>0.1047770004509132</v>
      </c>
      <c r="E13" s="13">
        <f>B13*SUM($C$10:C12)</f>
        <v>0.13747039610406608</v>
      </c>
      <c r="F13" s="13">
        <f>C13*SUM($B$10:B12)</f>
        <v>7.6183631452376249E-2</v>
      </c>
    </row>
    <row r="14" spans="1:20" ht="15.75" hidden="1" customHeight="1" x14ac:dyDescent="0.25">
      <c r="A14">
        <v>4</v>
      </c>
      <c r="B14" s="8">
        <f t="shared" si="0"/>
        <v>7.3463581029425726E-2</v>
      </c>
      <c r="C14" s="8">
        <f t="shared" si="1"/>
        <v>3.5054457445777204E-2</v>
      </c>
      <c r="E14" s="13">
        <f>B14*SUM($C$10:C13)</f>
        <v>7.0010212909800099E-2</v>
      </c>
      <c r="F14" s="13">
        <f>C14*SUM($B$10:B13)</f>
        <v>3.1169470917960171E-2</v>
      </c>
    </row>
    <row r="15" spans="1:20" ht="15.75" hidden="1" customHeight="1" x14ac:dyDescent="0.25">
      <c r="A15">
        <v>5</v>
      </c>
      <c r="B15" s="8">
        <f t="shared" si="0"/>
        <v>2.6639802151020249E-2</v>
      </c>
      <c r="C15" s="8">
        <f t="shared" si="1"/>
        <v>9.3823261328691235E-3</v>
      </c>
      <c r="E15" s="13">
        <f>B15*SUM($C$10:C14)</f>
        <v>2.6321365006176305E-2</v>
      </c>
      <c r="F15" s="13">
        <f>C15*SUM($B$10:B14)</f>
        <v>9.0317686985854264E-3</v>
      </c>
    </row>
    <row r="16" spans="1:20" ht="15.75" hidden="1" customHeight="1" x14ac:dyDescent="0.25">
      <c r="A16">
        <v>6</v>
      </c>
      <c r="B16" s="8">
        <f t="shared" si="0"/>
        <v>8.0502366921241554E-3</v>
      </c>
      <c r="C16" s="8">
        <f t="shared" si="1"/>
        <v>2.0926497911542886E-3</v>
      </c>
      <c r="E16" s="13">
        <f>B16*SUM($C$10:C15)</f>
        <v>8.0295386567537704E-3</v>
      </c>
      <c r="F16" s="13">
        <f>C16*SUM($B$10:B15)</f>
        <v>2.0702086481775798E-3</v>
      </c>
    </row>
    <row r="17" spans="1:14" ht="15.75" hidden="1" customHeight="1" x14ac:dyDescent="0.25">
      <c r="A17">
        <v>7</v>
      </c>
      <c r="B17" s="8">
        <f t="shared" si="0"/>
        <v>2.0851606211049088E-3</v>
      </c>
      <c r="C17" s="8">
        <f t="shared" si="1"/>
        <v>4.000698230513414E-4</v>
      </c>
      <c r="E17" s="13">
        <f>B17*SUM($C$10:C16)</f>
        <v>2.0841629569698147E-3</v>
      </c>
      <c r="F17" s="13">
        <f>C17*SUM($B$10:B16)</f>
        <v>3.9900021389154688E-4</v>
      </c>
    </row>
    <row r="18" spans="1:14" ht="15.75" hidden="1" customHeight="1" x14ac:dyDescent="0.25">
      <c r="A18">
        <v>8</v>
      </c>
      <c r="B18" s="8">
        <f t="shared" si="0"/>
        <v>4.72583367337853E-4</v>
      </c>
      <c r="C18" s="8">
        <f t="shared" si="1"/>
        <v>6.6924184349327089E-5</v>
      </c>
      <c r="E18" s="13">
        <f>B18*SUM($C$10:C17)</f>
        <v>4.7254632185557226E-4</v>
      </c>
      <c r="F18" s="13">
        <f>C18*SUM($B$10:B17)</f>
        <v>6.688480645447524E-5</v>
      </c>
    </row>
    <row r="19" spans="1:14" ht="15.75" hidden="1" customHeight="1" x14ac:dyDescent="0.25">
      <c r="A19">
        <v>9</v>
      </c>
      <c r="B19" s="8">
        <f t="shared" si="0"/>
        <v>9.5206111573544481E-5</v>
      </c>
      <c r="C19" s="8">
        <f t="shared" si="1"/>
        <v>9.9512550454594681E-6</v>
      </c>
      <c r="E19" s="13">
        <f>B19*SUM($C$10:C18)</f>
        <v>9.5205020023875672E-5</v>
      </c>
      <c r="F19" s="13">
        <f>C19*SUM($B$10:B18)</f>
        <v>9.9501025685068118E-6</v>
      </c>
    </row>
    <row r="20" spans="1:14" ht="15.75" hidden="1" customHeight="1" x14ac:dyDescent="0.25">
      <c r="A20">
        <v>10</v>
      </c>
      <c r="B20" s="8">
        <f t="shared" si="0"/>
        <v>1.7262104163362779E-5</v>
      </c>
      <c r="C20" s="8">
        <f t="shared" si="1"/>
        <v>1.3317267912686973E-6</v>
      </c>
      <c r="E20" s="13">
        <f>B20*SUM($C$10:C19)</f>
        <v>1.7262078030836534E-5</v>
      </c>
      <c r="F20" s="13">
        <f>C20*SUM($B$10:B19)</f>
        <v>1.3316993495601611E-6</v>
      </c>
    </row>
    <row r="22" spans="1:14" ht="15.75" customHeight="1" x14ac:dyDescent="0.25">
      <c r="I22" s="14" t="str">
        <f>B1</f>
        <v>Plymouth Argyle</v>
      </c>
    </row>
    <row r="23" spans="1:14" ht="15.75" customHeight="1" x14ac:dyDescent="0.25">
      <c r="D23" s="10">
        <v>0</v>
      </c>
      <c r="E23" s="10">
        <v>1</v>
      </c>
      <c r="F23" s="10">
        <v>2</v>
      </c>
      <c r="G23" s="10">
        <v>3</v>
      </c>
      <c r="H23" s="10">
        <v>4</v>
      </c>
      <c r="I23" s="10">
        <v>5</v>
      </c>
      <c r="J23" s="10">
        <v>6</v>
      </c>
      <c r="K23" s="10">
        <v>7</v>
      </c>
      <c r="L23" s="10">
        <v>8</v>
      </c>
      <c r="M23" s="10">
        <v>9</v>
      </c>
      <c r="N23" s="10">
        <v>10</v>
      </c>
    </row>
    <row r="24" spans="1:14" ht="15.75" customHeight="1" x14ac:dyDescent="0.25">
      <c r="C24" s="10">
        <v>0</v>
      </c>
      <c r="D24" s="8">
        <f t="shared" ref="D24:N34" si="2">VLOOKUP(D$23,$A$9:$B$20,2,FALSE)*VLOOKUP($C24,$A$9:$C$20,3,FALSE)</f>
        <v>4.2793035011543003E-2</v>
      </c>
      <c r="E24" s="8">
        <f t="shared" si="2"/>
        <v>7.75893286288728E-2</v>
      </c>
      <c r="F24" s="8">
        <f t="shared" si="2"/>
        <v>7.0339763415417464E-2</v>
      </c>
      <c r="G24" s="8">
        <f t="shared" si="2"/>
        <v>4.2511707943779897E-2</v>
      </c>
      <c r="H24" s="8">
        <f t="shared" si="2"/>
        <v>1.926981153203363E-2</v>
      </c>
      <c r="I24" s="8">
        <f t="shared" si="2"/>
        <v>6.9877340514506794E-3</v>
      </c>
      <c r="J24" s="8">
        <f t="shared" si="2"/>
        <v>2.111611517867045E-3</v>
      </c>
      <c r="K24" s="8">
        <f t="shared" si="2"/>
        <v>5.4694654983692499E-4</v>
      </c>
      <c r="L24" s="8">
        <f t="shared" si="2"/>
        <v>1.2396063864796643E-4</v>
      </c>
      <c r="M24" s="8">
        <f t="shared" si="2"/>
        <v>2.4972970293744871E-5</v>
      </c>
      <c r="N24" s="8">
        <f t="shared" si="2"/>
        <v>4.5279237577745684E-6</v>
      </c>
    </row>
    <row r="25" spans="1:14" ht="15.75" customHeight="1" x14ac:dyDescent="0.25">
      <c r="C25" s="10">
        <v>1</v>
      </c>
      <c r="D25" s="8">
        <f t="shared" si="2"/>
        <v>5.726778275125604E-2</v>
      </c>
      <c r="E25" s="8">
        <f t="shared" si="2"/>
        <v>0.10383392565017983</v>
      </c>
      <c r="F25" s="8">
        <f t="shared" si="2"/>
        <v>9.4132194385425277E-2</v>
      </c>
      <c r="G25" s="8">
        <f t="shared" si="2"/>
        <v>5.6891296778845829E-2</v>
      </c>
      <c r="H25" s="8">
        <f t="shared" si="2"/>
        <v>2.5787826925023693E-2</v>
      </c>
      <c r="I25" s="8">
        <f t="shared" si="2"/>
        <v>9.3513356898871323E-3</v>
      </c>
      <c r="J25" s="8">
        <f t="shared" si="2"/>
        <v>2.8258642937487605E-3</v>
      </c>
      <c r="K25" s="8">
        <f t="shared" si="2"/>
        <v>7.3195126693306853E-4</v>
      </c>
      <c r="L25" s="8">
        <f t="shared" si="2"/>
        <v>1.6589033523525085E-4</v>
      </c>
      <c r="M25" s="8">
        <f t="shared" si="2"/>
        <v>3.3420079623938426E-5</v>
      </c>
      <c r="N25" s="8">
        <f t="shared" si="2"/>
        <v>6.0594943547364679E-6</v>
      </c>
    </row>
    <row r="26" spans="1:14" ht="15.75" customHeight="1" x14ac:dyDescent="0.25">
      <c r="C26" s="10">
        <v>2</v>
      </c>
      <c r="D26" s="8">
        <f t="shared" si="2"/>
        <v>3.8319307573772457E-2</v>
      </c>
      <c r="E26" s="8">
        <f t="shared" si="2"/>
        <v>6.9477879925326683E-2</v>
      </c>
      <c r="F26" s="8">
        <f t="shared" si="2"/>
        <v>6.2986208579380254E-2</v>
      </c>
      <c r="G26" s="8">
        <f t="shared" si="2"/>
        <v>3.8067391381440364E-2</v>
      </c>
      <c r="H26" s="8">
        <f t="shared" si="2"/>
        <v>1.7255280790096948E-2</v>
      </c>
      <c r="I26" s="8">
        <f t="shared" si="2"/>
        <v>6.2572128919819473E-3</v>
      </c>
      <c r="J26" s="8">
        <f t="shared" si="2"/>
        <v>1.8908565659725152E-3</v>
      </c>
      <c r="K26" s="8">
        <f t="shared" si="2"/>
        <v>4.897669226770528E-4</v>
      </c>
      <c r="L26" s="8">
        <f t="shared" si="2"/>
        <v>1.110013776333322E-4</v>
      </c>
      <c r="M26" s="8">
        <f t="shared" si="2"/>
        <v>2.2362212202489616E-5</v>
      </c>
      <c r="N26" s="8">
        <f t="shared" si="2"/>
        <v>4.0545594183248152E-6</v>
      </c>
    </row>
    <row r="27" spans="1:14" ht="15.75" customHeight="1" x14ac:dyDescent="0.25">
      <c r="C27" s="10">
        <v>3</v>
      </c>
      <c r="D27" s="8">
        <f t="shared" si="2"/>
        <v>1.7093605542127965E-2</v>
      </c>
      <c r="E27" s="8">
        <f t="shared" si="2"/>
        <v>3.0992926243785621E-2</v>
      </c>
      <c r="F27" s="8">
        <f t="shared" si="2"/>
        <v>2.809709966646266E-2</v>
      </c>
      <c r="G27" s="8">
        <f t="shared" si="2"/>
        <v>1.6981229920175259E-2</v>
      </c>
      <c r="H27" s="8">
        <f t="shared" si="2"/>
        <v>7.6972936626458384E-3</v>
      </c>
      <c r="I27" s="8">
        <f t="shared" si="2"/>
        <v>2.7912385619896871E-3</v>
      </c>
      <c r="J27" s="8">
        <f t="shared" si="2"/>
        <v>8.4347965352065063E-4</v>
      </c>
      <c r="K27" s="8">
        <f t="shared" si="2"/>
        <v>2.1847687533773548E-4</v>
      </c>
      <c r="L27" s="8">
        <f t="shared" si="2"/>
        <v>4.9515867692652303E-5</v>
      </c>
      <c r="M27" s="8">
        <f t="shared" si="2"/>
        <v>9.9754107952709621E-6</v>
      </c>
      <c r="N27" s="8">
        <f t="shared" si="2"/>
        <v>1.8086714957083726E-6</v>
      </c>
    </row>
    <row r="28" spans="1:14" ht="15.75" customHeight="1" x14ac:dyDescent="0.25">
      <c r="C28" s="10">
        <v>4</v>
      </c>
      <c r="D28" s="8">
        <f t="shared" si="2"/>
        <v>5.7188797683910371E-3</v>
      </c>
      <c r="E28" s="8">
        <f t="shared" si="2"/>
        <v>1.0369071546783581E-2</v>
      </c>
      <c r="F28" s="8">
        <f t="shared" si="2"/>
        <v>9.4002365058083875E-3</v>
      </c>
      <c r="G28" s="8">
        <f t="shared" si="2"/>
        <v>5.6812830969771681E-3</v>
      </c>
      <c r="H28" s="8">
        <f t="shared" si="2"/>
        <v>2.5752259750104096E-3</v>
      </c>
      <c r="I28" s="8">
        <f t="shared" si="2"/>
        <v>9.338438108668633E-4</v>
      </c>
      <c r="J28" s="8">
        <f t="shared" si="2"/>
        <v>2.8219667955250045E-4</v>
      </c>
      <c r="K28" s="8">
        <f t="shared" si="2"/>
        <v>7.3094174260132395E-5</v>
      </c>
      <c r="L28" s="8">
        <f t="shared" si="2"/>
        <v>1.6566153539926863E-5</v>
      </c>
      <c r="M28" s="8">
        <f t="shared" si="2"/>
        <v>3.3373985867327315E-6</v>
      </c>
      <c r="N28" s="8">
        <f t="shared" si="2"/>
        <v>6.0511369581917399E-7</v>
      </c>
    </row>
    <row r="29" spans="1:14" ht="15.75" customHeight="1" x14ac:dyDescent="0.25">
      <c r="B29" s="10" t="str">
        <f>B3</f>
        <v>Birmingham City</v>
      </c>
      <c r="C29" s="10">
        <v>5</v>
      </c>
      <c r="D29" s="8">
        <f t="shared" si="2"/>
        <v>1.5306582674887586E-3</v>
      </c>
      <c r="E29" s="8">
        <f t="shared" si="2"/>
        <v>2.7752821762385229E-3</v>
      </c>
      <c r="F29" s="8">
        <f t="shared" si="2"/>
        <v>2.5159734610076191E-3</v>
      </c>
      <c r="G29" s="8">
        <f t="shared" si="2"/>
        <v>1.5205955177439974E-3</v>
      </c>
      <c r="H29" s="8">
        <f t="shared" si="2"/>
        <v>6.8925927610652936E-4</v>
      </c>
      <c r="I29" s="8">
        <f t="shared" si="2"/>
        <v>2.4994331189598037E-4</v>
      </c>
      <c r="J29" s="8">
        <f t="shared" si="2"/>
        <v>7.552994609229835E-5</v>
      </c>
      <c r="K29" s="8">
        <f t="shared" si="2"/>
        <v>1.9563656986622198E-5</v>
      </c>
      <c r="L29" s="8">
        <f t="shared" si="2"/>
        <v>4.4339312773332269E-6</v>
      </c>
      <c r="M29" s="8">
        <f t="shared" si="2"/>
        <v>8.9325478862531994E-7</v>
      </c>
      <c r="N29" s="8">
        <f t="shared" si="2"/>
        <v>1.619586910002275E-7</v>
      </c>
    </row>
    <row r="30" spans="1:14" ht="15.75" customHeight="1" x14ac:dyDescent="0.25">
      <c r="C30" s="10">
        <v>6</v>
      </c>
      <c r="D30" s="8">
        <f t="shared" si="2"/>
        <v>3.414005928196631E-4</v>
      </c>
      <c r="E30" s="8">
        <f t="shared" si="2"/>
        <v>6.1900360147934519E-4</v>
      </c>
      <c r="F30" s="8">
        <f t="shared" si="2"/>
        <v>5.6116694976976564E-4</v>
      </c>
      <c r="G30" s="8">
        <f t="shared" si="2"/>
        <v>3.3915618020240813E-4</v>
      </c>
      <c r="H30" s="8">
        <f t="shared" si="2"/>
        <v>1.5373354749867389E-4</v>
      </c>
      <c r="I30" s="8">
        <f t="shared" si="2"/>
        <v>5.5747776407724089E-5</v>
      </c>
      <c r="J30" s="8">
        <f t="shared" si="2"/>
        <v>1.6846326132516203E-5</v>
      </c>
      <c r="K30" s="8">
        <f t="shared" si="2"/>
        <v>4.3635109382783336E-6</v>
      </c>
      <c r="L30" s="8">
        <f t="shared" si="2"/>
        <v>9.889514849625485E-7</v>
      </c>
      <c r="M30" s="8">
        <f t="shared" si="2"/>
        <v>1.9923304950098975E-7</v>
      </c>
      <c r="N30" s="8">
        <f t="shared" si="2"/>
        <v>3.6123538672344695E-8</v>
      </c>
    </row>
    <row r="31" spans="1:14" ht="15.75" customHeight="1" x14ac:dyDescent="0.25">
      <c r="C31" s="10">
        <v>7</v>
      </c>
      <c r="D31" s="8">
        <f t="shared" si="2"/>
        <v>6.5268481776708086E-5</v>
      </c>
      <c r="E31" s="8">
        <f t="shared" si="2"/>
        <v>1.1834023177637664E-4</v>
      </c>
      <c r="F31" s="8">
        <f t="shared" si="2"/>
        <v>1.0728310262216186E-4</v>
      </c>
      <c r="G31" s="8">
        <f t="shared" si="2"/>
        <v>6.4839398151519126E-5</v>
      </c>
      <c r="H31" s="8">
        <f t="shared" si="2"/>
        <v>2.939056186316023E-5</v>
      </c>
      <c r="I31" s="8">
        <f t="shared" si="2"/>
        <v>1.0657780932681416E-5</v>
      </c>
      <c r="J31" s="8">
        <f t="shared" si="2"/>
        <v>3.2206567689395266E-6</v>
      </c>
      <c r="K31" s="8">
        <f t="shared" si="2"/>
        <v>8.3420984071906597E-7</v>
      </c>
      <c r="L31" s="8">
        <f t="shared" si="2"/>
        <v>1.8906634414786192E-7</v>
      </c>
      <c r="M31" s="8">
        <f t="shared" si="2"/>
        <v>3.8089092210634205E-8</v>
      </c>
      <c r="N31" s="8">
        <f t="shared" si="2"/>
        <v>6.9060469581303707E-9</v>
      </c>
    </row>
    <row r="32" spans="1:14" ht="15.75" customHeight="1" x14ac:dyDescent="0.25">
      <c r="C32" s="10">
        <v>8</v>
      </c>
      <c r="D32" s="8">
        <f t="shared" si="2"/>
        <v>1.0918193912527494E-5</v>
      </c>
      <c r="E32" s="8">
        <f t="shared" si="2"/>
        <v>1.9796103157542992E-5</v>
      </c>
      <c r="F32" s="8">
        <f t="shared" si="2"/>
        <v>1.7946452653420803E-5</v>
      </c>
      <c r="G32" s="8">
        <f t="shared" si="2"/>
        <v>1.0846416262780246E-5</v>
      </c>
      <c r="H32" s="8">
        <f t="shared" si="2"/>
        <v>4.9164902397750158E-6</v>
      </c>
      <c r="I32" s="8">
        <f t="shared" si="2"/>
        <v>1.7828470301844794E-6</v>
      </c>
      <c r="J32" s="8">
        <f t="shared" si="2"/>
        <v>5.3875552443943408E-7</v>
      </c>
      <c r="K32" s="8">
        <f t="shared" si="2"/>
        <v>1.3954767380478229E-7</v>
      </c>
      <c r="L32" s="8">
        <f t="shared" si="2"/>
        <v>3.1627256396144238E-8</v>
      </c>
      <c r="M32" s="8">
        <f t="shared" si="2"/>
        <v>6.371591362130494E-9</v>
      </c>
      <c r="N32" s="8">
        <f t="shared" si="2"/>
        <v>1.1552522412861773E-9</v>
      </c>
    </row>
    <row r="33" spans="1:16" ht="15.75" customHeight="1" x14ac:dyDescent="0.25">
      <c r="C33" s="10">
        <v>9</v>
      </c>
      <c r="D33" s="8">
        <f t="shared" si="2"/>
        <v>1.6234748815498494E-6</v>
      </c>
      <c r="E33" s="8">
        <f t="shared" si="2"/>
        <v>2.9435707486350048E-6</v>
      </c>
      <c r="F33" s="8">
        <f t="shared" si="2"/>
        <v>2.6685379769929001E-6</v>
      </c>
      <c r="G33" s="8">
        <f t="shared" si="2"/>
        <v>1.6128019431174557E-6</v>
      </c>
      <c r="H33" s="8">
        <f t="shared" si="2"/>
        <v>7.310548313765932E-7</v>
      </c>
      <c r="I33" s="8">
        <f t="shared" si="2"/>
        <v>2.6509946556538224E-7</v>
      </c>
      <c r="J33" s="8">
        <f t="shared" si="2"/>
        <v>8.0109958499643441E-8</v>
      </c>
      <c r="K33" s="8">
        <f t="shared" si="2"/>
        <v>2.0749965151363622E-8</v>
      </c>
      <c r="L33" s="8">
        <f t="shared" si="2"/>
        <v>4.702797618621035E-9</v>
      </c>
      <c r="M33" s="8">
        <f t="shared" si="2"/>
        <v>9.4742029815481163E-10</v>
      </c>
      <c r="N33" s="8">
        <f t="shared" si="2"/>
        <v>1.7177960115091075E-10</v>
      </c>
    </row>
    <row r="34" spans="1:16" ht="15.75" customHeight="1" x14ac:dyDescent="0.25">
      <c r="C34" s="10">
        <v>10</v>
      </c>
      <c r="D34" s="8">
        <f t="shared" si="2"/>
        <v>2.1726153985955694E-7</v>
      </c>
      <c r="E34" s="8">
        <f t="shared" si="2"/>
        <v>3.9392338052281293E-7</v>
      </c>
      <c r="F34" s="8">
        <f t="shared" si="2"/>
        <v>3.5711711751382727E-7</v>
      </c>
      <c r="G34" s="8">
        <f t="shared" si="2"/>
        <v>2.1583323378288118E-7</v>
      </c>
      <c r="H34" s="8">
        <f t="shared" si="2"/>
        <v>9.7833419039425067E-8</v>
      </c>
      <c r="I34" s="8">
        <f t="shared" si="2"/>
        <v>3.5476938238611134E-8</v>
      </c>
      <c r="J34" s="8">
        <f t="shared" si="2"/>
        <v>1.0720715878956033E-8</v>
      </c>
      <c r="K34" s="8">
        <f t="shared" si="2"/>
        <v>2.7768642632238841E-9</v>
      </c>
      <c r="L34" s="8">
        <f t="shared" si="2"/>
        <v>6.2935193139179509E-10</v>
      </c>
      <c r="M34" s="8">
        <f t="shared" si="2"/>
        <v>1.2678852947500597E-10</v>
      </c>
      <c r="N34" s="8">
        <f t="shared" si="2"/>
        <v>2.2988406588021133E-11</v>
      </c>
    </row>
    <row r="35" spans="1:16" ht="15.75" customHeight="1" x14ac:dyDescent="0.25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6" ht="15.75" customHeight="1" x14ac:dyDescent="0.25"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6" ht="15.75" customHeight="1" x14ac:dyDescent="0.25">
      <c r="A37" s="63" t="s">
        <v>165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</row>
    <row r="38" spans="1:16" ht="15.75" customHeight="1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</row>
    <row r="39" spans="1:16" ht="15.75" customHeight="1" x14ac:dyDescent="0.25">
      <c r="A39" s="73" t="str">
        <f>B1</f>
        <v>Plymouth Argyle</v>
      </c>
      <c r="B39" s="73"/>
      <c r="C39" s="73"/>
      <c r="D39" s="73"/>
      <c r="E39" s="73"/>
      <c r="F39" s="73"/>
      <c r="G39" s="73"/>
      <c r="H39" s="75">
        <f>INDEX(D23:N23, 1, MATCH(MAX(B67:L67), B67:L67, 0))</f>
        <v>1</v>
      </c>
      <c r="I39" s="75">
        <f>INDEX(D23:N23, 1, MATCH(MAX(B68:B78), B68:B78, 0))</f>
        <v>1</v>
      </c>
      <c r="J39" s="74" t="str">
        <f>B3</f>
        <v>Birmingham City</v>
      </c>
      <c r="K39" s="74"/>
      <c r="L39" s="74"/>
      <c r="M39" s="74"/>
      <c r="N39" s="74"/>
      <c r="O39" s="74"/>
      <c r="P39" s="74"/>
    </row>
    <row r="40" spans="1:16" ht="15.75" customHeight="1" x14ac:dyDescent="0.25">
      <c r="A40" s="73"/>
      <c r="B40" s="73"/>
      <c r="C40" s="73"/>
      <c r="D40" s="73"/>
      <c r="E40" s="73"/>
      <c r="F40" s="73"/>
      <c r="G40" s="73"/>
      <c r="H40" s="75"/>
      <c r="I40" s="75"/>
      <c r="J40" s="74"/>
      <c r="K40" s="74"/>
      <c r="L40" s="74"/>
      <c r="M40" s="74"/>
      <c r="N40" s="74"/>
      <c r="O40" s="74"/>
      <c r="P40" s="74"/>
    </row>
    <row r="41" spans="1:16" ht="15.75" customHeight="1" x14ac:dyDescent="0.25">
      <c r="A41" s="73"/>
      <c r="B41" s="73"/>
      <c r="C41" s="73"/>
      <c r="D41" s="73"/>
      <c r="E41" s="73"/>
      <c r="F41" s="73"/>
      <c r="G41" s="73"/>
      <c r="H41" s="75"/>
      <c r="I41" s="75"/>
      <c r="J41" s="74"/>
      <c r="K41" s="74"/>
      <c r="L41" s="74"/>
      <c r="M41" s="74"/>
      <c r="N41" s="74"/>
      <c r="O41" s="74"/>
      <c r="P41" s="74"/>
    </row>
    <row r="42" spans="1:16" ht="15.75" customHeight="1" x14ac:dyDescent="0.25"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6" ht="15.75" customHeight="1" x14ac:dyDescent="0.25">
      <c r="A43" s="52" t="s">
        <v>166</v>
      </c>
      <c r="B43" s="52"/>
      <c r="C43" s="52"/>
      <c r="D43" s="52"/>
      <c r="E43" s="52"/>
      <c r="F43" s="52"/>
      <c r="G43" s="52"/>
      <c r="H43" s="53">
        <f>MAX(D24:N34)</f>
        <v>0.10383392565017983</v>
      </c>
      <c r="I43" s="53"/>
      <c r="J43" s="8"/>
      <c r="K43" s="8"/>
      <c r="L43" s="8"/>
      <c r="M43" s="8"/>
      <c r="N43" s="8"/>
    </row>
    <row r="44" spans="1:16" ht="15.75" customHeight="1" x14ac:dyDescent="0.25">
      <c r="A44" s="52"/>
      <c r="B44" s="52"/>
      <c r="C44" s="52"/>
      <c r="D44" s="52"/>
      <c r="E44" s="52"/>
      <c r="F44" s="52"/>
      <c r="G44" s="52"/>
      <c r="H44" s="53"/>
      <c r="I44" s="53"/>
      <c r="J44" s="8"/>
      <c r="K44" s="8"/>
      <c r="L44" s="8"/>
      <c r="M44" s="8"/>
      <c r="N44" s="8"/>
    </row>
    <row r="45" spans="1:16" ht="15.75" customHeight="1" x14ac:dyDescent="0.25"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7" spans="1:16" ht="15.75" customHeight="1" x14ac:dyDescent="0.25">
      <c r="A47" s="63" t="s">
        <v>167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</row>
    <row r="48" spans="1:16" ht="15.75" customHeight="1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</row>
    <row r="49" spans="1:16" ht="15.75" customHeight="1" x14ac:dyDescent="0.25">
      <c r="A49" s="48" t="s">
        <v>298</v>
      </c>
      <c r="B49" s="48"/>
      <c r="C49" s="48"/>
      <c r="D49" s="48"/>
      <c r="E49" s="48"/>
      <c r="F49" s="48"/>
      <c r="G49" s="48"/>
      <c r="H49" s="48"/>
      <c r="I49" s="76" t="s">
        <v>160</v>
      </c>
      <c r="J49" s="76"/>
      <c r="K49" s="76"/>
      <c r="L49" s="76"/>
      <c r="M49" s="76"/>
      <c r="N49" s="76"/>
      <c r="O49" s="76"/>
      <c r="P49" s="76"/>
    </row>
    <row r="50" spans="1:16" ht="15.75" customHeight="1" x14ac:dyDescent="0.25">
      <c r="A50" s="48"/>
      <c r="B50" s="48"/>
      <c r="C50" s="48"/>
      <c r="D50" s="48"/>
      <c r="E50" s="48"/>
      <c r="F50" s="48"/>
      <c r="G50" s="48"/>
      <c r="H50" s="48"/>
      <c r="I50" s="76"/>
      <c r="J50" s="76"/>
      <c r="K50" s="76"/>
      <c r="L50" s="76"/>
      <c r="M50" s="76"/>
      <c r="N50" s="76"/>
      <c r="O50" s="76"/>
      <c r="P50" s="76"/>
    </row>
    <row r="51" spans="1:16" ht="15.75" customHeight="1" x14ac:dyDescent="0.25">
      <c r="A51" s="49" t="s">
        <v>302</v>
      </c>
      <c r="B51" s="49"/>
      <c r="C51" s="49"/>
      <c r="D51" s="49"/>
      <c r="E51" s="49" t="s">
        <v>303</v>
      </c>
      <c r="F51" s="49"/>
      <c r="G51" s="49"/>
      <c r="H51" s="49"/>
      <c r="I51" s="77" t="s">
        <v>163</v>
      </c>
      <c r="J51" s="77"/>
      <c r="K51" s="77"/>
      <c r="L51" s="77"/>
      <c r="M51" s="77" t="s">
        <v>164</v>
      </c>
      <c r="N51" s="77"/>
      <c r="O51" s="77"/>
      <c r="P51" s="77"/>
    </row>
    <row r="52" spans="1:16" ht="15.75" customHeight="1" x14ac:dyDescent="0.25">
      <c r="A52" s="49"/>
      <c r="B52" s="49"/>
      <c r="C52" s="49"/>
      <c r="D52" s="49"/>
      <c r="E52" s="49"/>
      <c r="F52" s="49"/>
      <c r="G52" s="49"/>
      <c r="H52" s="49"/>
      <c r="I52" s="77"/>
      <c r="J52" s="77"/>
      <c r="K52" s="77"/>
      <c r="L52" s="77"/>
      <c r="M52" s="77"/>
      <c r="N52" s="77"/>
      <c r="O52" s="77"/>
      <c r="P52" s="77"/>
    </row>
    <row r="53" spans="1:16" ht="15.75" customHeight="1" x14ac:dyDescent="0.25">
      <c r="A53" s="50">
        <f>1-E53</f>
        <v>0.82234985360832813</v>
      </c>
      <c r="B53" s="51"/>
      <c r="C53" s="51"/>
      <c r="D53" s="51"/>
      <c r="E53" s="50">
        <f>SUM(D25,D24,E24)</f>
        <v>0.17765014639167184</v>
      </c>
      <c r="F53" s="51"/>
      <c r="G53" s="51"/>
      <c r="H53" s="51"/>
      <c r="I53" s="71">
        <f>SUM(E25:N34)</f>
        <v>0.61734341176346585</v>
      </c>
      <c r="J53" s="72"/>
      <c r="K53" s="72"/>
      <c r="L53" s="72"/>
      <c r="M53" s="71">
        <f>1-I53</f>
        <v>0.38265658823653415</v>
      </c>
      <c r="N53" s="72"/>
      <c r="O53" s="72"/>
      <c r="P53" s="72"/>
    </row>
    <row r="54" spans="1:16" ht="15.75" customHeight="1" x14ac:dyDescent="0.25">
      <c r="A54" s="51"/>
      <c r="B54" s="51"/>
      <c r="C54" s="51"/>
      <c r="D54" s="51"/>
      <c r="E54" s="51"/>
      <c r="F54" s="51"/>
      <c r="G54" s="51"/>
      <c r="H54" s="51"/>
      <c r="I54" s="72"/>
      <c r="J54" s="72"/>
      <c r="K54" s="72"/>
      <c r="L54" s="72"/>
      <c r="M54" s="72"/>
      <c r="N54" s="72"/>
      <c r="O54" s="72"/>
      <c r="P54" s="72"/>
    </row>
    <row r="55" spans="1:16" ht="15.75" customHeight="1" x14ac:dyDescent="0.25">
      <c r="A55" s="48" t="s">
        <v>159</v>
      </c>
      <c r="B55" s="48"/>
      <c r="C55" s="48"/>
      <c r="D55" s="48"/>
      <c r="E55" s="48"/>
      <c r="F55" s="48"/>
      <c r="G55" s="48"/>
      <c r="H55" s="48"/>
    </row>
    <row r="56" spans="1:16" ht="15.75" customHeight="1" x14ac:dyDescent="0.25">
      <c r="A56" s="48"/>
      <c r="B56" s="48"/>
      <c r="C56" s="48"/>
      <c r="D56" s="48"/>
      <c r="E56" s="48"/>
      <c r="F56" s="48"/>
      <c r="G56" s="48"/>
      <c r="H56" s="48"/>
    </row>
    <row r="57" spans="1:16" ht="15.75" customHeight="1" x14ac:dyDescent="0.25">
      <c r="A57" s="49" t="s">
        <v>161</v>
      </c>
      <c r="B57" s="49"/>
      <c r="C57" s="49"/>
      <c r="D57" s="49"/>
      <c r="E57" s="49" t="s">
        <v>162</v>
      </c>
      <c r="F57" s="49"/>
      <c r="G57" s="49"/>
      <c r="H57" s="49"/>
    </row>
    <row r="58" spans="1:16" ht="15.75" customHeight="1" x14ac:dyDescent="0.25">
      <c r="A58" s="49"/>
      <c r="B58" s="49"/>
      <c r="C58" s="49"/>
      <c r="D58" s="49"/>
      <c r="E58" s="49"/>
      <c r="F58" s="49"/>
      <c r="G58" s="49"/>
      <c r="H58" s="49"/>
    </row>
    <row r="59" spans="1:16" ht="15.75" customHeight="1" x14ac:dyDescent="0.25">
      <c r="A59" s="50">
        <f>1-E59</f>
        <v>0.60985685696895842</v>
      </c>
      <c r="B59" s="51"/>
      <c r="C59" s="51"/>
      <c r="D59" s="51"/>
      <c r="E59" s="50">
        <f>SUM(D24:D26,E24:E25,F24)</f>
        <v>0.39014314303104164</v>
      </c>
      <c r="F59" s="51"/>
      <c r="G59" s="51"/>
      <c r="H59" s="51"/>
    </row>
    <row r="60" spans="1:16" ht="15.75" customHeight="1" x14ac:dyDescent="0.25">
      <c r="A60" s="51"/>
      <c r="B60" s="51"/>
      <c r="C60" s="51"/>
      <c r="D60" s="51"/>
      <c r="E60" s="51"/>
      <c r="F60" s="51"/>
      <c r="G60" s="51"/>
      <c r="H60" s="51"/>
    </row>
    <row r="61" spans="1:16" ht="15.75" customHeight="1" x14ac:dyDescent="0.25">
      <c r="A61" s="48" t="s">
        <v>299</v>
      </c>
      <c r="B61" s="48"/>
      <c r="C61" s="48"/>
      <c r="D61" s="48"/>
      <c r="E61" s="48"/>
      <c r="F61" s="48"/>
      <c r="G61" s="48"/>
      <c r="H61" s="48"/>
    </row>
    <row r="62" spans="1:16" ht="15.75" customHeight="1" x14ac:dyDescent="0.25">
      <c r="A62" s="48"/>
      <c r="B62" s="48"/>
      <c r="C62" s="48"/>
      <c r="D62" s="48"/>
      <c r="E62" s="48"/>
      <c r="F62" s="48"/>
      <c r="G62" s="48"/>
      <c r="H62" s="48"/>
    </row>
    <row r="63" spans="1:16" ht="15.75" customHeight="1" x14ac:dyDescent="0.25">
      <c r="A63" s="49" t="s">
        <v>300</v>
      </c>
      <c r="B63" s="49"/>
      <c r="C63" s="49"/>
      <c r="D63" s="49"/>
      <c r="E63" s="49" t="s">
        <v>301</v>
      </c>
      <c r="F63" s="49"/>
      <c r="G63" s="49"/>
      <c r="H63" s="49"/>
    </row>
    <row r="64" spans="1:16" ht="15.75" customHeight="1" x14ac:dyDescent="0.25">
      <c r="A64" s="49"/>
      <c r="B64" s="49"/>
      <c r="C64" s="49"/>
      <c r="D64" s="49"/>
      <c r="E64" s="49"/>
      <c r="F64" s="49"/>
      <c r="G64" s="49"/>
      <c r="H64" s="49"/>
    </row>
    <row r="65" spans="1:12" ht="15.75" customHeight="1" x14ac:dyDescent="0.25">
      <c r="A65" s="50">
        <f>1-E65</f>
        <v>0.38664146917229858</v>
      </c>
      <c r="B65" s="51"/>
      <c r="C65" s="51"/>
      <c r="D65" s="51"/>
      <c r="E65" s="50">
        <f>SUM(D24:D27,E24:E26,F24:F25,G24)</f>
        <v>0.61335853082770142</v>
      </c>
      <c r="F65" s="51"/>
      <c r="G65" s="51"/>
      <c r="H65" s="51"/>
    </row>
    <row r="66" spans="1:12" ht="15.75" customHeight="1" x14ac:dyDescent="0.25">
      <c r="A66" s="51"/>
      <c r="B66" s="51"/>
      <c r="C66" s="51"/>
      <c r="D66" s="51"/>
      <c r="E66" s="51"/>
      <c r="F66" s="51"/>
      <c r="G66" s="51"/>
      <c r="H66" s="51"/>
    </row>
    <row r="67" spans="1:12" ht="15.75" hidden="1" customHeight="1" x14ac:dyDescent="0.25">
      <c r="B67" s="12">
        <f t="shared" ref="B67:L67" si="3">SUM(D24:D34)</f>
        <v>0.16314269691950961</v>
      </c>
      <c r="C67" s="12">
        <f t="shared" si="3"/>
        <v>0.29579889160172945</v>
      </c>
      <c r="D67" s="12">
        <f t="shared" si="3"/>
        <v>0.26816089817364147</v>
      </c>
      <c r="E67" s="12">
        <f t="shared" si="3"/>
        <v>0.16207017526875611</v>
      </c>
      <c r="F67" s="12">
        <f t="shared" si="3"/>
        <v>7.3463567648769046E-2</v>
      </c>
      <c r="G67" s="12">
        <f t="shared" si="3"/>
        <v>2.6639797298846683E-2</v>
      </c>
      <c r="H67" s="12">
        <f t="shared" si="3"/>
        <v>8.0502352258540449E-3</v>
      </c>
      <c r="I67" s="12">
        <f t="shared" si="3"/>
        <v>2.0851602413137532E-3</v>
      </c>
      <c r="J67" s="12">
        <f t="shared" si="3"/>
        <v>4.7258328126151841E-4</v>
      </c>
      <c r="K67" s="12">
        <f t="shared" si="3"/>
        <v>9.5206094232703315E-5</v>
      </c>
      <c r="L67" s="12">
        <f t="shared" si="3"/>
        <v>1.7262101019243123E-5</v>
      </c>
    </row>
    <row r="68" spans="1:12" ht="15.75" hidden="1" customHeight="1" x14ac:dyDescent="0.25">
      <c r="B68" s="12">
        <f>SUM(D24:N24)</f>
        <v>0.2623034001835009</v>
      </c>
    </row>
    <row r="69" spans="1:12" ht="15.75" hidden="1" customHeight="1" x14ac:dyDescent="0.25">
      <c r="B69" s="12">
        <f t="shared" ref="B69:B78" si="4">SUM(D25:N25)</f>
        <v>0.35102754765051347</v>
      </c>
    </row>
    <row r="70" spans="1:12" ht="15.75" hidden="1" customHeight="1" x14ac:dyDescent="0.25">
      <c r="B70" s="12">
        <f t="shared" si="4"/>
        <v>0.23488132277990234</v>
      </c>
    </row>
    <row r="71" spans="1:12" ht="15.75" hidden="1" customHeight="1" x14ac:dyDescent="0.25">
      <c r="B71" s="12">
        <f t="shared" si="4"/>
        <v>0.10477665007602906</v>
      </c>
    </row>
    <row r="72" spans="1:12" ht="15.75" hidden="1" customHeight="1" x14ac:dyDescent="0.25">
      <c r="B72" s="12">
        <f t="shared" si="4"/>
        <v>3.5054340223472556E-2</v>
      </c>
    </row>
    <row r="73" spans="1:12" ht="15.75" hidden="1" customHeight="1" x14ac:dyDescent="0.25">
      <c r="B73" s="12">
        <f t="shared" si="4"/>
        <v>9.3822947583172851E-3</v>
      </c>
    </row>
    <row r="74" spans="1:12" ht="15.75" hidden="1" customHeight="1" x14ac:dyDescent="0.25">
      <c r="B74" s="12">
        <f t="shared" si="4"/>
        <v>2.0926427933215105E-3</v>
      </c>
    </row>
    <row r="75" spans="1:12" ht="15.75" hidden="1" customHeight="1" x14ac:dyDescent="0.25">
      <c r="B75" s="12">
        <f t="shared" si="4"/>
        <v>4.0006848521558267E-4</v>
      </c>
    </row>
    <row r="76" spans="1:12" ht="15.75" hidden="1" customHeight="1" x14ac:dyDescent="0.25">
      <c r="B76" s="12">
        <f t="shared" si="4"/>
        <v>6.6923960554474796E-5</v>
      </c>
    </row>
    <row r="77" spans="1:12" ht="15.75" hidden="1" customHeight="1" x14ac:dyDescent="0.25">
      <c r="B77" s="12">
        <f t="shared" si="4"/>
        <v>9.9512217684061191E-6</v>
      </c>
    </row>
    <row r="78" spans="1:12" ht="15.75" hidden="1" customHeight="1" x14ac:dyDescent="0.25">
      <c r="B78" s="12">
        <f t="shared" si="4"/>
        <v>1.3317223379667491E-6</v>
      </c>
    </row>
  </sheetData>
  <mergeCells count="38">
    <mergeCell ref="A53:D54"/>
    <mergeCell ref="E53:H54"/>
    <mergeCell ref="I53:L54"/>
    <mergeCell ref="M53:P54"/>
    <mergeCell ref="A37:P38"/>
    <mergeCell ref="A39:G41"/>
    <mergeCell ref="J39:P41"/>
    <mergeCell ref="H39:H41"/>
    <mergeCell ref="I39:I41"/>
    <mergeCell ref="A47:P48"/>
    <mergeCell ref="A49:H50"/>
    <mergeCell ref="I49:P50"/>
    <mergeCell ref="A51:D52"/>
    <mergeCell ref="E51:H52"/>
    <mergeCell ref="M51:P52"/>
    <mergeCell ref="I51:L52"/>
    <mergeCell ref="A43:G44"/>
    <mergeCell ref="H43:I44"/>
    <mergeCell ref="K1:M2"/>
    <mergeCell ref="K3:M4"/>
    <mergeCell ref="N2:P3"/>
    <mergeCell ref="B1:G2"/>
    <mergeCell ref="B3:G4"/>
    <mergeCell ref="A6:P7"/>
    <mergeCell ref="A1:A2"/>
    <mergeCell ref="A3:A4"/>
    <mergeCell ref="H1:J2"/>
    <mergeCell ref="H3:J4"/>
    <mergeCell ref="A55:H56"/>
    <mergeCell ref="A57:D58"/>
    <mergeCell ref="E57:H58"/>
    <mergeCell ref="A59:D60"/>
    <mergeCell ref="E59:H60"/>
    <mergeCell ref="A61:H62"/>
    <mergeCell ref="A63:D64"/>
    <mergeCell ref="E63:H64"/>
    <mergeCell ref="A65:D66"/>
    <mergeCell ref="E65:H66"/>
  </mergeCells>
  <conditionalFormatting sqref="D24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N36 D42:N42 H39:J39 D45:N45 H43 J43:N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FFCB2-2C5F-466B-8259-39FD61C62954}">
          <x14:formula1>
            <xm:f>'Table Prediction Calculations'!$AL$25:$AL$48</xm:f>
          </x14:formula1>
          <xm:sqref>B1:G4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a 9 5 1 c 6 - 9 3 d 0 - 4 0 b 6 - a b 5 9 - b 5 8 f 7 c 3 3 c b 1 4 "   x m l n s = " h t t p : / / s c h e m a s . m i c r o s o f t . c o m / D a t a M a s h u p " > A A A A A O g N A A B Q S w M E F A A C A A g A t 6 i U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t 6 i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o l F d 0 P 7 A N 4 g o A A B R d A A A T A B w A R m 9 y b X V s Y X M v U 2 V j d G l v b j E u b S C i G A A o o B Q A A A A A A A A A A A A A A A A A A A A A A A A A A A D t X O t u 2 z g W / l + g 7 8 B l 0 Z 0 E 4 1 w k p 2 k z s 1 3 A Y z e Z R Z J Z r 2 1 M f g S B o d i s I 1 i W v J K c J g g C 7 D v s G + 6 T L G + S K P L Q s W M 7 l 9 a D Y h w f U i T P O d 8 h v 0 P S S k g v 9 a M Q t c W n 8 + v b N 2 / f J F d e T P q o n X p p g j 6 j g K R v 3 y D 6 X z u a x D 1 C J V 9 u e i T Y r k / i m I T p W R Q P L 6 N o u L F 5 d / 6 H N y K f c c v 7 h h p e 6 v 2 l G Z O R T + L u C f E G E 9 L l D e K L + / N 6 F K b 0 y Y u K a P c d b s b R K E p p n 7 8 T r 0 / i B N N O O t 5 l Q L Z l i Z R v i C F U 0 L m U 1 4 K g 3 f M C L 0 4 + p / G E X G z m T d a v v H B A W + z c j k n R X C f 2 w u R r F I / q U T A Z h a w w 2 Q D 6 r 9 z d 4 R Y Z T G j L K C F e Q k 3 E G 8 A V l N J n k B f e 3 l f Q H R b N u J k 4 J T e p I q / C 1 f d g 8 Q d Y v A + L P 8 L i T 7 D 4 A B Y 7 u x a 5 Y 5 G 7 F r l F U 8 e i q m P R 1 d m 3 W N K x q O t 8 s j 1 w Y C l w d 0 s F 9 5 t W E D p W F G r o m h e O z t x 4 d A Q g h 7 S r f 4 T p / t 4 2 q 8 i V a v 9 7 4 v U N V U + b Z s 0 z U 9 Q w R S e m 6 O g Q k N U A G d B c k w Y 8 J N z h I + S D D i e j S x L z g p s j U F g D p Q 1 Y u n O w C x S c e E m K P h h 2 q q V 0 H u p 7 Y Y + Y o + x E Y 9 Q h 3 g i 1 e 1 F M Y u P Z o 8 g L h o S M g a I / q O 8 S G 8 x a Z B x 4 P e r b P 7 1 g o k x N U s 6 l G z p g K r g e T C 5 R P S Z U D / o N V 2 T 1 O H u u Q 7 u p Z H h Q u j v 0 g 5 S w 6 b w V f V P m 1 T Y J 6 J T P Z B v G k C q I e L 0 r d N 4 a X q C / / Z 2 a M Q h o 2 P V z A c a q N q P o m j 4 p 8 J u o 6 r A C K d 7 Q x 1 F R X F L 2 A m B 3 1 d R W Q z p W S + p D r G B n d 2 s c + W G K + q Q / E Q u g A 4 q t Z h Y e L g 0 m p G s f a A d W U N h B H 3 U e 2 L g Z J T 7 v t B T Y m N k C F 1 G N T 7 2 0 d 0 U S 1 A y 8 W 9 L H R Y h y M y X o M I p x E a N S W B t 4 f p i k u A h U X o A a / t e v 1 C v M 9 O X Q 5 H 8 d 0 Z F j i t 2 3 b / z Q p q j B G L r u Y z j D T 6 3 a G W r U O r W f Q N b Q d U H e M B s E J G l g I T U a U w M n V / 4 4 W 8 6 x / L T 4 W S 4 m e M o y M W W V M H z 9 J L y F I w d l M e O H A + T u u t U t + r + 9 M o n R V 0 Z 4 i V 2 T m E e T G E 3 + I I f R 5 B Z 9 X Y u + b k n f 1 0 R s s i i b E Z d s 5 m O w 7 v g j C y F f E J x N E r O h y x X p B w B o k 0 7 q Q X q L j v 3 e M H k h K H V n R O n 8 0 6 o 7 N 0 z d Y m I 1 Q P q O r s Q m e 4 Q Y O F 3 J Y o g P n / q h K T z Y B W q C t L s G M t 5 2 1 A E q t 7 1 r A r T L x O + B R h 6 d M 9 T b k A z q o n n s p S m Q I x w D o 2 8 e J 9 e Q d G T R q O t o H d 4 / g r i W k V P J H V 6 4 U z p Q u k z o L r X N 1 Z M K Z S r I Q e f D f B y T 1 H j t 3 V S K a G W D A j / l I p Z F q T D C 7 a s o T R D f B o k H J C 2 a s J v U s d t U 1 7 E i o M b B R e G k t F n r 9 1 m 9 S Z J G o 6 I 9 K h W P m m Z w g N G K n F A k N R Z F L n b O y 1 a 7 U P W K 4 j 7 P X Q C f 8 K J C s 9 J 4 K w q N 1 3 x i + A L y w B S 7 2 5 T M I 1 z G t E 7 e d U 1 M + l 5 d B X 2 v L p u + T 8 u B X y 9 p p y 6 N 0 j V j f 3 5 C t E r G / h 0 z c w v + 6 B w Q 9 r 2 4 v w a g o e u X m z H p p c R i m i c H 4 O s m 3 T B n D i D C e w X I o g 4 o h F h r + w r e Z 6 b V 4 Y K j H d 4 l I O a 9 6 v K G z 9 d 4 X X x 4 D N F f S A a S a n B / P R x b x Z Y x b 1 k e + A U o e Q y x 1 R m 3 s R n 6 G B o P U E 4 O I v s A n f m o t 2 T / I P f m E B T 8 D h f 4 E w w O K + D T O R 1 W M W h w w f e 4 h E V R r j J 3 m E P m N a R / x b h 2 l M F k q F R L 9 E F J h O L a 9 Y D R l h Q x g Z d v J H O k 4 s O Y E L m p U G B V 7 j b 4 1 E i n N N B x C b F K 4 Z F / T c L l J B h s M V M Q n U E 4 x + z C C Q d t W c k x b o 5 W l U 5 w / N u z i Q J U A J Z A B K m w s e Y U K k C s q A C x U M a A 6 X v A 4 d y a q k 3 F D G V x k W P z k W 5 j 2 Y 7 q J v Z 9 u q N K I H L t 8 0 F 5 R G w 2 0 E x G U 5 9 r u q S x k 6 a W l 5 I S q t W H X Z s 6 2 k i E e V j z Z d D x D q d h z Z k R b O 7 z o U 2 3 1 Z M i T p p U A 5 8 C H v t 0 5 E 6 b j g w 3 U P M u Z f A W I F V n m r v c w r h K X H D B X D O Y O y O q q j O i S h n S c y N s H m R M 3 W p x g b 2 W v V X s t e z N s N f y E r d a 5 k 4 p F t l p a U Z J Q h I O g f V e y / e 7 1 2 I 7 d 1 L k F n 1 d i 7 6 u R V / X o q 9 b 0 v f H 2 / u x x E M n m r D J / y X H Q 8 c b k q 1 / h r b z 0 N X F g x f H v s 0 0 L z 8 c W q R H / G s / H C w Y D 6 9 7 K 4 q t L 1 l V Z Z M E 3 K E q Y k E / a y V f U Z M A h 8 O s o M r 3 U 4 2 j 5 D 5 c U E t T e w H Y x w m l l 2 B 1 U 9 i e 9 H q w F N o 7 6 w w D Y B x M C t U u o s G w W i r 3 I H T T x w N r Q d 2 U O j v V H U Y B k O P + s r t L / 6 H a q V m r 3 g T O o 0 9 9 y G m Q k A Y F O J 5 W W b q U 8 + k C N Q p O F G Q o W F C 8 n / l b M b h i Y s W o m R l t h p O m y r R 7 a J d t v k 0 2 G V b 4 v U L g 5 D X F I r z A P T g B X N y I / U v a W Y L Y p d P R O M 2 K J Y S L 8 m J r K s N x V o a Y g H Z t Z v I L H Y C L A F j G d q R Y v m W Y Y X Z L K q E P 9 o Z B p q z A L f v o 0 T Q h j r J d S Q F d 9 j E W 1 s 0 e E P C V U z s T T r 0 T 6 g C Z z v 4 q M p 3 9 d a Y z Q 6 b j 0 S h Z H y m v 0 5 x 1 m r P C N I c u l V 7 w l N H Q v o r i d N F Y O C V 9 f z J a N B J O I h v Z X 1 0 U T D 8 3 f / F R 8 L q T G z C L q Y / G M 6 Y L t C a Y F 8 x N 6 G l D / I q n 2 W n X h b v t V o G O W T N 7 c D M f L M 3 s W 5 r 5 C D f z y d L M A d B M D d L 0 p g b + N A 7 6 Z V x t C 6 5 8 D N x I n i 3 3 a U K 5 T z 1 O I D H 1 l d b P U u / c w h l J h o P c 8 4 W v c + f m 7 i w c m H s s 9 1 H h F e k G a X h h 6 d y 0 w p b W B E j Y K 7 e Q s M m y M q A p K Y 6 I Q M w I H y 2 p R 6 M x Z d x a / i M L t e x H R i S W z z x 4 T D n T K S X U n X r M p J c 9 w x V c w 1 S Q h a x q m O a a + 7 L t x 1 W k R R / X a d H D a V G D f C V h Q r N Z V O M / 9 U z W C d J 3 k C D 9 g I k H 3 9 i x n B a s C G d X X h A Q q r / t j G J h q P 0 W R P Y f o r 1 0 o H 2 H 3 L 4 z B G p S I f T 7 s O U d T d A O L P Q e r A v l F C c R x K Z z e M 1 w K 5 g t / a a U f g X H 8 D N Y U A 9 i U / g l 1 o T L I 8 r L 4 p r C 7 d k U o 5 N G 6 f + 8 + C x a 0 m 3 N 7 B B j 6 s l F B o 6 M 2 E o A Z B 6 X N 2 y l 9 7 i x l 7 e 1 n u N H / q U c F g j / s w 9 C i d R Y M I u i u I B I b r a f U a k y V h B D P 4 g X s 5 t h y d T z j U V Y u l O o o Z J z R b F n 4 O U m 4 j S c a a b X V I D M P 8 X i m q E X v 2 h a t K a a t J B O s + g M t 0 G 1 2 6 a Z Y u j M D / k N O N G d Y i 7 a n 2 H R p V 0 S X d C N 2 t h X 5 l b D L f f w G l t 9 c I 0 F L 3 P e 6 Y o 0 2 U j C 1 B s Q Y 3 a f 4 Z 5 m e U S Q K V V k m c 5 d 2 e X N x 3 p b T 5 1 f D g r m u L T 5 D v N 3 E i V b X t j f O v R v 0 g n 9 g p e c w v M e u r S H b t 7 D E 7 0 y b 2 a u A K f V f O D o r y g b t p J Q Q 2 / e Q V O f E J X u L U E 6 Q 4 z q j G L 6 A J / u 5 X 5 a K w + l Y l r 1 h 3 J + / S 1 4 D 2 Z i + g M 2 b Y u 0 X y / Y K x W 8 p g T 8 D H i f X s O 7 N R R t i D v i X N i n f 6 f + S B J + 5 Q U 0 S t L x e z Q y d 4 / A 3 8 x x S A J V j R d X 8 L z n G z C 2 a W + w + 5 O E E 7 P 1 F m F v / D L l f E J H L T J W z h V n e 6 P d L K + Y 0 x N f v n B t n J 8 V r 5 j b X M Z L 5 Y T 7 M o 9 l D s o v 8 e c Z g / K + u c x K i m F 0 W 5 i v e 2 u P A z + V 4 0 O X t 6 h B A n / k 0 7 E o 6 r M q C k / U 0 i u U O 5 9 X p I + K J 9 i + 6 m + 3 e X s b + H / / + S + t 9 K 8 J H U I 7 v a U N 1 5 P r z R w 8 2 0 7 e 1 L Z r 4 z Q P 7 x v Y 9 c l n z m 0 g F c / 6 t e e x s + Z Z w G 8 + C / V Y Q I n X A W K t W x 4 U W d E c l 5 L A l b x 7 M 1 g v 5 u v F f L 2 Y r x f z 9 W L + c h f z x y 7 f + Z K r r x P l 8 f 3 6 f 1 B L A Q I t A B Q A A g A I A L e o l F c y Q 1 e p p A A A A P Y A A A A S A A A A A A A A A A A A A A A A A A A A A A B D b 2 5 m a W c v U G F j a 2 F n Z S 5 4 b W x Q S w E C L Q A U A A I A C A C 3 q J R X D 8 r p q 6 Q A A A D p A A A A E w A A A A A A A A A A A A A A A A D w A A A A W 0 N v b n R l b n R f V H l w Z X N d L n h t b F B L A Q I t A B Q A A g A I A L e o l F d 0 P 7 A N 4 g o A A B R d A A A T A A A A A A A A A A A A A A A A A O E B A A B G b 3 J t d W x h c y 9 T Z W N 0 a W 9 u M S 5 t U E s F B g A A A A A D A A M A w g A A A B A N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2 b A A A A A A A A O 5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X R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S X N Q c m l 2 Y X R l I i B W Y W x 1 Z T 0 i b D A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U 3 R h d H M i I C 8 + P E V u d H J 5 I F R 5 c G U 9 I l F 1 Z X J 5 S U Q i I F Z h b H V l P S J z N G E 4 O D N j N 2 I t M G I 4 Z S 0 0 O T d h L W I y N m M t Y j Y 4 N z I 1 Z W Q 1 Z T A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F 3 W U R B d 0 1 E Q X d N R E F 3 V U Z C U V V G Q m c 9 P S I g L z 4 8 R W 5 0 c n k g V H l w Z T 0 i R m l s b E N v b H V t b k 5 h b W V z I i B W Y W x 1 Z T 0 i c 1 s m c X V v d D t Q b 3 N p d G l v b i Z x d W 9 0 O y w m c X V v d D t U Z W F t J n F 1 b 3 Q 7 L C Z x d W 9 0 O 0 1 h d G N o Z X M g U G x h e W V k J n F 1 b 3 Q 7 L C Z x d W 9 0 O 1 c m c X V v d D s s J n F 1 b 3 Q 7 R C Z x d W 9 0 O y w m c X V v d D t M J n F 1 b 3 Q 7 L C Z x d W 9 0 O 0 d v Y W x z I E Z v c i Z x d W 9 0 O y w m c X V v d D t H b 2 F s c y B B Z 2 F p b n N 0 J n F 1 b 3 Q 7 L C Z x d W 9 0 O 0 d v Y W w g R G l m Z m V y Z W 5 j Z S Z x d W 9 0 O y w m c X V v d D t Q d H M m c X V v d D s s J n F 1 b 3 Q 7 U H R z L 0 d h b W U m c X V v d D s s J n F 1 b 3 Q 7 e E c m c X V v d D s s J n F 1 b 3 Q 7 e E d B J n F 1 b 3 Q 7 L C Z x d W 9 0 O 3 h H R C Z x d W 9 0 O y w m c X V v d D t 4 R 0 Q v O T A m c X V v d D s s J n F 1 b 3 Q 7 T m 9 0 Z X M m c X V v d D t d I i A v P j x F b n R y e S B U e X B l P S J G a W x s T G F z d F V w Z G F 0 Z W Q i I F Z h b H V l P S J k M j A y M y 0 x M i 0 y M V Q w M j o w N T o 0 N i 4 0 M T A x N z A y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z L 0 F 1 d G 9 S Z W 1 v d m V k Q 2 9 s d W 1 u c z E u e 1 B v c 2 l 0 a W 9 u L D B 9 J n F 1 b 3 Q 7 L C Z x d W 9 0 O 1 N l Y 3 R p b 2 4 x L 1 N 0 Y X R z L 0 F 1 d G 9 S Z W 1 v d m V k Q 2 9 s d W 1 u c z E u e 1 R l Y W 0 s M X 0 m c X V v d D s s J n F 1 b 3 Q 7 U 2 V j d G l v b j E v U 3 R h d H M v Q X V 0 b 1 J l b W 9 2 Z W R D b 2 x 1 b W 5 z M S 5 7 T W F 0 Y 2 h l c y B Q b G F 5 Z W Q s M n 0 m c X V v d D s s J n F 1 b 3 Q 7 U 2 V j d G l v b j E v U 3 R h d H M v Q X V 0 b 1 J l b W 9 2 Z W R D b 2 x 1 b W 5 z M S 5 7 V y w z f S Z x d W 9 0 O y w m c X V v d D t T Z W N 0 a W 9 u M S 9 T d G F 0 c y 9 B d X R v U m V t b 3 Z l Z E N v b H V t b n M x L n t E L D R 9 J n F 1 b 3 Q 7 L C Z x d W 9 0 O 1 N l Y 3 R p b 2 4 x L 1 N 0 Y X R z L 0 F 1 d G 9 S Z W 1 v d m V k Q 2 9 s d W 1 u c z E u e 0 w s N X 0 m c X V v d D s s J n F 1 b 3 Q 7 U 2 V j d G l v b j E v U 3 R h d H M v Q X V 0 b 1 J l b W 9 2 Z W R D b 2 x 1 b W 5 z M S 5 7 R 2 9 h b H M g R m 9 y L D Z 9 J n F 1 b 3 Q 7 L C Z x d W 9 0 O 1 N l Y 3 R p b 2 4 x L 1 N 0 Y X R z L 0 F 1 d G 9 S Z W 1 v d m V k Q 2 9 s d W 1 u c z E u e 0 d v Y W x z I E F n Y W l u c 3 Q s N 3 0 m c X V v d D s s J n F 1 b 3 Q 7 U 2 V j d G l v b j E v U 3 R h d H M v Q X V 0 b 1 J l b W 9 2 Z W R D b 2 x 1 b W 5 z M S 5 7 R 2 9 h b C B E a W Z m Z X J l b m N l L D h 9 J n F 1 b 3 Q 7 L C Z x d W 9 0 O 1 N l Y 3 R p b 2 4 x L 1 N 0 Y X R z L 0 F 1 d G 9 S Z W 1 v d m V k Q 2 9 s d W 1 u c z E u e 1 B 0 c y w 5 f S Z x d W 9 0 O y w m c X V v d D t T Z W N 0 a W 9 u M S 9 T d G F 0 c y 9 B d X R v U m V t b 3 Z l Z E N v b H V t b n M x L n t Q d H M v R 2 F t Z S w x M H 0 m c X V v d D s s J n F 1 b 3 Q 7 U 2 V j d G l v b j E v U 3 R h d H M v Q X V 0 b 1 J l b W 9 2 Z W R D b 2 x 1 b W 5 z M S 5 7 e E c s M T F 9 J n F 1 b 3 Q 7 L C Z x d W 9 0 O 1 N l Y 3 R p b 2 4 x L 1 N 0 Y X R z L 0 F 1 d G 9 S Z W 1 v d m V k Q 2 9 s d W 1 u c z E u e 3 h H Q S w x M n 0 m c X V v d D s s J n F 1 b 3 Q 7 U 2 V j d G l v b j E v U 3 R h d H M v Q X V 0 b 1 J l b W 9 2 Z W R D b 2 x 1 b W 5 z M S 5 7 e E d E L D E z f S Z x d W 9 0 O y w m c X V v d D t T Z W N 0 a W 9 u M S 9 T d G F 0 c y 9 B d X R v U m V t b 3 Z l Z E N v b H V t b n M x L n t 4 R 0 Q v O T A s M T R 9 J n F 1 b 3 Q 7 L C Z x d W 9 0 O 1 N l Y 3 R p b 2 4 x L 1 N 0 Y X R z L 0 F 1 d G 9 S Z W 1 v d m V k Q 2 9 s d W 1 u c z E u e 0 5 v d G V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3 R h d H M v Q X V 0 b 1 J l b W 9 2 Z W R D b 2 x 1 b W 5 z M S 5 7 U G 9 z a X R p b 2 4 s M H 0 m c X V v d D s s J n F 1 b 3 Q 7 U 2 V j d G l v b j E v U 3 R h d H M v Q X V 0 b 1 J l b W 9 2 Z W R D b 2 x 1 b W 5 z M S 5 7 V G V h b S w x f S Z x d W 9 0 O y w m c X V v d D t T Z W N 0 a W 9 u M S 9 T d G F 0 c y 9 B d X R v U m V t b 3 Z l Z E N v b H V t b n M x L n t N Y X R j a G V z I F B s Y X l l Z C w y f S Z x d W 9 0 O y w m c X V v d D t T Z W N 0 a W 9 u M S 9 T d G F 0 c y 9 B d X R v U m V t b 3 Z l Z E N v b H V t b n M x L n t X L D N 9 J n F 1 b 3 Q 7 L C Z x d W 9 0 O 1 N l Y 3 R p b 2 4 x L 1 N 0 Y X R z L 0 F 1 d G 9 S Z W 1 v d m V k Q 2 9 s d W 1 u c z E u e 0 Q s N H 0 m c X V v d D s s J n F 1 b 3 Q 7 U 2 V j d G l v b j E v U 3 R h d H M v Q X V 0 b 1 J l b W 9 2 Z W R D b 2 x 1 b W 5 z M S 5 7 T C w 1 f S Z x d W 9 0 O y w m c X V v d D t T Z W N 0 a W 9 u M S 9 T d G F 0 c y 9 B d X R v U m V t b 3 Z l Z E N v b H V t b n M x L n t H b 2 F s c y B G b 3 I s N n 0 m c X V v d D s s J n F 1 b 3 Q 7 U 2 V j d G l v b j E v U 3 R h d H M v Q X V 0 b 1 J l b W 9 2 Z W R D b 2 x 1 b W 5 z M S 5 7 R 2 9 h b H M g Q W d h a W 5 z d C w 3 f S Z x d W 9 0 O y w m c X V v d D t T Z W N 0 a W 9 u M S 9 T d G F 0 c y 9 B d X R v U m V t b 3 Z l Z E N v b H V t b n M x L n t H b 2 F s I E R p Z m Z l c m V u Y 2 U s O H 0 m c X V v d D s s J n F 1 b 3 Q 7 U 2 V j d G l v b j E v U 3 R h d H M v Q X V 0 b 1 J l b W 9 2 Z W R D b 2 x 1 b W 5 z M S 5 7 U H R z L D l 9 J n F 1 b 3 Q 7 L C Z x d W 9 0 O 1 N l Y 3 R p b 2 4 x L 1 N 0 Y X R z L 0 F 1 d G 9 S Z W 1 v d m V k Q 2 9 s d W 1 u c z E u e 1 B 0 c y 9 H Y W 1 l L D E w f S Z x d W 9 0 O y w m c X V v d D t T Z W N 0 a W 9 u M S 9 T d G F 0 c y 9 B d X R v U m V t b 3 Z l Z E N v b H V t b n M x L n t 4 R y w x M X 0 m c X V v d D s s J n F 1 b 3 Q 7 U 2 V j d G l v b j E v U 3 R h d H M v Q X V 0 b 1 J l b W 9 2 Z W R D b 2 x 1 b W 5 z M S 5 7 e E d B L D E y f S Z x d W 9 0 O y w m c X V v d D t T Z W N 0 a W 9 u M S 9 T d G F 0 c y 9 B d X R v U m V t b 3 Z l Z E N v b H V t b n M x L n t 4 R 0 Q s M T N 9 J n F 1 b 3 Q 7 L C Z x d W 9 0 O 1 N l Y 3 R p b 2 4 x L 1 N 0 Y X R z L 0 F 1 d G 9 S Z W 1 v d m V k Q 2 9 s d W 1 u c z E u e 3 h H R C 8 5 M C w x N H 0 m c X V v d D s s J n F 1 b 3 Q 7 U 2 V j d G l v b j E v U 3 R h d H M v Q X V 0 b 1 J l b W 9 2 Z W R D b 2 x 1 b W 5 z M S 5 7 T m 9 0 Z X M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d G F 0 c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m Y 4 M m M 4 L T Q w O D Y t N D M y M C 1 i O T F l L W M w Z m R j Z T M 0 N T c 2 M y I g L z 4 8 R W 5 0 c n k g V H l w Z T 0 i R m l s b E x h c 3 R V c G R h d G V k I i B W Y W x 1 Z T 0 i Z D I w M j M t M T I t M j F U M D I 6 M D U 6 N D Y u N D Q 0 N T I w O V o i I C 8 + P E V u d H J 5 I F R 5 c G U 9 I k Z p b G x D b 2 x 1 b W 5 U e X B l c y I g V m F s d W U 9 I n N C Z 0 1 E Q l F N Q U F 3 V T 0 i I C 8 + P E V u d H J 5 I F R 5 c G U 9 I k Z p b G x F c n J v c k N v d W 5 0 I i B W Y W x 1 Z T 0 i b D A i I C 8 + P E V u d H J 5 I F R 5 c G U 9 I k Z p b G x D b 2 x 1 b W 5 O Y W 1 l c y I g V m F s d W U 9 I n N b J n F 1 b 3 Q 7 U 3 F 1 Y W Q m c X V v d D s s J n F 1 b 3 Q 7 T W F 0 Y 2 h l c y B Q b G F 5 Z W Q m c X V v d D s s J n F 1 b 3 Q 7 R 2 9 h b H M g Q W d h a W 5 z d C Z x d W 9 0 O y w m c X V v d D t H b 2 F s c y B B Z 2 F p b n N 0 L z k w J n F 1 b 3 Q 7 L C Z x d W 9 0 O 1 N o b 3 R z I G 9 u I F R h c m d l d C B B Z 2 F p b n N 0 J n F 1 b 3 Q 7 L C Z x d W 9 0 O 1 N o b 3 R z I G 9 u I F R h c m d l d C 8 5 M C Z x d W 9 0 O y w m c X V v d D t T Y X Z l c y Z x d W 9 0 O y w m c X V v d D t T Y X Z l J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0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c 1 8 y L 0 F 1 d G 9 S Z W 1 v d m V k Q 2 9 s d W 1 u c z E u e 1 N x d W F k L D B 9 J n F 1 b 3 Q 7 L C Z x d W 9 0 O 1 N l Y 3 R p b 2 4 x L 1 N 0 Y X R z X z I v Q X V 0 b 1 J l b W 9 2 Z W R D b 2 x 1 b W 5 z M S 5 7 T W F 0 Y 2 h l c y B Q b G F 5 Z W Q s M X 0 m c X V v d D s s J n F 1 b 3 Q 7 U 2 V j d G l v b j E v U 3 R h d H N f M i 9 B d X R v U m V t b 3 Z l Z E N v b H V t b n M x L n t H b 2 F s c y B B Z 2 F p b n N 0 L D J 9 J n F 1 b 3 Q 7 L C Z x d W 9 0 O 1 N l Y 3 R p b 2 4 x L 1 N 0 Y X R z X z I v Q X V 0 b 1 J l b W 9 2 Z W R D b 2 x 1 b W 5 z M S 5 7 R 2 9 h b H M g Q W d h a W 5 z d C 8 5 M C w z f S Z x d W 9 0 O y w m c X V v d D t T Z W N 0 a W 9 u M S 9 T d G F 0 c 1 8 y L 0 F 1 d G 9 S Z W 1 v d m V k Q 2 9 s d W 1 u c z E u e 1 N o b 3 R z I G 9 u I F R h c m d l d C B B Z 2 F p b n N 0 L D R 9 J n F 1 b 3 Q 7 L C Z x d W 9 0 O 1 N l Y 3 R p b 2 4 x L 1 N 0 Y X R z X z I v Q X V 0 b 1 J l b W 9 2 Z W R D b 2 x 1 b W 5 z M S 5 7 U 2 h v d H M g b 2 4 g V G F y Z 2 V 0 L z k w L D V 9 J n F 1 b 3 Q 7 L C Z x d W 9 0 O 1 N l Y 3 R p b 2 4 x L 1 N 0 Y X R z X z I v Q X V 0 b 1 J l b W 9 2 Z W R D b 2 x 1 b W 5 z M S 5 7 U 2 F 2 Z X M s N n 0 m c X V v d D s s J n F 1 b 3 Q 7 U 2 V j d G l v b j E v U 3 R h d H N f M i 9 B d X R v U m V t b 3 Z l Z E N v b H V t b n M x L n t T Y X Z l J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G F 0 c 1 8 y L 0 F 1 d G 9 S Z W 1 v d m V k Q 2 9 s d W 1 u c z E u e 1 N x d W F k L D B 9 J n F 1 b 3 Q 7 L C Z x d W 9 0 O 1 N l Y 3 R p b 2 4 x L 1 N 0 Y X R z X z I v Q X V 0 b 1 J l b W 9 2 Z W R D b 2 x 1 b W 5 z M S 5 7 T W F 0 Y 2 h l c y B Q b G F 5 Z W Q s M X 0 m c X V v d D s s J n F 1 b 3 Q 7 U 2 V j d G l v b j E v U 3 R h d H N f M i 9 B d X R v U m V t b 3 Z l Z E N v b H V t b n M x L n t H b 2 F s c y B B Z 2 F p b n N 0 L D J 9 J n F 1 b 3 Q 7 L C Z x d W 9 0 O 1 N l Y 3 R p b 2 4 x L 1 N 0 Y X R z X z I v Q X V 0 b 1 J l b W 9 2 Z W R D b 2 x 1 b W 5 z M S 5 7 R 2 9 h b H M g Q W d h a W 5 z d C 8 5 M C w z f S Z x d W 9 0 O y w m c X V v d D t T Z W N 0 a W 9 u M S 9 T d G F 0 c 1 8 y L 0 F 1 d G 9 S Z W 1 v d m V k Q 2 9 s d W 1 u c z E u e 1 N o b 3 R z I G 9 u I F R h c m d l d C B B Z 2 F p b n N 0 L D R 9 J n F 1 b 3 Q 7 L C Z x d W 9 0 O 1 N l Y 3 R p b 2 4 x L 1 N 0 Y X R z X z I v Q X V 0 b 1 J l b W 9 2 Z W R D b 2 x 1 b W 5 z M S 5 7 U 2 h v d H M g b 2 4 g V G F y Z 2 V 0 L z k w L D V 9 J n F 1 b 3 Q 7 L C Z x d W 9 0 O 1 N l Y 3 R p b 2 4 x L 1 N 0 Y X R z X z I v Q X V 0 b 1 J l b W 9 2 Z W R D b 2 x 1 b W 5 z M S 5 7 U 2 F 2 Z X M s N n 0 m c X V v d D s s J n F 1 b 3 Q 7 U 2 V j d G l v b j E v U 3 R h d H N f M i 9 B d X R v U m V t b 3 Z l Z E N v b H V t b n M x L n t T Y X Z l J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I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M i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M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0 Y X R z X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y O j A 1 O j Q 2 L j Q 4 M z U 3 O T B a I i A v P j x F b n R y e S B U e X B l P S J G a W x s Q 2 9 s d W 1 u V H l w Z X M i I F Z h b H V l P S J z Q m d N R E F B T U R C U V V G Q l F V R k F B Q U Z B Q T 0 9 I i A v P j x F b n R y e S B U e X B l P S J R d W V y e U l E I i B W Y W x 1 Z T 0 i c z F j N z J i N j I 4 L W E y N 2 Q t N D M w O C 0 4 Y j N m L T J l M G Y 1 Z D d j N j V k Z S I g L z 4 8 R W 5 0 c n k g V H l w Z T 0 i R m l s b E N v b H V t b k 5 h b W V z I i B W Y W x 1 Z T 0 i c 1 s m c X V v d D t U Z W F t J n F 1 b 3 Q 7 L C Z x d W 9 0 O 0 1 h d G N o Z X M g U G x h e W V k J n F 1 b 3 Q 7 L C Z x d W 9 0 O 0 d v Y W x z J n F 1 b 3 Q 7 L C Z x d W 9 0 O 0 d v Y W x z L z k w J n F 1 b 3 Q 7 L C Z x d W 9 0 O 1 N o b 3 R z J n F 1 b 3 Q 7 L C Z x d W 9 0 O 1 N o b 3 R z I G 9 u I F R h c m d l d C Z x d W 9 0 O y w m c X V v d D t T a G 9 0 c y B v b i B U Y X J n Z X Q g J S Z x d W 9 0 O y w m c X V v d D t T a G 9 0 c y 8 5 M C Z x d W 9 0 O y w m c X V v d D t T a G 9 0 c y B v b i B U Y X J n Z X Q v O T A m c X V v d D s s J n F 1 b 3 Q 7 Q 2 9 u d m V y c 2 l v b i B S Y X R l J n F 1 b 3 Q 7 L C Z x d W 9 0 O 0 d v Y W x z L 1 N o b 3 R z I G 9 u I F R h c m d l d C Z x d W 9 0 O y w m c X V v d D t 4 R y Z x d W 9 0 O y w m c X V v d D t 4 R y 9 T a G 9 0 J n F 1 b 3 Q 7 L C Z x d W 9 0 O 3 h H L z k w J n F 1 b 3 Q 7 L C Z x d W 9 0 O 2 5 w e E c m c X V v d D s s J n F 1 b 3 Q 7 b n B 4 R y 8 5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c 1 8 z L 0 F 1 d G 9 S Z W 1 v d m V k Q 2 9 s d W 1 u c z E u e 1 R l Y W 0 s M H 0 m c X V v d D s s J n F 1 b 3 Q 7 U 2 V j d G l v b j E v U 3 R h d H N f M y 9 B d X R v U m V t b 3 Z l Z E N v b H V t b n M x L n t N Y X R j a G V z I F B s Y X l l Z C w x f S Z x d W 9 0 O y w m c X V v d D t T Z W N 0 a W 9 u M S 9 T d G F 0 c 1 8 z L 0 F 1 d G 9 S Z W 1 v d m V k Q 2 9 s d W 1 u c z E u e 0 d v Y W x z L D J 9 J n F 1 b 3 Q 7 L C Z x d W 9 0 O 1 N l Y 3 R p b 2 4 x L 1 N 0 Y X R z X z M v Q X V 0 b 1 J l b W 9 2 Z W R D b 2 x 1 b W 5 z M S 5 7 R 2 9 h b H M v O T A s M 3 0 m c X V v d D s s J n F 1 b 3 Q 7 U 2 V j d G l v b j E v U 3 R h d H N f M y 9 B d X R v U m V t b 3 Z l Z E N v b H V t b n M x L n t T a G 9 0 c y w 0 f S Z x d W 9 0 O y w m c X V v d D t T Z W N 0 a W 9 u M S 9 T d G F 0 c 1 8 z L 0 F 1 d G 9 S Z W 1 v d m V k Q 2 9 s d W 1 u c z E u e 1 N o b 3 R z I G 9 u I F R h c m d l d C w 1 f S Z x d W 9 0 O y w m c X V v d D t T Z W N 0 a W 9 u M S 9 T d G F 0 c 1 8 z L 0 F 1 d G 9 S Z W 1 v d m V k Q 2 9 s d W 1 u c z E u e 1 N o b 3 R z I G 9 u I F R h c m d l d C A l L D Z 9 J n F 1 b 3 Q 7 L C Z x d W 9 0 O 1 N l Y 3 R p b 2 4 x L 1 N 0 Y X R z X z M v Q X V 0 b 1 J l b W 9 2 Z W R D b 2 x 1 b W 5 z M S 5 7 U 2 h v d H M v O T A s N 3 0 m c X V v d D s s J n F 1 b 3 Q 7 U 2 V j d G l v b j E v U 3 R h d H N f M y 9 B d X R v U m V t b 3 Z l Z E N v b H V t b n M x L n t T a G 9 0 c y B v b i B U Y X J n Z X Q v O T A s O H 0 m c X V v d D s s J n F 1 b 3 Q 7 U 2 V j d G l v b j E v U 3 R h d H N f M y 9 B d X R v U m V t b 3 Z l Z E N v b H V t b n M x L n t D b 2 5 2 Z X J z a W 9 u I F J h d G U s O X 0 m c X V v d D s s J n F 1 b 3 Q 7 U 2 V j d G l v b j E v U 3 R h d H N f M y 9 B d X R v U m V t b 3 Z l Z E N v b H V t b n M x L n t H b 2 F s c y 9 T a G 9 0 c y B v b i B U Y X J n Z X Q s M T B 9 J n F 1 b 3 Q 7 L C Z x d W 9 0 O 1 N l Y 3 R p b 2 4 x L 1 N 0 Y X R z X z M v Q X V 0 b 1 J l b W 9 2 Z W R D b 2 x 1 b W 5 z M S 5 7 e E c s M T F 9 J n F 1 b 3 Q 7 L C Z x d W 9 0 O 1 N l Y 3 R p b 2 4 x L 1 N 0 Y X R z X z M v Q X V 0 b 1 J l b W 9 2 Z W R D b 2 x 1 b W 5 z M S 5 7 e E c v U 2 h v d C w x M n 0 m c X V v d D s s J n F 1 b 3 Q 7 U 2 V j d G l v b j E v U 3 R h d H N f M y 9 B d X R v U m V t b 3 Z l Z E N v b H V t b n M x L n t 4 R y 8 5 M C w x M 3 0 m c X V v d D s s J n F 1 b 3 Q 7 U 2 V j d G l v b j E v U 3 R h d H N f M y 9 B d X R v U m V t b 3 Z l Z E N v b H V t b n M x L n t u c H h H L D E 0 f S Z x d W 9 0 O y w m c X V v d D t T Z W N 0 a W 9 u M S 9 T d G F 0 c 1 8 z L 0 F 1 d G 9 S Z W 1 v d m V k Q 2 9 s d W 1 u c z E u e 2 5 w e E c v O T A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d G F 0 c 1 8 z L 0 F 1 d G 9 S Z W 1 v d m V k Q 2 9 s d W 1 u c z E u e 1 R l Y W 0 s M H 0 m c X V v d D s s J n F 1 b 3 Q 7 U 2 V j d G l v b j E v U 3 R h d H N f M y 9 B d X R v U m V t b 3 Z l Z E N v b H V t b n M x L n t N Y X R j a G V z I F B s Y X l l Z C w x f S Z x d W 9 0 O y w m c X V v d D t T Z W N 0 a W 9 u M S 9 T d G F 0 c 1 8 z L 0 F 1 d G 9 S Z W 1 v d m V k Q 2 9 s d W 1 u c z E u e 0 d v Y W x z L D J 9 J n F 1 b 3 Q 7 L C Z x d W 9 0 O 1 N l Y 3 R p b 2 4 x L 1 N 0 Y X R z X z M v Q X V 0 b 1 J l b W 9 2 Z W R D b 2 x 1 b W 5 z M S 5 7 R 2 9 h b H M v O T A s M 3 0 m c X V v d D s s J n F 1 b 3 Q 7 U 2 V j d G l v b j E v U 3 R h d H N f M y 9 B d X R v U m V t b 3 Z l Z E N v b H V t b n M x L n t T a G 9 0 c y w 0 f S Z x d W 9 0 O y w m c X V v d D t T Z W N 0 a W 9 u M S 9 T d G F 0 c 1 8 z L 0 F 1 d G 9 S Z W 1 v d m V k Q 2 9 s d W 1 u c z E u e 1 N o b 3 R z I G 9 u I F R h c m d l d C w 1 f S Z x d W 9 0 O y w m c X V v d D t T Z W N 0 a W 9 u M S 9 T d G F 0 c 1 8 z L 0 F 1 d G 9 S Z W 1 v d m V k Q 2 9 s d W 1 u c z E u e 1 N o b 3 R z I G 9 u I F R h c m d l d C A l L D Z 9 J n F 1 b 3 Q 7 L C Z x d W 9 0 O 1 N l Y 3 R p b 2 4 x L 1 N 0 Y X R z X z M v Q X V 0 b 1 J l b W 9 2 Z W R D b 2 x 1 b W 5 z M S 5 7 U 2 h v d H M v O T A s N 3 0 m c X V v d D s s J n F 1 b 3 Q 7 U 2 V j d G l v b j E v U 3 R h d H N f M y 9 B d X R v U m V t b 3 Z l Z E N v b H V t b n M x L n t T a G 9 0 c y B v b i B U Y X J n Z X Q v O T A s O H 0 m c X V v d D s s J n F 1 b 3 Q 7 U 2 V j d G l v b j E v U 3 R h d H N f M y 9 B d X R v U m V t b 3 Z l Z E N v b H V t b n M x L n t D b 2 5 2 Z X J z a W 9 u I F J h d G U s O X 0 m c X V v d D s s J n F 1 b 3 Q 7 U 2 V j d G l v b j E v U 3 R h d H N f M y 9 B d X R v U m V t b 3 Z l Z E N v b H V t b n M x L n t H b 2 F s c y 9 T a G 9 0 c y B v b i B U Y X J n Z X Q s M T B 9 J n F 1 b 3 Q 7 L C Z x d W 9 0 O 1 N l Y 3 R p b 2 4 x L 1 N 0 Y X R z X z M v Q X V 0 b 1 J l b W 9 2 Z W R D b 2 x 1 b W 5 z M S 5 7 e E c s M T F 9 J n F 1 b 3 Q 7 L C Z x d W 9 0 O 1 N l Y 3 R p b 2 4 x L 1 N 0 Y X R z X z M v Q X V 0 b 1 J l b W 9 2 Z W R D b 2 x 1 b W 5 z M S 5 7 e E c v U 2 h v d C w x M n 0 m c X V v d D s s J n F 1 b 3 Q 7 U 2 V j d G l v b j E v U 3 R h d H N f M y 9 B d X R v U m V t b 3 Z l Z E N v b H V t b n M x L n t 4 R y 8 5 M C w x M 3 0 m c X V v d D s s J n F 1 b 3 Q 7 U 2 V j d G l v b j E v U 3 R h d H N f M y 9 B d X R v U m V t b 3 Z l Z E N v b H V t b n M x L n t u c H h H L D E 0 f S Z x d W 9 0 O y w m c X V v d D t T Z W N 0 a W 9 u M S 9 T d G F 0 c 1 8 z L 0 F 1 d G 9 S Z W 1 v d m V k Q 2 9 s d W 1 u c z E u e 2 5 w e E c v O T A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c 1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M v U H J v b W 9 0 Z W Q l M j B I Z W F k Z X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M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M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M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2 x 1 b W 5 U e X B l c y I g V m F s d W U 9 I n N C Z 1 V E Q X d N R E J R T U R B d 0 0 9 I i A v P j x F b n R y e S B U e X B l P S J G a W x s T G F z d F V w Z G F 0 Z W Q i I F Z h b H V l P S J k M j A y M y 0 x M i 0 y M V Q w M j o w N D o y M S 4 0 N z Y w M T k y W i I g L z 4 8 R W 5 0 c n k g V H l w Z T 0 i R m l s b F N 0 Y X R 1 c y I g V m F s d W U 9 I n N D b 2 1 w b G V 0 Z S I g L z 4 8 R W 5 0 c n k g V H l w Z T 0 i R m l s b E N v b H V t b k 5 h b W V z I i B W Y W x 1 Z T 0 i c 1 s m c X V v d D t T c X V h Z C Z x d W 9 0 O y w m c X V v d D s l I F B v c 3 N l c 3 N p b 2 4 v R 2 F t Z S Z x d W 9 0 O y w m c X V v d D t N Y X R j a G V z I F B s Y X l l Z C Z x d W 9 0 O y w m c X V v d D t U b 3 V j a G V z J n F 1 b 3 Q 7 L C Z x d W 9 0 O 0 R y a W J i b G V z I E F 0 d G V t c H R l Z C Z x d W 9 0 O y w m c X V v d D t E c m l i Y m x l c y B N Y W R l J n F 1 b 3 Q 7 L C Z x d W 9 0 O 0 R y a W J i b G U g U 3 V j Y 2 V z c y B S Y X R l J n F 1 b 3 Q 7 L C Z x d W 9 0 O 1 R p b W V z I F R h Y 2 t s Z W Q m c X V v d D s s J n F 1 b 3 Q 7 T W l z Y 2 9 u d H J v b H M m c X V v d D s s J n F 1 b 3 Q 7 R G l z c G 9 z c 2 V z c 2 V k J n F 1 b 3 Q 7 L C Z x d W 9 0 O 1 J l Y 2 V p d m V k J n F 1 b 3 Q 7 X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k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t a W V y X 0 x l Y W d 1 Z V 9 T d G F 0 c 1 8 0 L 0 N o Y W 5 n Z W Q g V H l w Z T I u e 1 N x d W F k L D B 9 J n F 1 b 3 Q 7 L C Z x d W 9 0 O 1 N l Y 3 R p b 2 4 x L 1 B y Z W 1 p Z X J f T G V h Z 3 V l X 1 N 0 Y X R z X z Q v Q 2 h h b m d l Z C B U e X B l M i 5 7 U G 9 z c y w y f S Z x d W 9 0 O y w m c X V v d D t T Z W N 0 a W 9 u M S 9 Q c m V t a W V y X 0 x l Y W d 1 Z V 9 T d G F 0 c 1 8 0 L 0 N o Y W 5 n Z W Q g V H l w Z T I u e z k w c y w z f S Z x d W 9 0 O y w m c X V v d D t T Z W N 0 a W 9 u M S 9 Q c m V t a W V y X 0 x l Y W d 1 Z V 9 T d G F 0 c 1 8 0 L 0 N o Y W 5 n Z W Q g V H l w Z T I u e 1 R v d W N o Z X M s N H 0 m c X V v d D s s J n F 1 b 3 Q 7 U 2 V j d G l v b j E v U H J l b W l l c l 9 M Z W F n d W V f U 3 R h d H N f N C 9 D a G F u Z 2 V k I F R 5 c G U y L n t B d H Q s M T F 9 J n F 1 b 3 Q 7 L C Z x d W 9 0 O 1 N l Y 3 R p b 2 4 x L 1 B y Z W 1 p Z X J f T G V h Z 3 V l X 1 N 0 Y X R z X z Q v Q 2 h h b m d l Z C B U e X B l M i 5 7 U 3 V j Y y w x M n 0 m c X V v d D s s J n F 1 b 3 Q 7 U 2 V j d G l v b j E v U H J l b W l l c l 9 M Z W F n d W V f U 3 R h d H N f N C 9 D a G F u Z 2 V k I F R 5 c G U y L n t T d W N j J S w x M 3 0 m c X V v d D s s J n F 1 b 3 Q 7 U 2 V j d G l v b j E v U H J l b W l l c l 9 M Z W F n d W V f U 3 R h d H N f N C 9 D a G F u Z 2 V k I F R 5 c G U y L n t U a 2 x k L D E 0 f S Z x d W 9 0 O y w m c X V v d D t T Z W N 0 a W 9 u M S 9 Q c m V t a W V y X 0 x l Y W d 1 Z V 9 T d G F 0 c 1 8 0 L 0 N o Y W 5 n Z W Q g V H l w Z T I u e 0 1 p c y w y M n 0 m c X V v d D s s J n F 1 b 3 Q 7 U 2 V j d G l v b j E v U H J l b W l l c l 9 M Z W F n d W V f U 3 R h d H N f N C 9 D a G F u Z 2 V k I F R 5 c G U y L n t E a X M s M j N 9 J n F 1 b 3 Q 7 L C Z x d W 9 0 O 1 N l Y 3 R p b 2 4 x L 1 B y Z W 1 p Z X J f T G V h Z 3 V l X 1 N 0 Y X R z X z Q v Q 2 h h b m d l Z C B U e X B l M i 5 7 U m V j L D I 0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H J l b W l l c l 9 M Z W F n d W V f U 3 R h d H N f N C 9 D a G F u Z 2 V k I F R 5 c G U y L n t T c X V h Z C w w f S Z x d W 9 0 O y w m c X V v d D t T Z W N 0 a W 9 u M S 9 Q c m V t a W V y X 0 x l Y W d 1 Z V 9 T d G F 0 c 1 8 0 L 0 N o Y W 5 n Z W Q g V H l w Z T I u e 1 B v c 3 M s M n 0 m c X V v d D s s J n F 1 b 3 Q 7 U 2 V j d G l v b j E v U H J l b W l l c l 9 M Z W F n d W V f U 3 R h d H N f N C 9 D a G F u Z 2 V k I F R 5 c G U y L n s 5 M H M s M 3 0 m c X V v d D s s J n F 1 b 3 Q 7 U 2 V j d G l v b j E v U H J l b W l l c l 9 M Z W F n d W V f U 3 R h d H N f N C 9 D a G F u Z 2 V k I F R 5 c G U y L n t U b 3 V j a G V z L D R 9 J n F 1 b 3 Q 7 L C Z x d W 9 0 O 1 N l Y 3 R p b 2 4 x L 1 B y Z W 1 p Z X J f T G V h Z 3 V l X 1 N 0 Y X R z X z Q v Q 2 h h b m d l Z C B U e X B l M i 5 7 Q X R 0 L D E x f S Z x d W 9 0 O y w m c X V v d D t T Z W N 0 a W 9 u M S 9 Q c m V t a W V y X 0 x l Y W d 1 Z V 9 T d G F 0 c 1 8 0 L 0 N o Y W 5 n Z W Q g V H l w Z T I u e 1 N 1 Y 2 M s M T J 9 J n F 1 b 3 Q 7 L C Z x d W 9 0 O 1 N l Y 3 R p b 2 4 x L 1 B y Z W 1 p Z X J f T G V h Z 3 V l X 1 N 0 Y X R z X z Q v Q 2 h h b m d l Z C B U e X B l M i 5 7 U 3 V j Y y U s M T N 9 J n F 1 b 3 Q 7 L C Z x d W 9 0 O 1 N l Y 3 R p b 2 4 x L 1 B y Z W 1 p Z X J f T G V h Z 3 V l X 1 N 0 Y X R z X z Q v Q 2 h h b m d l Z C B U e X B l M i 5 7 V G t s Z C w x N H 0 m c X V v d D s s J n F 1 b 3 Q 7 U 2 V j d G l v b j E v U H J l b W l l c l 9 M Z W F n d W V f U 3 R h d H N f N C 9 D a G F u Z 2 V k I F R 5 c G U y L n t N a X M s M j J 9 J n F 1 b 3 Q 7 L C Z x d W 9 0 O 1 N l Y 3 R p b 2 4 x L 1 B y Z W 1 p Z X J f T G V h Z 3 V l X 1 N 0 Y X R z X z Q v Q 2 h h b m d l Z C B U e X B l M i 5 7 R G l z L D I z f S Z x d W 9 0 O y w m c X V v d D t T Z W N 0 a W 9 u M S 9 Q c m V t a W V y X 0 x l Y W d 1 Z V 9 T d G F 0 c 1 8 0 L 0 N o Y W 5 n Z W Q g V H l w Z T I u e 1 J l Y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z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C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0 L 1 B y b 2 1 v d G V k J T I w S G V h Z G V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Y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3 R h d H N f N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0 1 E Q X d B R i I g L z 4 8 R W 5 0 c n k g V H l w Z T 0 i R m l s b E x h c 3 R V c G R h d G V k I i B W Y W x 1 Z T 0 i Z D I w M j M t M T I t M j F U M D I 6 M D U 6 N D Y u N T I x N z M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N D Z k N m U 1 M 2 Y t Y T c x Y S 0 0 O G Y 1 L W F i M 2 I t N j k 5 O T J m O D Q 4 N T I w I i A v P j x F b n R y e S B U e X B l P S J G a W x s Q 2 9 s d W 1 u T m F t Z X M i I F Z h b H V l P S J z W y Z x d W 9 0 O 1 N x d W F k J n F 1 b 3 Q 7 L C Z x d W 9 0 O 0 1 h d G N o Z X M g U G x h e W V k J n F 1 b 3 Q 7 L C Z x d W 9 0 O 1 B h c 3 N l c y B D b 2 1 w b G V 0 Z W Q m c X V v d D s s J n F 1 b 3 Q 7 U G F z c 2 V z I E F 0 d G V t c H R l Z C Z x d W 9 0 O y w m c X V v d D t Q Y X N z Z X M g Q X R 0 Z W 1 w d G V k L z k w J n F 1 b 3 Q 7 L C Z x d W 9 0 O 0 N v b X B s Z X R p b 2 4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z X z Y v Q X V 0 b 1 J l b W 9 2 Z W R D b 2 x 1 b W 5 z M S 5 7 U 3 F 1 Y W Q s M H 0 m c X V v d D s s J n F 1 b 3 Q 7 U 2 V j d G l v b j E v U 3 R h d H N f N i 9 B d X R v U m V t b 3 Z l Z E N v b H V t b n M x L n t N Y X R j a G V z I F B s Y X l l Z C w x f S Z x d W 9 0 O y w m c X V v d D t T Z W N 0 a W 9 u M S 9 T d G F 0 c 1 8 2 L 0 F 1 d G 9 S Z W 1 v d m V k Q 2 9 s d W 1 u c z E u e 1 B h c 3 N l c y B D b 2 1 w b G V 0 Z W Q s M n 0 m c X V v d D s s J n F 1 b 3 Q 7 U 2 V j d G l v b j E v U 3 R h d H N f N i 9 B d X R v U m V t b 3 Z l Z E N v b H V t b n M x L n t Q Y X N z Z X M g Q X R 0 Z W 1 w d G V k L D N 9 J n F 1 b 3 Q 7 L C Z x d W 9 0 O 1 N l Y 3 R p b 2 4 x L 1 N 0 Y X R z X z Y v Q X V 0 b 1 J l b W 9 2 Z W R D b 2 x 1 b W 5 z M S 5 7 U G F z c 2 V z I E F 0 d G V t c H R l Z C 8 5 M C w 0 f S Z x d W 9 0 O y w m c X V v d D t T Z W N 0 a W 9 u M S 9 T d G F 0 c 1 8 2 L 0 F 1 d G 9 S Z W 1 v d m V k Q 2 9 s d W 1 u c z E u e 0 N v b X B s Z X R p b 2 4 g U m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G F 0 c 1 8 2 L 0 F 1 d G 9 S Z W 1 v d m V k Q 2 9 s d W 1 u c z E u e 1 N x d W F k L D B 9 J n F 1 b 3 Q 7 L C Z x d W 9 0 O 1 N l Y 3 R p b 2 4 x L 1 N 0 Y X R z X z Y v Q X V 0 b 1 J l b W 9 2 Z W R D b 2 x 1 b W 5 z M S 5 7 T W F 0 Y 2 h l c y B Q b G F 5 Z W Q s M X 0 m c X V v d D s s J n F 1 b 3 Q 7 U 2 V j d G l v b j E v U 3 R h d H N f N i 9 B d X R v U m V t b 3 Z l Z E N v b H V t b n M x L n t Q Y X N z Z X M g Q 2 9 t c G x l d G V k L D J 9 J n F 1 b 3 Q 7 L C Z x d W 9 0 O 1 N l Y 3 R p b 2 4 x L 1 N 0 Y X R z X z Y v Q X V 0 b 1 J l b W 9 2 Z W R D b 2 x 1 b W 5 z M S 5 7 U G F z c 2 V z I E F 0 d G V t c H R l Z C w z f S Z x d W 9 0 O y w m c X V v d D t T Z W N 0 a W 9 u M S 9 T d G F 0 c 1 8 2 L 0 F 1 d G 9 S Z W 1 v d m V k Q 2 9 s d W 1 u c z E u e 1 B h c 3 N l c y B B d H R l b X B 0 Z W Q v O T A s N H 0 m c X V v d D s s J n F 1 b 3 Q 7 U 2 V j d G l v b j E v U 3 R h d H N f N i 9 B d X R v U m V t b 3 Z l Z E N v b H V t b n M x L n t D b 2 1 w b G V 0 a W 9 u I F J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z X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2 L 1 B y b 2 1 v d G V k J T I w S G V h Z G V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2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3 R h d H N f N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y O j A 1 O j Q 2 L j U 2 M D U 5 M D F a I i A v P j x F b n R y e S B U e X B l P S J G a W x s Q 2 9 s d W 1 u V H l w Z X M i I F Z h b H V l P S J z Q m d N R E F B T U V B d 0 F E Q X d N Q S I g L z 4 8 R W 5 0 c n k g V H l w Z T 0 i U X V l c n l J R C I g V m F s d W U 9 I n N m N T I z N 2 I y O C 1 i O W E x L T R i Z G E t O G V l Z i 0 3 M m U 0 M m F m O D V i Z G E i I C 8 + P E V u d H J 5 I F R 5 c G U 9 I k Z p b G x D b 2 x 1 b W 5 O Y W 1 l c y I g V m F s d W U 9 I n N b J n F 1 b 3 Q 7 U 3 F 1 Y W Q m c X V v d D s s J n F 1 b 3 Q 7 T W F 0 Y 2 h l c y B Q b G F 5 Z W Q m c X V v d D s s J n F 1 b 3 Q 7 V G F j a 2 x l c y B B d H R l b X B 0 Z W Q m c X V v d D s s J n F 1 b 3 Q 7 V G F j a 2 x l c y B B d H R l b X B 0 Z W Q v O T A m c X V v d D s s J n F 1 b 3 Q 7 V G F j a 2 x l c y B X b 2 4 m c X V v d D s s J n F 1 b 3 Q 7 V G F j a 2 x l I F d p b i A l J n F 1 b 3 Q 7 L C Z x d W 9 0 O 0 J s b 2 N r c y B N Y W R l J n F 1 b 3 Q 7 L C Z x d W 9 0 O 0 J s b 2 N r c y 8 5 M C Z x d W 9 0 O y w m c X V v d D t J b n R l c m N l c H R p b 2 5 z I E 1 h Z G U m c X V v d D s s J n F 1 b 3 Q 7 V G F j a 2 x l c y A r I E l u d G V y Y 2 V w d G l v b n M m c X V v d D s s J n F 1 b 3 Q 7 Q 2 x l Y X J h b m N l c y Z x d W 9 0 O y w m c X V v d D t D b G V h c m F u Y 2 V z L z k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z X z c v Q X V 0 b 1 J l b W 9 2 Z W R D b 2 x 1 b W 5 z M S 5 7 U 3 F 1 Y W Q s M H 0 m c X V v d D s s J n F 1 b 3 Q 7 U 2 V j d G l v b j E v U 3 R h d H N f N y 9 B d X R v U m V t b 3 Z l Z E N v b H V t b n M x L n t N Y X R j a G V z I F B s Y X l l Z C w x f S Z x d W 9 0 O y w m c X V v d D t T Z W N 0 a W 9 u M S 9 T d G F 0 c 1 8 3 L 0 F 1 d G 9 S Z W 1 v d m V k Q 2 9 s d W 1 u c z E u e 1 R h Y 2 t s Z X M g Q X R 0 Z W 1 w d G V k L D J 9 J n F 1 b 3 Q 7 L C Z x d W 9 0 O 1 N l Y 3 R p b 2 4 x L 1 N 0 Y X R z X z c v Q X V 0 b 1 J l b W 9 2 Z W R D b 2 x 1 b W 5 z M S 5 7 V G F j a 2 x l c y B B d H R l b X B 0 Z W Q v O T A s M 3 0 m c X V v d D s s J n F 1 b 3 Q 7 U 2 V j d G l v b j E v U 3 R h d H N f N y 9 B d X R v U m V t b 3 Z l Z E N v b H V t b n M x L n t U Y W N r b G V z I F d v b i w 0 f S Z x d W 9 0 O y w m c X V v d D t T Z W N 0 a W 9 u M S 9 T d G F 0 c 1 8 3 L 0 F 1 d G 9 S Z W 1 v d m V k Q 2 9 s d W 1 u c z E u e 1 R h Y 2 t s Z S B X a W 4 g J S w 1 f S Z x d W 9 0 O y w m c X V v d D t T Z W N 0 a W 9 u M S 9 T d G F 0 c 1 8 3 L 0 F 1 d G 9 S Z W 1 v d m V k Q 2 9 s d W 1 u c z E u e 0 J s b 2 N r c y B N Y W R l L D Z 9 J n F 1 b 3 Q 7 L C Z x d W 9 0 O 1 N l Y 3 R p b 2 4 x L 1 N 0 Y X R z X z c v Q X V 0 b 1 J l b W 9 2 Z W R D b 2 x 1 b W 5 z M S 5 7 Q m x v Y 2 t z L z k w L D d 9 J n F 1 b 3 Q 7 L C Z x d W 9 0 O 1 N l Y 3 R p b 2 4 x L 1 N 0 Y X R z X z c v Q X V 0 b 1 J l b W 9 2 Z W R D b 2 x 1 b W 5 z M S 5 7 S W 5 0 Z X J j Z X B 0 a W 9 u c y B N Y W R l L D h 9 J n F 1 b 3 Q 7 L C Z x d W 9 0 O 1 N l Y 3 R p b 2 4 x L 1 N 0 Y X R z X z c v Q X V 0 b 1 J l b W 9 2 Z W R D b 2 x 1 b W 5 z M S 5 7 V G F j a 2 x l c y A r I E l u d G V y Y 2 V w d G l v b n M s O X 0 m c X V v d D s s J n F 1 b 3 Q 7 U 2 V j d G l v b j E v U 3 R h d H N f N y 9 B d X R v U m V t b 3 Z l Z E N v b H V t b n M x L n t D b G V h c m F u Y 2 V z L D E w f S Z x d W 9 0 O y w m c X V v d D t T Z W N 0 a W 9 u M S 9 T d G F 0 c 1 8 3 L 0 F 1 d G 9 S Z W 1 v d m V k Q 2 9 s d W 1 u c z E u e 0 N s Z W F y Y W 5 j Z X M v O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G F 0 c 1 8 3 L 0 F 1 d G 9 S Z W 1 v d m V k Q 2 9 s d W 1 u c z E u e 1 N x d W F k L D B 9 J n F 1 b 3 Q 7 L C Z x d W 9 0 O 1 N l Y 3 R p b 2 4 x L 1 N 0 Y X R z X z c v Q X V 0 b 1 J l b W 9 2 Z W R D b 2 x 1 b W 5 z M S 5 7 T W F 0 Y 2 h l c y B Q b G F 5 Z W Q s M X 0 m c X V v d D s s J n F 1 b 3 Q 7 U 2 V j d G l v b j E v U 3 R h d H N f N y 9 B d X R v U m V t b 3 Z l Z E N v b H V t b n M x L n t U Y W N r b G V z I E F 0 d G V t c H R l Z C w y f S Z x d W 9 0 O y w m c X V v d D t T Z W N 0 a W 9 u M S 9 T d G F 0 c 1 8 3 L 0 F 1 d G 9 S Z W 1 v d m V k Q 2 9 s d W 1 u c z E u e 1 R h Y 2 t s Z X M g Q X R 0 Z W 1 w d G V k L z k w L D N 9 J n F 1 b 3 Q 7 L C Z x d W 9 0 O 1 N l Y 3 R p b 2 4 x L 1 N 0 Y X R z X z c v Q X V 0 b 1 J l b W 9 2 Z W R D b 2 x 1 b W 5 z M S 5 7 V G F j a 2 x l c y B X b 2 4 s N H 0 m c X V v d D s s J n F 1 b 3 Q 7 U 2 V j d G l v b j E v U 3 R h d H N f N y 9 B d X R v U m V t b 3 Z l Z E N v b H V t b n M x L n t U Y W N r b G U g V 2 l u I C U s N X 0 m c X V v d D s s J n F 1 b 3 Q 7 U 2 V j d G l v b j E v U 3 R h d H N f N y 9 B d X R v U m V t b 3 Z l Z E N v b H V t b n M x L n t C b G 9 j a 3 M g T W F k Z S w 2 f S Z x d W 9 0 O y w m c X V v d D t T Z W N 0 a W 9 u M S 9 T d G F 0 c 1 8 3 L 0 F 1 d G 9 S Z W 1 v d m V k Q 2 9 s d W 1 u c z E u e 0 J s b 2 N r c y 8 5 M C w 3 f S Z x d W 9 0 O y w m c X V v d D t T Z W N 0 a W 9 u M S 9 T d G F 0 c 1 8 3 L 0 F 1 d G 9 S Z W 1 v d m V k Q 2 9 s d W 1 u c z E u e 0 l u d G V y Y 2 V w d G l v b n M g T W F k Z S w 4 f S Z x d W 9 0 O y w m c X V v d D t T Z W N 0 a W 9 u M S 9 T d G F 0 c 1 8 3 L 0 F 1 d G 9 S Z W 1 v d m V k Q 2 9 s d W 1 u c z E u e 1 R h Y 2 t s Z X M g K y B J b n R l c m N l c H R p b 2 5 z L D l 9 J n F 1 b 3 Q 7 L C Z x d W 9 0 O 1 N l Y 3 R p b 2 4 x L 1 N 0 Y X R z X z c v Q X V 0 b 1 J l b W 9 2 Z W R D b 2 x 1 b W 5 z M S 5 7 Q 2 x l Y X J h b m N l c y w x M H 0 m c X V v d D s s J n F 1 b 3 Q 7 U 2 V j d G l v b j E v U 3 R h d H N f N y 9 B d X R v U m V t b 3 Z l Z E N v b H V t b n M x L n t D b G V h c m F u Y 2 V z L z k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H N f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3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3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c v U H J v b W 9 0 Z W Q l M j B I Z W F k Z X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3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c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3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N f N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3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X z c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1 8 3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t Y W 5 k L U Z p e H R 1 c m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j b 3 J l c 1 9 h b m R f R m l 4 d H V y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1 d r J n F 1 b 3 Q 7 L C Z x d W 9 0 O 0 h v b W U m c X V v d D s s J n F 1 b 3 Q 7 S G 9 t Z S B T Y 2 9 y Z S Z x d W 9 0 O y w m c X V v d D t B d 2 F 5 I F N j b 3 J l J n F 1 b 3 Q 7 L C Z x d W 9 0 O 0 F 3 Y X k m c X V v d D t d I i A v P j x F b n R y e S B U e X B l P S J G a W x s Q 2 9 s d W 1 u V H l w Z X M i I F Z h b H V l P S J z Q X d Z R E F 3 W T 0 i I C 8 + P E V u d H J 5 I F R 5 c G U 9 I k Z p b G x M Y X N 0 V X B k Y X R l Z C I g V m F s d W U 9 I m Q y M D I z L T E y L T I x V D A y O j A 1 O j Q 2 L j U 3 N z Q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T I i I C 8 + P E V u d H J 5 I F R 5 c G U 9 I l F 1 Z X J 5 S U Q i I F Z h b H V l P S J z M G E 5 Z T k 2 Y j c t N D V l N S 0 0 Y T I 3 L W E 5 M z U t O W N l M j R h N T g 1 N T E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c y 1 h b m Q t R m l 4 d H V y Z X M v Q X V 0 b 1 J l b W 9 2 Z W R D b 2 x 1 b W 5 z M S 5 7 V 2 s s M H 0 m c X V v d D s s J n F 1 b 3 Q 7 U 2 V j d G l v b j E v U 2 N v c m V z L W F u Z C 1 G a X h 0 d X J l c y 9 B d X R v U m V t b 3 Z l Z E N v b H V t b n M x L n t I b 2 1 l L D F 9 J n F 1 b 3 Q 7 L C Z x d W 9 0 O 1 N l Y 3 R p b 2 4 x L 1 N j b 3 J l c y 1 h b m Q t R m l 4 d H V y Z X M v Q X V 0 b 1 J l b W 9 2 Z W R D b 2 x 1 b W 5 z M S 5 7 S G 9 t Z S B T Y 2 9 y Z S w y f S Z x d W 9 0 O y w m c X V v d D t T Z W N 0 a W 9 u M S 9 T Y 2 9 y Z X M t Y W 5 k L U Z p e H R 1 c m V z L 0 F 1 d G 9 S Z W 1 v d m V k Q 2 9 s d W 1 u c z E u e 0 F 3 Y X k g U 2 N v c m U s M 3 0 m c X V v d D s s J n F 1 b 3 Q 7 U 2 V j d G l v b j E v U 2 N v c m V z L W F u Z C 1 G a X h 0 d X J l c y 9 B d X R v U m V t b 3 Z l Z E N v b H V t b n M x L n t B d 2 F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j b 3 J l c y 1 h b m Q t R m l 4 d H V y Z X M v Q X V 0 b 1 J l b W 9 2 Z W R D b 2 x 1 b W 5 z M S 5 7 V 2 s s M H 0 m c X V v d D s s J n F 1 b 3 Q 7 U 2 V j d G l v b j E v U 2 N v c m V z L W F u Z C 1 G a X h 0 d X J l c y 9 B d X R v U m V t b 3 Z l Z E N v b H V t b n M x L n t I b 2 1 l L D F 9 J n F 1 b 3 Q 7 L C Z x d W 9 0 O 1 N l Y 3 R p b 2 4 x L 1 N j b 3 J l c y 1 h b m Q t R m l 4 d H V y Z X M v Q X V 0 b 1 J l b W 9 2 Z W R D b 2 x 1 b W 5 z M S 5 7 S G 9 t Z S B T Y 2 9 y Z S w y f S Z x d W 9 0 O y w m c X V v d D t T Z W N 0 a W 9 u M S 9 T Y 2 9 y Z X M t Y W 5 k L U Z p e H R 1 c m V z L 0 F 1 d G 9 S Z W 1 v d m V k Q 2 9 s d W 1 u c z E u e 0 F 3 Y X k g U 2 N v c m U s M 3 0 m c X V v d D s s J n F 1 b 3 Q 7 U 2 V j d G l v b j E v U 2 N v c m V z L W F u Z C 1 G a X h 0 d X J l c y 9 B d X R v U m V t b 3 Z l Z E N v b H V t b n M x L n t B d 2 F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9 y Z X M t Y W 5 k L U Z p e H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1 h b m Q t R m l 4 d H V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W F u Z C 1 G a X h 0 d X J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1 h b m Q t R m l 4 d H V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t Y W 5 k L U Z p e H R 1 c m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t Y W 5 k L U Z p e H R 1 c m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1 h b m Q t R m l 4 d H V y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W F u Z C 1 G a X h 0 d X J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1 h b m Q t R m l 4 d H V y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1 h b m Q t R m l 4 d H V y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W F u Z C 1 G a X h 0 d X J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t Y W 5 k L U Z p e H R 1 c m V z X 3 h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j b 3 J l c 1 9 h b m R f R m l 4 d H V y Z X N f e G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s Z S B Q c m V k a W N 0 a W 9 u I E N h b G N 1 b G F 0 a W 9 u c y I g L z 4 8 R W 5 0 c n k g V H l w Z T 0 i U m V j b 3 Z l c n l U Y X J n Z X R D b 2 x 1 b W 4 i I F Z h b H V l P S J s M S I g L z 4 8 R W 5 0 c n k g V H l w Z T 0 i U m V j b 3 Z l c n l U Y X J n Z X R S b 3 c i I F Z h b H V l P S J s M z g z I i A v P j x F b n R y e S B U e X B l P S J G a W x s Q 2 9 s d W 1 u T m F t Z X M i I F Z h b H V l P S J z W y Z x d W 9 0 O 1 d r J n F 1 b 3 Q 7 L C Z x d W 9 0 O 0 h v b W U m c X V v d D s s J n F 1 b 3 Q 7 e E c m c X V v d D s s J n F 1 b 3 Q 7 e E d f M S Z x d W 9 0 O y w m c X V v d D t B d 2 F 5 J n F 1 b 3 Q 7 X S I g L z 4 8 R W 5 0 c n k g V H l w Z T 0 i R m l s b E N v b H V t b l R 5 c G V z I i B W Y W x 1 Z T 0 i c 0 F 3 W U Z C U V k 9 I i A v P j x F b n R y e S B U e X B l P S J G a W x s T G F z d F V w Z G F 0 Z W Q i I F Z h b H V l P S J k M j A y M y 0 x M i 0 y M V Q w M j o w N T o 0 N i 4 1 O T I x M z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U y I i A v P j x F b n R y e S B U e X B l P S J R d W V y e U l E I i B W Y W x 1 Z T 0 i c z B j N j k y Y z d l L W Z m N j M t N D h h Y y 0 5 Y 2 Z h L T U x N z F i O D Y z O D Q 4 M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9 y Z X M t Y W 5 k L U Z p e H R 1 c m V z X 3 h n L 0 F 1 d G 9 S Z W 1 v d m V k Q 2 9 s d W 1 u c z E u e 1 d r L D B 9 J n F 1 b 3 Q 7 L C Z x d W 9 0 O 1 N l Y 3 R p b 2 4 x L 1 N j b 3 J l c y 1 h b m Q t R m l 4 d H V y Z X N f e G c v Q X V 0 b 1 J l b W 9 2 Z W R D b 2 x 1 b W 5 z M S 5 7 S G 9 t Z S w x f S Z x d W 9 0 O y w m c X V v d D t T Z W N 0 a W 9 u M S 9 T Y 2 9 y Z X M t Y W 5 k L U Z p e H R 1 c m V z X 3 h n L 0 F 1 d G 9 S Z W 1 v d m V k Q 2 9 s d W 1 u c z E u e 3 h H L D J 9 J n F 1 b 3 Q 7 L C Z x d W 9 0 O 1 N l Y 3 R p b 2 4 x L 1 N j b 3 J l c y 1 h b m Q t R m l 4 d H V y Z X N f e G c v Q X V 0 b 1 J l b W 9 2 Z W R D b 2 x 1 b W 5 z M S 5 7 e E d f M S w z f S Z x d W 9 0 O y w m c X V v d D t T Z W N 0 a W 9 u M S 9 T Y 2 9 y Z X M t Y W 5 k L U Z p e H R 1 c m V z X 3 h n L 0 F 1 d G 9 S Z W 1 v d m V k Q 2 9 s d W 1 u c z E u e 0 F 3 Y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N v c m V z L W F u Z C 1 G a X h 0 d X J l c 1 9 4 Z y 9 B d X R v U m V t b 3 Z l Z E N v b H V t b n M x L n t X a y w w f S Z x d W 9 0 O y w m c X V v d D t T Z W N 0 a W 9 u M S 9 T Y 2 9 y Z X M t Y W 5 k L U Z p e H R 1 c m V z X 3 h n L 0 F 1 d G 9 S Z W 1 v d m V k Q 2 9 s d W 1 u c z E u e 0 h v b W U s M X 0 m c X V v d D s s J n F 1 b 3 Q 7 U 2 V j d G l v b j E v U 2 N v c m V z L W F u Z C 1 G a X h 0 d X J l c 1 9 4 Z y 9 B d X R v U m V t b 3 Z l Z E N v b H V t b n M x L n t 4 R y w y f S Z x d W 9 0 O y w m c X V v d D t T Z W N 0 a W 9 u M S 9 T Y 2 9 y Z X M t Y W 5 k L U Z p e H R 1 c m V z X 3 h n L 0 F 1 d G 9 S Z W 1 v d m V k Q 2 9 s d W 1 u c z E u e 3 h H X z E s M 3 0 m c X V v d D s s J n F 1 b 3 Q 7 U 2 V j d G l v b j E v U 2 N v c m V z L W F u Z C 1 G a X h 0 d X J l c 1 9 4 Z y 9 B d X R v U m V t b 3 Z l Z E N v b H V t b n M x L n t B d 2 F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9 y Z X M t Y W 5 k L U Z p e H R 1 c m V z X 3 h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1 h b m Q t R m l 4 d H V y Z X N f e G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W F u Z C 1 G a X h 0 d X J l c 1 9 4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1 h b m Q t R m l 4 d H V y Z X N f e G c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1 h b m Q t R m l 4 d H V y Z X N f e G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W F u Z C 1 G a X h 0 d X J l c 1 9 4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t Y W 5 k L U Z p e H R 1 c m V z X 3 h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W F u Z C 1 G a X h 0 d X J l c 1 9 4 Z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t G h T i Y 8 d R 7 9 S 9 F G t G U j + A A A A A A I A A A A A A B B m A A A A A Q A A I A A A A F 5 d D s H f 7 N m I g r z U E A V N i q 2 B x j w f 8 m b M q 1 A q A B l z f d n / A A A A A A 6 A A A A A A g A A I A A A A I L 3 u v 3 U N m S t 0 T E x w L b A j p Q 2 v L 5 6 W O q E b L H U N S 6 b J H M T U A A A A L 2 d f 4 M n X b Z s H P 5 D i I B 8 r H u T W 5 Z y + e Z f U E u 2 v W B i k N s p N B Y I 9 / k p 5 / U n f p W r R Z E 1 Q n n O U p o f Z 2 j 3 V u + H u z G w g t 9 q c w 0 D W o l Q O S K o L 1 I Z C 8 Z p Q A A A A H J o R Q f O p t G o D w 1 O 4 2 p / 2 D m E S u e i F z Y J 1 3 D q w S T T u j Q L f j P I P r 4 i O R h u K G v e I A Q 1 K h J l 1 S E B 4 2 T l b Q E 2 f y + F D L A = < / D a t a M a s h u p > 
</file>

<file path=customXml/itemProps1.xml><?xml version="1.0" encoding="utf-8"?>
<ds:datastoreItem xmlns:ds="http://schemas.openxmlformats.org/officeDocument/2006/customXml" ds:itemID="{F4EE5AA4-3974-4E76-83FE-A6C1F20CE6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RAW DATA</vt:lpstr>
      <vt:lpstr>Table Prediction Calculations</vt:lpstr>
      <vt:lpstr>Table_Raw</vt:lpstr>
      <vt:lpstr>Table</vt:lpstr>
      <vt:lpstr>Attacking Stats</vt:lpstr>
      <vt:lpstr>Goalkeeping Stats</vt:lpstr>
      <vt:lpstr>Passing Stats</vt:lpstr>
      <vt:lpstr>Defending Stats</vt:lpstr>
      <vt:lpstr>Game Prediction</vt:lpstr>
      <vt:lpstr>Table Prediction</vt:lpstr>
      <vt:lpstr>away_score</vt:lpstr>
      <vt:lpstr>away_team</vt:lpstr>
      <vt:lpstr>away_xg_score</vt:lpstr>
      <vt:lpstr>home_score</vt:lpstr>
      <vt:lpstr>home_team</vt:lpstr>
      <vt:lpstr>'RAW DATA'!Premier_League_Scores_and_Fixtures</vt:lpstr>
      <vt:lpstr>'RAW DATA'!Premier_League_Stats</vt:lpstr>
      <vt:lpstr>'RAW DATA'!Premier_League_Stats_2</vt:lpstr>
      <vt:lpstr>'RAW DATA'!Premier_League_Stats_3</vt:lpstr>
      <vt:lpstr>'RAW DATA'!Premier_League_Stats_4</vt:lpstr>
      <vt:lpstr>'RAW DATA'!Premier_League_Stats_5</vt:lpstr>
      <vt:lpstr>'RAW DATA'!Premier_League_Stats_6</vt:lpstr>
      <vt:lpstr>'RAW DATA'!Premier_League_Stats_7</vt:lpstr>
      <vt:lpstr>xg_away_team</vt:lpstr>
      <vt:lpstr>xg_home_team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Badovych</dc:creator>
  <cp:lastModifiedBy>Steven Badovych</cp:lastModifiedBy>
  <dcterms:created xsi:type="dcterms:W3CDTF">2023-12-16T16:57:50Z</dcterms:created>
  <dcterms:modified xsi:type="dcterms:W3CDTF">2023-12-21T03:39:13Z</dcterms:modified>
</cp:coreProperties>
</file>