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ide Projects\Price Calculator\"/>
    </mc:Choice>
  </mc:AlternateContent>
  <xr:revisionPtr revIDLastSave="0" documentId="8_{BFEA972B-AB34-415D-A0C1-E6CA5CF499B3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Main Menu" sheetId="1" r:id="rId1"/>
    <sheet name="Fabric" sheetId="2" r:id="rId2"/>
    <sheet name="Alpha" sheetId="3" r:id="rId3"/>
    <sheet name="Quote" sheetId="17" r:id="rId4"/>
    <sheet name="Synth" sheetId="4" r:id="rId5"/>
    <sheet name="Rigid" sheetId="5" r:id="rId6"/>
    <sheet name="Vinyl Cut" sheetId="6" r:id="rId7"/>
    <sheet name="Custom SEG" sheetId="8" r:id="rId8"/>
    <sheet name="Custom Stretch Kit" sheetId="7" r:id="rId9"/>
    <sheet name="Custom Table Throw" sheetId="9" r:id="rId10"/>
    <sheet name="Training" sheetId="15" r:id="rId11"/>
    <sheet name="Unit Costs" sheetId="14" r:id="rId12"/>
    <sheet name="Formulas" sheetId="16" r:id="rId13"/>
  </sheets>
  <definedNames>
    <definedName name="alpha_custom_cost">Alpha!$P$12</definedName>
    <definedName name="alpha_custom_price">Alpha!$P$13</definedName>
    <definedName name="alpha_cutting">Alpha!$H$7</definedName>
    <definedName name="alpha_disc_calc_disc">Alpha!$P$17</definedName>
    <definedName name="alpha_disc_calc_full">Alpha!$P$16</definedName>
    <definedName name="alpha_disc_fixed">Alpha!$H$8</definedName>
    <definedName name="alpha_disc_percent">Alpha!$F$8</definedName>
    <definedName name="alpha_height_ft">Alpha!$F$6</definedName>
    <definedName name="alpha_height_in">Alpha!$D$6</definedName>
    <definedName name="alpha_height_mm">Alpha!$H$6</definedName>
    <definedName name="alpha_hw">Alpha!$D$8</definedName>
    <definedName name="alpha_left">Alpha!$C$15</definedName>
    <definedName name="alpha_material_left">Alpha!$C$13:$G$13</definedName>
    <definedName name="alpha_material_right">Alpha!$I$13:$M$13</definedName>
    <definedName name="alpha_mounting">Alpha!$F$7</definedName>
    <definedName name="alpha_printed">Alpha!$D$7</definedName>
    <definedName name="alpha_qty">Alpha!$D$9</definedName>
    <definedName name="alpha_quote_link">Alpha!$E$9</definedName>
    <definedName name="alpha_reset_sheet">Alpha!$G$9</definedName>
    <definedName name="alpha_right">Alpha!$I$15</definedName>
    <definedName name="alpha_sizes_ft">Alpha!$F$5:$F$6</definedName>
    <definedName name="alpha_sizes_in">Alpha!$D$5:$D$6</definedName>
    <definedName name="alpha_sizes_mm">Alpha!$H$5:$H$6</definedName>
    <definedName name="alpha_width_ft">Alpha!$F$5</definedName>
    <definedName name="alpha_width_in">Alpha!$D$5</definedName>
    <definedName name="alpha_width_mm">Alpha!$H$5</definedName>
    <definedName name="Edges">Formulas!$D$11:$G$11</definedName>
    <definedName name="fabric_3d_frame">Fabric!$K$10</definedName>
    <definedName name="fabric_bottom_edge">Fabric!$D$8</definedName>
    <definedName name="fabric_bottom_in">Fabric!$F$8</definedName>
    <definedName name="fabric_bottom_mm">Fabric!$H$8</definedName>
    <definedName name="fabric_custom_cost">Fabric!$K$6</definedName>
    <definedName name="fabric_custom_price">Fabric!$K$7</definedName>
    <definedName name="fabric_cutting">Fabric!$H$11</definedName>
    <definedName name="fabric_disc_calc_disc">Fabric!$K$14</definedName>
    <definedName name="fabric_disc_calc_full">Fabric!$K$13</definedName>
    <definedName name="fabric_disc_fixed">Fabric!$H$13</definedName>
    <definedName name="fabric_disc_percent">Fabric!$F$13</definedName>
    <definedName name="fabric_edges">Fabric!$D$7:$D$10</definedName>
    <definedName name="fabric_edges_in">Fabric!$F$7:$F$10</definedName>
    <definedName name="fabric_edges_mm">Fabric!$H$7:$H$10</definedName>
    <definedName name="fabric_height_ft">Fabric!$F$6</definedName>
    <definedName name="fabric_height_in">Fabric!$D$6</definedName>
    <definedName name="fabric_height_mm">Fabric!$H$6</definedName>
    <definedName name="fabric_hw">Fabric!$D$13</definedName>
    <definedName name="fabric_left">Fabric!$C$18</definedName>
    <definedName name="fabric_left_edge">Fabric!$D$9</definedName>
    <definedName name="fabric_left_in">Fabric!$F$9</definedName>
    <definedName name="fabric_left_mm">Fabric!$H$9</definedName>
    <definedName name="fabric_printed">Fabric!$D$11</definedName>
    <definedName name="fabric_printer_left">Fabric!$C$17:$D$17</definedName>
    <definedName name="fabric_printer_right">Fabric!$F$17:$G$17</definedName>
    <definedName name="fabric_qty">Fabric!$D$14</definedName>
    <definedName name="fabric_quote_link">Fabric!$E$14</definedName>
    <definedName name="fabric_reset_sheet">Fabric!$G$14</definedName>
    <definedName name="fabric_right">Fabric!$F$18</definedName>
    <definedName name="fabric_right_edge">Fabric!$D$10</definedName>
    <definedName name="fabric_right_in">Fabric!$F$10</definedName>
    <definedName name="fabric_right_mm">Fabric!$H$10</definedName>
    <definedName name="fabric_sided">Fabric!$F$11</definedName>
    <definedName name="fabric_sizes_ft">Fabric!$F$5:$F$6</definedName>
    <definedName name="fabric_sizes_in">Fabric!$D$5:$D$6</definedName>
    <definedName name="fabric_sizes_mm">Fabric!$H$5:$H$6</definedName>
    <definedName name="fabric_sq_height">Fabric!$K$23</definedName>
    <definedName name="fabric_sq_width">Fabric!$K$22</definedName>
    <definedName name="fabric_top_edge">Fabric!$D$7</definedName>
    <definedName name="fabric_top_in">Fabric!$F$7</definedName>
    <definedName name="fabric_top_mm">Fabric!$H$7</definedName>
    <definedName name="fabric_width_ft">Fabric!$F$5</definedName>
    <definedName name="fabric_width_in">Fabric!$D$5</definedName>
    <definedName name="fabric_width_mm">Fabric!$H$5</definedName>
    <definedName name="FabricCutting">Formulas!$B$478:$B$479</definedName>
    <definedName name="FabricProfile">Formulas!$B$487:$B$490</definedName>
    <definedName name="Laminate">Formulas!$I$127:$L$127</definedName>
    <definedName name="Mounting">Formulas!$H$50:$L$50</definedName>
    <definedName name="Printed">Formulas!$L$9:$M$9</definedName>
    <definedName name="RigidCutting">Formulas!$B$482:$B$484</definedName>
    <definedName name="RigidProfileLaminate">Formulas!$B$507:$B$508</definedName>
    <definedName name="RigidProfileMaterial">Formulas!$B$511:$B$512</definedName>
    <definedName name="RigidProfileSided">Formulas!$B$499:$B$500</definedName>
    <definedName name="SegSystem">Formulas!$B$432:$B$475</definedName>
    <definedName name="SidedBlocker">Formulas!$J$11:$M$11</definedName>
    <definedName name="SidedNoBlocker">Formulas!$H$98:$I$98</definedName>
    <definedName name="SynthProfile">Formulas!$B$493:$B$495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4" l="1"/>
  <c r="C572" i="16" l="1"/>
  <c r="K2" i="17" s="1"/>
  <c r="B546" i="16"/>
  <c r="C546" i="16"/>
  <c r="D546" i="16"/>
  <c r="E546" i="16"/>
  <c r="F546" i="16"/>
  <c r="G546" i="16"/>
  <c r="H546" i="16"/>
  <c r="I546" i="16"/>
  <c r="B547" i="16"/>
  <c r="C547" i="16"/>
  <c r="D547" i="16"/>
  <c r="E547" i="16"/>
  <c r="F547" i="16"/>
  <c r="G547" i="16"/>
  <c r="H547" i="16"/>
  <c r="I547" i="16"/>
  <c r="B548" i="16"/>
  <c r="C548" i="16"/>
  <c r="D548" i="16"/>
  <c r="E548" i="16"/>
  <c r="F548" i="16"/>
  <c r="G548" i="16"/>
  <c r="H548" i="16"/>
  <c r="I548" i="16"/>
  <c r="B549" i="16"/>
  <c r="C549" i="16"/>
  <c r="D549" i="16"/>
  <c r="E549" i="16"/>
  <c r="F549" i="16"/>
  <c r="G549" i="16"/>
  <c r="H549" i="16"/>
  <c r="I549" i="16"/>
  <c r="B550" i="16"/>
  <c r="C550" i="16"/>
  <c r="D550" i="16"/>
  <c r="E550" i="16"/>
  <c r="F550" i="16"/>
  <c r="G550" i="16"/>
  <c r="H550" i="16"/>
  <c r="I550" i="16"/>
  <c r="B551" i="16"/>
  <c r="C551" i="16"/>
  <c r="D551" i="16"/>
  <c r="E551" i="16"/>
  <c r="F551" i="16"/>
  <c r="G551" i="16"/>
  <c r="H551" i="16"/>
  <c r="I551" i="16"/>
  <c r="B552" i="16"/>
  <c r="C552" i="16"/>
  <c r="D552" i="16"/>
  <c r="E552" i="16"/>
  <c r="F552" i="16"/>
  <c r="G552" i="16"/>
  <c r="H552" i="16"/>
  <c r="I552" i="16"/>
  <c r="B553" i="16"/>
  <c r="C553" i="16"/>
  <c r="D553" i="16"/>
  <c r="E553" i="16"/>
  <c r="F553" i="16"/>
  <c r="G553" i="16"/>
  <c r="H553" i="16"/>
  <c r="I553" i="16"/>
  <c r="B554" i="16"/>
  <c r="C554" i="16"/>
  <c r="D554" i="16"/>
  <c r="E554" i="16"/>
  <c r="F554" i="16"/>
  <c r="G554" i="16"/>
  <c r="H554" i="16"/>
  <c r="I554" i="16"/>
  <c r="B555" i="16"/>
  <c r="C555" i="16"/>
  <c r="D555" i="16"/>
  <c r="E555" i="16"/>
  <c r="F555" i="16"/>
  <c r="G555" i="16"/>
  <c r="H555" i="16"/>
  <c r="I555" i="16"/>
  <c r="B556" i="16"/>
  <c r="C556" i="16"/>
  <c r="D556" i="16"/>
  <c r="E556" i="16"/>
  <c r="F556" i="16"/>
  <c r="G556" i="16"/>
  <c r="H556" i="16"/>
  <c r="I556" i="16"/>
  <c r="B557" i="16"/>
  <c r="C557" i="16"/>
  <c r="D557" i="16"/>
  <c r="E557" i="16"/>
  <c r="F557" i="16"/>
  <c r="G557" i="16"/>
  <c r="H557" i="16"/>
  <c r="I557" i="16"/>
  <c r="B558" i="16"/>
  <c r="C558" i="16"/>
  <c r="D558" i="16"/>
  <c r="E558" i="16"/>
  <c r="F558" i="16"/>
  <c r="G558" i="16"/>
  <c r="H558" i="16"/>
  <c r="I558" i="16"/>
  <c r="B559" i="16"/>
  <c r="C559" i="16"/>
  <c r="D559" i="16"/>
  <c r="E559" i="16"/>
  <c r="F559" i="16"/>
  <c r="G559" i="16"/>
  <c r="H559" i="16"/>
  <c r="I559" i="16"/>
  <c r="B560" i="16"/>
  <c r="C560" i="16"/>
  <c r="D560" i="16"/>
  <c r="E560" i="16"/>
  <c r="F560" i="16"/>
  <c r="G560" i="16"/>
  <c r="H560" i="16"/>
  <c r="I560" i="16"/>
  <c r="B561" i="16"/>
  <c r="C561" i="16"/>
  <c r="D561" i="16"/>
  <c r="E561" i="16"/>
  <c r="F561" i="16"/>
  <c r="G561" i="16"/>
  <c r="H561" i="16"/>
  <c r="I561" i="16"/>
  <c r="B562" i="16"/>
  <c r="C562" i="16"/>
  <c r="D562" i="16"/>
  <c r="E562" i="16"/>
  <c r="F562" i="16"/>
  <c r="G562" i="16"/>
  <c r="H562" i="16"/>
  <c r="I562" i="16"/>
  <c r="B563" i="16"/>
  <c r="C563" i="16"/>
  <c r="D563" i="16"/>
  <c r="E563" i="16"/>
  <c r="F563" i="16"/>
  <c r="G563" i="16"/>
  <c r="H563" i="16"/>
  <c r="I563" i="16"/>
  <c r="B564" i="16"/>
  <c r="C564" i="16"/>
  <c r="D564" i="16"/>
  <c r="E564" i="16"/>
  <c r="F564" i="16"/>
  <c r="G564" i="16"/>
  <c r="H564" i="16"/>
  <c r="I564" i="16"/>
  <c r="B565" i="16"/>
  <c r="C565" i="16"/>
  <c r="D565" i="16"/>
  <c r="E565" i="16"/>
  <c r="F565" i="16"/>
  <c r="G565" i="16"/>
  <c r="H565" i="16"/>
  <c r="I565" i="16"/>
  <c r="B566" i="16"/>
  <c r="C566" i="16"/>
  <c r="D566" i="16"/>
  <c r="E566" i="16"/>
  <c r="F566" i="16"/>
  <c r="G566" i="16"/>
  <c r="H566" i="16"/>
  <c r="I566" i="16"/>
  <c r="B567" i="16"/>
  <c r="C567" i="16"/>
  <c r="D567" i="16"/>
  <c r="E567" i="16"/>
  <c r="F567" i="16"/>
  <c r="G567" i="16"/>
  <c r="H567" i="16"/>
  <c r="I567" i="16"/>
  <c r="B568" i="16"/>
  <c r="C568" i="16"/>
  <c r="D568" i="16"/>
  <c r="E568" i="16"/>
  <c r="F568" i="16"/>
  <c r="G568" i="16"/>
  <c r="H568" i="16"/>
  <c r="I568" i="16"/>
  <c r="B569" i="16"/>
  <c r="C569" i="16"/>
  <c r="D569" i="16"/>
  <c r="E569" i="16"/>
  <c r="F569" i="16"/>
  <c r="G569" i="16"/>
  <c r="H569" i="16"/>
  <c r="I569" i="16"/>
  <c r="I545" i="16"/>
  <c r="H545" i="16"/>
  <c r="G545" i="16"/>
  <c r="F545" i="16"/>
  <c r="E545" i="16"/>
  <c r="D545" i="16"/>
  <c r="C545" i="16"/>
  <c r="B545" i="16"/>
  <c r="I518" i="16"/>
  <c r="H518" i="16"/>
  <c r="G518" i="16"/>
  <c r="F518" i="16"/>
  <c r="E518" i="16"/>
  <c r="D518" i="16"/>
  <c r="C518" i="16"/>
  <c r="B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C570" i="16" l="1"/>
  <c r="H3" i="17" s="1"/>
  <c r="C543" i="16"/>
  <c r="H2" i="17" s="1"/>
  <c r="B208" i="16" l="1"/>
  <c r="D209" i="16"/>
  <c r="E209" i="16"/>
  <c r="D210" i="16"/>
  <c r="E207" i="16"/>
  <c r="D207" i="16"/>
  <c r="B207" i="16" l="1"/>
  <c r="H212" i="16" s="1"/>
  <c r="I213" i="16"/>
  <c r="I20" i="8" s="1"/>
  <c r="L140" i="16"/>
  <c r="L21" i="5" s="1"/>
  <c r="G37" i="16"/>
  <c r="G28" i="2" s="1"/>
  <c r="G33" i="16"/>
  <c r="G24" i="2" s="1"/>
  <c r="G29" i="16"/>
  <c r="G20" i="2" s="1"/>
  <c r="G28" i="16"/>
  <c r="G19" i="2" s="1"/>
  <c r="G27" i="16"/>
  <c r="G18" i="2" s="1"/>
  <c r="F35" i="16"/>
  <c r="F26" i="2" s="1"/>
  <c r="D41" i="16"/>
  <c r="D32" i="2" s="1"/>
  <c r="D37" i="16"/>
  <c r="D28" i="2" s="1"/>
  <c r="D32" i="16"/>
  <c r="D23" i="2" s="1"/>
  <c r="D28" i="16"/>
  <c r="D19" i="2" s="1"/>
  <c r="C34" i="16"/>
  <c r="C25" i="2" s="1"/>
  <c r="C33" i="16"/>
  <c r="C24" i="2" s="1"/>
  <c r="G209" i="16"/>
  <c r="H128" i="16"/>
  <c r="D222" i="8"/>
  <c r="N318" i="14"/>
  <c r="N322" i="14"/>
  <c r="C289" i="16" s="1"/>
  <c r="N329" i="14"/>
  <c r="C337" i="14"/>
  <c r="C323" i="14"/>
  <c r="C257" i="16" s="1"/>
  <c r="C324" i="14"/>
  <c r="C258" i="16" s="1"/>
  <c r="C326" i="14"/>
  <c r="G200" i="16"/>
  <c r="G199" i="16"/>
  <c r="G38" i="6" s="1"/>
  <c r="G198" i="16"/>
  <c r="G37" i="6" s="1"/>
  <c r="G197" i="16"/>
  <c r="G196" i="16"/>
  <c r="G195" i="16"/>
  <c r="G34" i="6" s="1"/>
  <c r="G194" i="16"/>
  <c r="G33" i="6" s="1"/>
  <c r="G193" i="16"/>
  <c r="G192" i="16"/>
  <c r="G31" i="6" s="1"/>
  <c r="G191" i="16"/>
  <c r="G30" i="6" s="1"/>
  <c r="G190" i="16"/>
  <c r="G29" i="6" s="1"/>
  <c r="G189" i="16"/>
  <c r="G188" i="16"/>
  <c r="G187" i="16"/>
  <c r="G26" i="6" s="1"/>
  <c r="G186" i="16"/>
  <c r="G25" i="6" s="1"/>
  <c r="G185" i="16"/>
  <c r="G184" i="16"/>
  <c r="G183" i="16"/>
  <c r="G182" i="16"/>
  <c r="G21" i="6" s="1"/>
  <c r="G181" i="16"/>
  <c r="G180" i="16"/>
  <c r="G179" i="16"/>
  <c r="G18" i="6" s="1"/>
  <c r="G178" i="16"/>
  <c r="G17" i="6" s="1"/>
  <c r="G177" i="16"/>
  <c r="G176" i="16"/>
  <c r="F200" i="16"/>
  <c r="F39" i="6" s="1"/>
  <c r="F199" i="16"/>
  <c r="F38" i="6" s="1"/>
  <c r="F198" i="16"/>
  <c r="F197" i="16"/>
  <c r="F36" i="6" s="1"/>
  <c r="F196" i="16"/>
  <c r="F35" i="6" s="1"/>
  <c r="F195" i="16"/>
  <c r="F34" i="6" s="1"/>
  <c r="F194" i="16"/>
  <c r="F193" i="16"/>
  <c r="F32" i="6" s="1"/>
  <c r="F192" i="16"/>
  <c r="F31" i="6" s="1"/>
  <c r="F191" i="16"/>
  <c r="F30" i="6" s="1"/>
  <c r="F190" i="16"/>
  <c r="F189" i="16"/>
  <c r="F28" i="6" s="1"/>
  <c r="F188" i="16"/>
  <c r="F27" i="6" s="1"/>
  <c r="F187" i="16"/>
  <c r="F26" i="6" s="1"/>
  <c r="F186" i="16"/>
  <c r="F185" i="16"/>
  <c r="F24" i="6" s="1"/>
  <c r="F184" i="16"/>
  <c r="F23" i="6" s="1"/>
  <c r="F183" i="16"/>
  <c r="F22" i="6" s="1"/>
  <c r="F182" i="16"/>
  <c r="F181" i="16"/>
  <c r="F20" i="6" s="1"/>
  <c r="F180" i="16"/>
  <c r="F179" i="16"/>
  <c r="F18" i="6" s="1"/>
  <c r="F178" i="16"/>
  <c r="F177" i="16"/>
  <c r="F16" i="6" s="1"/>
  <c r="F176" i="16"/>
  <c r="F15" i="6" s="1"/>
  <c r="I130" i="16"/>
  <c r="E95" i="16"/>
  <c r="G206" i="16"/>
  <c r="D206" i="16"/>
  <c r="G103" i="16"/>
  <c r="G97" i="16"/>
  <c r="G53" i="16"/>
  <c r="G51" i="16"/>
  <c r="J126" i="16"/>
  <c r="J124" i="16"/>
  <c r="I101" i="16"/>
  <c r="H101" i="16"/>
  <c r="G101" i="16"/>
  <c r="I95" i="16" s="1"/>
  <c r="F101" i="16"/>
  <c r="G99" i="16"/>
  <c r="G55" i="16"/>
  <c r="K14" i="16"/>
  <c r="G14" i="16"/>
  <c r="G10" i="16" s="1"/>
  <c r="F14" i="16"/>
  <c r="F10" i="16" s="1"/>
  <c r="E14" i="16"/>
  <c r="E10" i="16" s="1"/>
  <c r="D14" i="16"/>
  <c r="D10" i="16" s="1"/>
  <c r="I12" i="16"/>
  <c r="K10" i="16"/>
  <c r="E8" i="16"/>
  <c r="D8" i="16"/>
  <c r="B8" i="16" s="1"/>
  <c r="D306" i="16"/>
  <c r="C318" i="16" s="1"/>
  <c r="C306" i="16"/>
  <c r="C307" i="16" s="1"/>
  <c r="B306" i="16"/>
  <c r="B307" i="16" s="1"/>
  <c r="E206" i="16"/>
  <c r="E169" i="16"/>
  <c r="D169" i="16"/>
  <c r="E124" i="16"/>
  <c r="D124" i="16"/>
  <c r="D95" i="16"/>
  <c r="E51" i="16"/>
  <c r="D51" i="16"/>
  <c r="D337" i="16"/>
  <c r="C37" i="9" s="1"/>
  <c r="G293" i="16"/>
  <c r="G52" i="7" s="1"/>
  <c r="N260" i="16"/>
  <c r="N20" i="7" s="1"/>
  <c r="L242" i="16"/>
  <c r="L49" i="8" s="1"/>
  <c r="H231" i="16"/>
  <c r="H38" i="8" s="1"/>
  <c r="C235" i="16"/>
  <c r="C42" i="8" s="1"/>
  <c r="J174" i="16"/>
  <c r="C18" i="6" s="1"/>
  <c r="L145" i="16"/>
  <c r="L26" i="5" s="1"/>
  <c r="F113" i="16"/>
  <c r="F25" i="4" s="1"/>
  <c r="P62" i="16"/>
  <c r="P18" i="3" s="1"/>
  <c r="K24" i="16"/>
  <c r="K15" i="2" s="1"/>
  <c r="J347" i="16"/>
  <c r="N7" i="15" s="1"/>
  <c r="J346" i="16"/>
  <c r="J34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6" i="16"/>
  <c r="C255" i="16"/>
  <c r="C254" i="16"/>
  <c r="C253" i="16"/>
  <c r="C252" i="16"/>
  <c r="C251" i="16"/>
  <c r="C250" i="16"/>
  <c r="M219" i="16"/>
  <c r="M26" i="8" s="1"/>
  <c r="M220" i="16"/>
  <c r="M27" i="8" s="1"/>
  <c r="M221" i="16"/>
  <c r="M28" i="8" s="1"/>
  <c r="M222" i="16"/>
  <c r="M29" i="8" s="1"/>
  <c r="M223" i="16"/>
  <c r="M30" i="8" s="1"/>
  <c r="M224" i="16"/>
  <c r="M31" i="8" s="1"/>
  <c r="M225" i="16"/>
  <c r="M32" i="8" s="1"/>
  <c r="M226" i="16"/>
  <c r="M33" i="8" s="1"/>
  <c r="M227" i="16"/>
  <c r="M34" i="8" s="1"/>
  <c r="M218" i="16"/>
  <c r="M25" i="8" s="1"/>
  <c r="M217" i="16"/>
  <c r="M24" i="8" s="1"/>
  <c r="M216" i="16"/>
  <c r="M23" i="8" s="1"/>
  <c r="M215" i="16"/>
  <c r="M22" i="8" s="1"/>
  <c r="M214" i="16"/>
  <c r="M21" i="8" s="1"/>
  <c r="M213" i="16"/>
  <c r="M20" i="8" s="1"/>
  <c r="G44" i="14"/>
  <c r="G43" i="14"/>
  <c r="G42" i="14"/>
  <c r="G41" i="14"/>
  <c r="G40" i="14"/>
  <c r="C282" i="16"/>
  <c r="G250" i="16"/>
  <c r="G251" i="16"/>
  <c r="G252" i="16"/>
  <c r="G253" i="16"/>
  <c r="G249" i="16"/>
  <c r="E249" i="16"/>
  <c r="I256" i="16"/>
  <c r="I252" i="16"/>
  <c r="I250" i="16"/>
  <c r="I249" i="16"/>
  <c r="I216" i="16"/>
  <c r="I23" i="8" s="1"/>
  <c r="I215" i="16"/>
  <c r="I22" i="8" s="1"/>
  <c r="I214" i="16"/>
  <c r="I21" i="8" s="1"/>
  <c r="E292" i="16"/>
  <c r="E291" i="16"/>
  <c r="E290" i="16"/>
  <c r="E289" i="16"/>
  <c r="E288" i="16"/>
  <c r="E287" i="16"/>
  <c r="E286" i="16"/>
  <c r="E285" i="16"/>
  <c r="E284" i="16"/>
  <c r="E283" i="16"/>
  <c r="E282" i="16"/>
  <c r="C299" i="16"/>
  <c r="C298" i="16"/>
  <c r="C297" i="16"/>
  <c r="C296" i="16"/>
  <c r="C295" i="16"/>
  <c r="C294" i="16"/>
  <c r="C293" i="16"/>
  <c r="C292" i="16"/>
  <c r="C291" i="16"/>
  <c r="C290" i="16"/>
  <c r="C288" i="16"/>
  <c r="C287" i="16"/>
  <c r="C286" i="16"/>
  <c r="C285" i="16"/>
  <c r="C284" i="16"/>
  <c r="C283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I264" i="16"/>
  <c r="I263" i="16"/>
  <c r="I262" i="16"/>
  <c r="I261" i="16"/>
  <c r="I260" i="16"/>
  <c r="I259" i="16"/>
  <c r="I258" i="16"/>
  <c r="I257" i="16"/>
  <c r="I255" i="16"/>
  <c r="I254" i="16"/>
  <c r="I253" i="16"/>
  <c r="I251" i="16"/>
  <c r="E256" i="16"/>
  <c r="E255" i="16"/>
  <c r="E254" i="16"/>
  <c r="E253" i="16"/>
  <c r="E252" i="16"/>
  <c r="E251" i="16"/>
  <c r="E250" i="16"/>
  <c r="C249" i="16"/>
  <c r="G50" i="14"/>
  <c r="G49" i="14"/>
  <c r="G48" i="14"/>
  <c r="G47" i="14"/>
  <c r="G46" i="14"/>
  <c r="G45" i="14"/>
  <c r="G39" i="14"/>
  <c r="G38" i="14"/>
  <c r="G37" i="14"/>
  <c r="G36" i="14"/>
  <c r="G35" i="14"/>
  <c r="G34" i="14"/>
  <c r="G33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F295" i="14"/>
  <c r="G207" i="16"/>
  <c r="K404" i="16"/>
  <c r="K403" i="16"/>
  <c r="K399" i="16"/>
  <c r="K400" i="16" s="1"/>
  <c r="O60" i="15" s="1"/>
  <c r="L395" i="16"/>
  <c r="L394" i="16"/>
  <c r="K416" i="16"/>
  <c r="K415" i="16"/>
  <c r="K414" i="16"/>
  <c r="K409" i="16"/>
  <c r="K408" i="16"/>
  <c r="C424" i="16"/>
  <c r="C423" i="16"/>
  <c r="C422" i="16"/>
  <c r="C418" i="16"/>
  <c r="C417" i="16"/>
  <c r="D413" i="16"/>
  <c r="D412" i="16"/>
  <c r="D411" i="16"/>
  <c r="C356" i="14"/>
  <c r="C299" i="14"/>
  <c r="C259" i="14"/>
  <c r="C174" i="16" s="1"/>
  <c r="C13" i="6" s="1"/>
  <c r="D106" i="14"/>
  <c r="K121" i="14"/>
  <c r="C88" i="14"/>
  <c r="I9" i="14"/>
  <c r="C407" i="16"/>
  <c r="C406" i="16"/>
  <c r="D401" i="16"/>
  <c r="D400" i="16"/>
  <c r="D399" i="16"/>
  <c r="D398" i="16"/>
  <c r="D393" i="16"/>
  <c r="D392" i="16"/>
  <c r="D391" i="16"/>
  <c r="D390" i="16"/>
  <c r="C386" i="16"/>
  <c r="C385" i="16"/>
  <c r="C380" i="16"/>
  <c r="C379" i="16"/>
  <c r="L387" i="16"/>
  <c r="L386" i="16"/>
  <c r="L385" i="16"/>
  <c r="L384" i="16"/>
  <c r="L383" i="16"/>
  <c r="C372" i="16"/>
  <c r="C371" i="16"/>
  <c r="C370" i="16"/>
  <c r="J375" i="16"/>
  <c r="J374" i="16"/>
  <c r="J373" i="16"/>
  <c r="J372" i="16"/>
  <c r="B364" i="16"/>
  <c r="B363" i="16"/>
  <c r="B362" i="16"/>
  <c r="J364" i="16"/>
  <c r="J363" i="16"/>
  <c r="C356" i="16"/>
  <c r="J362" i="16"/>
  <c r="C355" i="16"/>
  <c r="J361" i="16"/>
  <c r="C354" i="16"/>
  <c r="B348" i="16"/>
  <c r="J353" i="16"/>
  <c r="B347" i="16"/>
  <c r="J352" i="16"/>
  <c r="J357" i="16" s="1"/>
  <c r="N17" i="15" s="1"/>
  <c r="B346" i="16"/>
  <c r="J351" i="16"/>
  <c r="D307" i="16"/>
  <c r="C212" i="16"/>
  <c r="C19" i="8" s="1"/>
  <c r="C217" i="16"/>
  <c r="C24" i="8" s="1"/>
  <c r="F37" i="6"/>
  <c r="G36" i="6"/>
  <c r="G35" i="6"/>
  <c r="F33" i="6"/>
  <c r="G32" i="6"/>
  <c r="F29" i="6"/>
  <c r="G28" i="6"/>
  <c r="G27" i="6"/>
  <c r="F25" i="6"/>
  <c r="G24" i="6"/>
  <c r="G23" i="6"/>
  <c r="G22" i="6"/>
  <c r="F21" i="6"/>
  <c r="G20" i="6"/>
  <c r="G19" i="6"/>
  <c r="F19" i="6"/>
  <c r="F17" i="6"/>
  <c r="G16" i="6"/>
  <c r="G15" i="6"/>
  <c r="B169" i="16"/>
  <c r="C172" i="16" s="1"/>
  <c r="C11" i="6" s="1"/>
  <c r="F95" i="16"/>
  <c r="K33" i="16"/>
  <c r="K24" i="2" s="1"/>
  <c r="B94" i="16"/>
  <c r="B168" i="16"/>
  <c r="I5" i="6" s="1"/>
  <c r="C18" i="9"/>
  <c r="G39" i="6"/>
  <c r="G86" i="16" l="1"/>
  <c r="G42" i="3" s="1"/>
  <c r="G82" i="16"/>
  <c r="G38" i="3" s="1"/>
  <c r="G78" i="16"/>
  <c r="G34" i="3" s="1"/>
  <c r="G74" i="16"/>
  <c r="G30" i="3" s="1"/>
  <c r="G70" i="16"/>
  <c r="G26" i="3" s="1"/>
  <c r="G66" i="16"/>
  <c r="G22" i="3" s="1"/>
  <c r="G62" i="16"/>
  <c r="G18" i="3" s="1"/>
  <c r="G85" i="16"/>
  <c r="G41" i="3" s="1"/>
  <c r="G81" i="16"/>
  <c r="G37" i="3" s="1"/>
  <c r="G77" i="16"/>
  <c r="G33" i="3" s="1"/>
  <c r="G73" i="16"/>
  <c r="G29" i="3" s="1"/>
  <c r="G69" i="16"/>
  <c r="G25" i="3" s="1"/>
  <c r="G65" i="16"/>
  <c r="G21" i="3" s="1"/>
  <c r="G61" i="16"/>
  <c r="G17" i="3" s="1"/>
  <c r="G88" i="16"/>
  <c r="G44" i="3" s="1"/>
  <c r="G84" i="16"/>
  <c r="G40" i="3" s="1"/>
  <c r="G80" i="16"/>
  <c r="G36" i="3" s="1"/>
  <c r="G76" i="16"/>
  <c r="G32" i="3" s="1"/>
  <c r="G72" i="16"/>
  <c r="G28" i="3" s="1"/>
  <c r="G68" i="16"/>
  <c r="G24" i="3" s="1"/>
  <c r="G64" i="16"/>
  <c r="G20" i="3" s="1"/>
  <c r="G60" i="16"/>
  <c r="G16" i="3" s="1"/>
  <c r="G87" i="16"/>
  <c r="G43" i="3" s="1"/>
  <c r="G83" i="16"/>
  <c r="G39" i="3" s="1"/>
  <c r="G79" i="16"/>
  <c r="G35" i="3" s="1"/>
  <c r="G75" i="16"/>
  <c r="G31" i="3" s="1"/>
  <c r="G71" i="16"/>
  <c r="G27" i="3" s="1"/>
  <c r="G67" i="16"/>
  <c r="G23" i="3" s="1"/>
  <c r="G63" i="16"/>
  <c r="G19" i="3" s="1"/>
  <c r="G59" i="16"/>
  <c r="G15" i="3" s="1"/>
  <c r="M84" i="16"/>
  <c r="M40" i="3" s="1"/>
  <c r="M80" i="16"/>
  <c r="M36" i="3" s="1"/>
  <c r="M76" i="16"/>
  <c r="M32" i="3" s="1"/>
  <c r="M72" i="16"/>
  <c r="M28" i="3" s="1"/>
  <c r="M68" i="16"/>
  <c r="M24" i="3" s="1"/>
  <c r="M64" i="16"/>
  <c r="M20" i="3" s="1"/>
  <c r="M60" i="16"/>
  <c r="M16" i="3" s="1"/>
  <c r="M77" i="16"/>
  <c r="M33" i="3" s="1"/>
  <c r="M87" i="16"/>
  <c r="M43" i="3" s="1"/>
  <c r="M83" i="16"/>
  <c r="M39" i="3" s="1"/>
  <c r="M79" i="16"/>
  <c r="M35" i="3" s="1"/>
  <c r="M75" i="16"/>
  <c r="M31" i="3" s="1"/>
  <c r="M71" i="16"/>
  <c r="M27" i="3" s="1"/>
  <c r="M67" i="16"/>
  <c r="M23" i="3" s="1"/>
  <c r="M63" i="16"/>
  <c r="M19" i="3" s="1"/>
  <c r="M59" i="16"/>
  <c r="M15" i="3" s="1"/>
  <c r="M85" i="16"/>
  <c r="M41" i="3" s="1"/>
  <c r="M73" i="16"/>
  <c r="M29" i="3" s="1"/>
  <c r="M65" i="16"/>
  <c r="M21" i="3" s="1"/>
  <c r="M86" i="16"/>
  <c r="M42" i="3" s="1"/>
  <c r="M82" i="16"/>
  <c r="M38" i="3" s="1"/>
  <c r="M78" i="16"/>
  <c r="M34" i="3" s="1"/>
  <c r="M74" i="16"/>
  <c r="M30" i="3" s="1"/>
  <c r="M70" i="16"/>
  <c r="M26" i="3" s="1"/>
  <c r="M66" i="16"/>
  <c r="M22" i="3" s="1"/>
  <c r="M62" i="16"/>
  <c r="M18" i="3" s="1"/>
  <c r="M81" i="16"/>
  <c r="M37" i="3" s="1"/>
  <c r="M69" i="16"/>
  <c r="M25" i="3" s="1"/>
  <c r="M61" i="16"/>
  <c r="M17" i="3" s="1"/>
  <c r="K410" i="16"/>
  <c r="O70" i="15" s="1"/>
  <c r="B50" i="16"/>
  <c r="M88" i="16" s="1"/>
  <c r="M44" i="3" s="1"/>
  <c r="K27" i="16"/>
  <c r="K18" i="2" s="1"/>
  <c r="G310" i="16"/>
  <c r="G328" i="16" s="1"/>
  <c r="G28" i="9" s="1"/>
  <c r="I307" i="16"/>
  <c r="F324" i="16" s="1"/>
  <c r="F24" i="9" s="1"/>
  <c r="D82" i="16"/>
  <c r="D38" i="3" s="1"/>
  <c r="B351" i="16"/>
  <c r="F11" i="15" s="1"/>
  <c r="J376" i="16"/>
  <c r="N36" i="15" s="1"/>
  <c r="C312" i="16"/>
  <c r="C12" i="9" s="1"/>
  <c r="C69" i="16"/>
  <c r="C25" i="3" s="1"/>
  <c r="D414" i="16"/>
  <c r="H74" i="15" s="1"/>
  <c r="J365" i="16"/>
  <c r="N25" i="15" s="1"/>
  <c r="C373" i="16"/>
  <c r="G33" i="15" s="1"/>
  <c r="C408" i="16"/>
  <c r="G68" i="15" s="1"/>
  <c r="B123" i="16"/>
  <c r="L136" i="16" s="1"/>
  <c r="L17" i="5" s="1"/>
  <c r="B9" i="16"/>
  <c r="K85" i="16"/>
  <c r="K41" i="3" s="1"/>
  <c r="K28" i="16"/>
  <c r="K19" i="2" s="1"/>
  <c r="H310" i="16"/>
  <c r="H331" i="16" s="1"/>
  <c r="H31" i="9" s="1"/>
  <c r="C419" i="16"/>
  <c r="G79" i="15" s="1"/>
  <c r="K417" i="16"/>
  <c r="O76" i="15" s="1"/>
  <c r="E61" i="16"/>
  <c r="E17" i="3" s="1"/>
  <c r="C59" i="16"/>
  <c r="C15" i="3" s="1"/>
  <c r="J378" i="16"/>
  <c r="N38" i="15" s="1"/>
  <c r="L388" i="16"/>
  <c r="P48" i="15" s="1"/>
  <c r="D394" i="16"/>
  <c r="H54" i="15" s="1"/>
  <c r="D403" i="16"/>
  <c r="H63" i="15" s="1"/>
  <c r="G327" i="16"/>
  <c r="G27" i="9" s="1"/>
  <c r="F329" i="16"/>
  <c r="F29" i="9" s="1"/>
  <c r="C425" i="16"/>
  <c r="G85" i="15" s="1"/>
  <c r="K405" i="16"/>
  <c r="O65" i="15" s="1"/>
  <c r="E85" i="16"/>
  <c r="E41" i="3" s="1"/>
  <c r="D85" i="16"/>
  <c r="D41" i="3" s="1"/>
  <c r="B367" i="16"/>
  <c r="F27" i="15" s="1"/>
  <c r="C387" i="16"/>
  <c r="G47" i="15" s="1"/>
  <c r="G95" i="16"/>
  <c r="F117" i="16" s="1"/>
  <c r="F29" i="4" s="1"/>
  <c r="F331" i="16"/>
  <c r="F31" i="9" s="1"/>
  <c r="H95" i="16"/>
  <c r="F116" i="16" s="1"/>
  <c r="F28" i="4" s="1"/>
  <c r="L134" i="16"/>
  <c r="L15" i="5" s="1"/>
  <c r="J356" i="16"/>
  <c r="N16" i="15" s="1"/>
  <c r="J354" i="16"/>
  <c r="N14" i="15" s="1"/>
  <c r="D402" i="16"/>
  <c r="H62" i="15" s="1"/>
  <c r="D395" i="16"/>
  <c r="H55" i="15" s="1"/>
  <c r="F328" i="16"/>
  <c r="F28" i="9" s="1"/>
  <c r="J83" i="16"/>
  <c r="J39" i="3" s="1"/>
  <c r="F85" i="16"/>
  <c r="F41" i="3" s="1"/>
  <c r="C68" i="16"/>
  <c r="C24" i="3" s="1"/>
  <c r="I80" i="16"/>
  <c r="I36" i="3" s="1"/>
  <c r="I68" i="16"/>
  <c r="I24" i="3" s="1"/>
  <c r="F87" i="16"/>
  <c r="F43" i="3" s="1"/>
  <c r="E74" i="16"/>
  <c r="E30" i="3" s="1"/>
  <c r="C82" i="16"/>
  <c r="C38" i="3" s="1"/>
  <c r="K73" i="16"/>
  <c r="K29" i="3" s="1"/>
  <c r="D79" i="16"/>
  <c r="D35" i="3" s="1"/>
  <c r="L87" i="16"/>
  <c r="L43" i="3" s="1"/>
  <c r="L77" i="16"/>
  <c r="L33" i="3" s="1"/>
  <c r="L67" i="16"/>
  <c r="L23" i="3" s="1"/>
  <c r="F84" i="16"/>
  <c r="F40" i="3" s="1"/>
  <c r="E71" i="16"/>
  <c r="E27" i="3" s="1"/>
  <c r="C86" i="16"/>
  <c r="C42" i="3" s="1"/>
  <c r="K74" i="16"/>
  <c r="K30" i="3" s="1"/>
  <c r="K59" i="16"/>
  <c r="K15" i="3" s="1"/>
  <c r="C65" i="16"/>
  <c r="C21" i="3" s="1"/>
  <c r="F86" i="16"/>
  <c r="F42" i="3" s="1"/>
  <c r="C73" i="16"/>
  <c r="C29" i="3" s="1"/>
  <c r="E64" i="16"/>
  <c r="E20" i="3" s="1"/>
  <c r="D64" i="16"/>
  <c r="D20" i="3" s="1"/>
  <c r="J64" i="16"/>
  <c r="J20" i="3" s="1"/>
  <c r="D68" i="16"/>
  <c r="D24" i="3" s="1"/>
  <c r="D84" i="16"/>
  <c r="D40" i="3" s="1"/>
  <c r="C85" i="16"/>
  <c r="C41" i="3" s="1"/>
  <c r="J62" i="16"/>
  <c r="J18" i="3" s="1"/>
  <c r="F66" i="16"/>
  <c r="F22" i="3" s="1"/>
  <c r="I84" i="16"/>
  <c r="I40" i="3" s="1"/>
  <c r="I74" i="16"/>
  <c r="I30" i="3" s="1"/>
  <c r="I64" i="16"/>
  <c r="I20" i="3" s="1"/>
  <c r="F79" i="16"/>
  <c r="F35" i="3" s="1"/>
  <c r="E66" i="16"/>
  <c r="E22" i="3" s="1"/>
  <c r="K86" i="16"/>
  <c r="K42" i="3" s="1"/>
  <c r="K61" i="16"/>
  <c r="K17" i="3" s="1"/>
  <c r="C83" i="16"/>
  <c r="C39" i="3" s="1"/>
  <c r="L83" i="16"/>
  <c r="L39" i="3" s="1"/>
  <c r="L71" i="16"/>
  <c r="L27" i="3" s="1"/>
  <c r="L61" i="16"/>
  <c r="L17" i="3" s="1"/>
  <c r="E79" i="16"/>
  <c r="E35" i="3" s="1"/>
  <c r="E63" i="16"/>
  <c r="E19" i="3" s="1"/>
  <c r="K82" i="16"/>
  <c r="K38" i="3" s="1"/>
  <c r="K67" i="16"/>
  <c r="K23" i="3" s="1"/>
  <c r="E80" i="16"/>
  <c r="E36" i="3" s="1"/>
  <c r="J73" i="16"/>
  <c r="J29" i="3" s="1"/>
  <c r="E68" i="16"/>
  <c r="E24" i="3" s="1"/>
  <c r="J63" i="16"/>
  <c r="J19" i="3" s="1"/>
  <c r="J74" i="16"/>
  <c r="J30" i="3" s="1"/>
  <c r="J80" i="16"/>
  <c r="J36" i="3" s="1"/>
  <c r="D80" i="16"/>
  <c r="D36" i="3" s="1"/>
  <c r="F62" i="16"/>
  <c r="F18" i="3" s="1"/>
  <c r="J79" i="16"/>
  <c r="J35" i="3" s="1"/>
  <c r="D67" i="16"/>
  <c r="D23" i="3" s="1"/>
  <c r="J78" i="16"/>
  <c r="J34" i="3" s="1"/>
  <c r="E77" i="16"/>
  <c r="E33" i="3" s="1"/>
  <c r="C76" i="16"/>
  <c r="C32" i="3" s="1"/>
  <c r="I82" i="16"/>
  <c r="I38" i="3" s="1"/>
  <c r="I72" i="16"/>
  <c r="I28" i="3" s="1"/>
  <c r="I60" i="16"/>
  <c r="I16" i="3" s="1"/>
  <c r="D77" i="16"/>
  <c r="D33" i="3" s="1"/>
  <c r="F63" i="16"/>
  <c r="F19" i="3" s="1"/>
  <c r="K77" i="16"/>
  <c r="K33" i="3" s="1"/>
  <c r="E84" i="16"/>
  <c r="E40" i="3" s="1"/>
  <c r="C75" i="16"/>
  <c r="C31" i="3" s="1"/>
  <c r="L79" i="16"/>
  <c r="L35" i="3" s="1"/>
  <c r="L69" i="16"/>
  <c r="L25" i="3" s="1"/>
  <c r="L59" i="16"/>
  <c r="L15" i="3" s="1"/>
  <c r="D74" i="16"/>
  <c r="D30" i="3" s="1"/>
  <c r="F60" i="16"/>
  <c r="F16" i="3" s="1"/>
  <c r="K78" i="16"/>
  <c r="K34" i="3" s="1"/>
  <c r="K62" i="16"/>
  <c r="K18" i="3" s="1"/>
  <c r="D75" i="16"/>
  <c r="D31" i="3" s="1"/>
  <c r="J65" i="16"/>
  <c r="J21" i="3" s="1"/>
  <c r="D63" i="16"/>
  <c r="D19" i="3" s="1"/>
  <c r="F78" i="16"/>
  <c r="F34" i="3" s="1"/>
  <c r="F82" i="16"/>
  <c r="F38" i="3" s="1"/>
  <c r="J72" i="16"/>
  <c r="J28" i="3" s="1"/>
  <c r="F74" i="16"/>
  <c r="F30" i="3" s="1"/>
  <c r="D60" i="16"/>
  <c r="D16" i="3" s="1"/>
  <c r="J67" i="16"/>
  <c r="J23" i="3" s="1"/>
  <c r="F61" i="16"/>
  <c r="F17" i="3" s="1"/>
  <c r="J70" i="16"/>
  <c r="J26" i="3" s="1"/>
  <c r="E69" i="16"/>
  <c r="E25" i="3" s="1"/>
  <c r="I66" i="16"/>
  <c r="I22" i="3" s="1"/>
  <c r="K69" i="16"/>
  <c r="K25" i="3" s="1"/>
  <c r="L63" i="16"/>
  <c r="L19" i="3" s="1"/>
  <c r="K70" i="16"/>
  <c r="K26" i="3" s="1"/>
  <c r="J75" i="16"/>
  <c r="J31" i="3" s="1"/>
  <c r="E65" i="16"/>
  <c r="E21" i="3" s="1"/>
  <c r="D88" i="16"/>
  <c r="D44" i="3" s="1"/>
  <c r="C60" i="16"/>
  <c r="C16" i="3" s="1"/>
  <c r="D69" i="16"/>
  <c r="D25" i="3" s="1"/>
  <c r="L85" i="16"/>
  <c r="L41" i="3" s="1"/>
  <c r="F68" i="16"/>
  <c r="F24" i="3" s="1"/>
  <c r="J81" i="16"/>
  <c r="J37" i="3" s="1"/>
  <c r="C61" i="16"/>
  <c r="C17" i="3" s="1"/>
  <c r="E73" i="16"/>
  <c r="E29" i="3" s="1"/>
  <c r="I76" i="16"/>
  <c r="I32" i="3" s="1"/>
  <c r="C70" i="16"/>
  <c r="C26" i="3" s="1"/>
  <c r="J355" i="16"/>
  <c r="N15" i="15" s="1"/>
  <c r="J379" i="16"/>
  <c r="N39" i="15" s="1"/>
  <c r="J86" i="16"/>
  <c r="J42" i="3" s="1"/>
  <c r="D76" i="16"/>
  <c r="D32" i="3" s="1"/>
  <c r="L75" i="16"/>
  <c r="L31" i="3" s="1"/>
  <c r="H307" i="16"/>
  <c r="D331" i="16" s="1"/>
  <c r="D31" i="9" s="1"/>
  <c r="B350" i="16"/>
  <c r="F10" i="15" s="1"/>
  <c r="J366" i="16"/>
  <c r="N26" i="15" s="1"/>
  <c r="F285" i="16"/>
  <c r="F44" i="7" s="1"/>
  <c r="C381" i="16"/>
  <c r="G41" i="15" s="1"/>
  <c r="L396" i="16"/>
  <c r="P56" i="15" s="1"/>
  <c r="D312" i="16"/>
  <c r="D12" i="9" s="1"/>
  <c r="C315" i="16"/>
  <c r="C15" i="9" s="1"/>
  <c r="D313" i="16"/>
  <c r="D13" i="9" s="1"/>
  <c r="C84" i="16"/>
  <c r="C40" i="3" s="1"/>
  <c r="C313" i="16"/>
  <c r="C13" i="9" s="1"/>
  <c r="G307" i="16"/>
  <c r="F330" i="16"/>
  <c r="F30" i="9" s="1"/>
  <c r="J368" i="16"/>
  <c r="N28" i="15" s="1"/>
  <c r="B365" i="16"/>
  <c r="F25" i="15" s="1"/>
  <c r="B366" i="16"/>
  <c r="F26" i="15" s="1"/>
  <c r="C374" i="16"/>
  <c r="G34" i="15" s="1"/>
  <c r="C375" i="16"/>
  <c r="G35" i="15" s="1"/>
  <c r="L389" i="16"/>
  <c r="P49" i="15" s="1"/>
  <c r="L390" i="16"/>
  <c r="P50" i="15" s="1"/>
  <c r="L391" i="16"/>
  <c r="P51" i="15" s="1"/>
  <c r="L255" i="16"/>
  <c r="L15" i="7" s="1"/>
  <c r="L252" i="16"/>
  <c r="L12" i="7" s="1"/>
  <c r="F325" i="16"/>
  <c r="F25" i="9" s="1"/>
  <c r="F326" i="16"/>
  <c r="F26" i="9" s="1"/>
  <c r="F327" i="16"/>
  <c r="F27" i="9" s="1"/>
  <c r="J367" i="16"/>
  <c r="N27" i="15" s="1"/>
  <c r="I140" i="16"/>
  <c r="I21" i="5" s="1"/>
  <c r="F288" i="16"/>
  <c r="F47" i="7" s="1"/>
  <c r="B349" i="16"/>
  <c r="F9" i="15" s="1"/>
  <c r="J377" i="16"/>
  <c r="N37" i="15" s="1"/>
  <c r="C359" i="16"/>
  <c r="G19" i="15" s="1"/>
  <c r="C357" i="16"/>
  <c r="G17" i="15" s="1"/>
  <c r="C358" i="16"/>
  <c r="G18" i="15" s="1"/>
  <c r="I136" i="16"/>
  <c r="I17" i="5" s="1"/>
  <c r="I153" i="16"/>
  <c r="I34" i="5" s="1"/>
  <c r="C314" i="16"/>
  <c r="C14" i="9" s="1"/>
  <c r="C317" i="16"/>
  <c r="C17" i="9" s="1"/>
  <c r="E312" i="16"/>
  <c r="E12" i="9" s="1"/>
  <c r="C319" i="16"/>
  <c r="C19" i="9" s="1"/>
  <c r="E313" i="16"/>
  <c r="E13" i="9" s="1"/>
  <c r="C66" i="16"/>
  <c r="C22" i="3" s="1"/>
  <c r="D66" i="16"/>
  <c r="D22" i="3" s="1"/>
  <c r="F76" i="16"/>
  <c r="F32" i="3" s="1"/>
  <c r="E87" i="16"/>
  <c r="E43" i="3" s="1"/>
  <c r="L65" i="16"/>
  <c r="L21" i="3" s="1"/>
  <c r="L73" i="16"/>
  <c r="L29" i="3" s="1"/>
  <c r="L81" i="16"/>
  <c r="L37" i="3" s="1"/>
  <c r="C67" i="16"/>
  <c r="C23" i="3" s="1"/>
  <c r="F73" i="16"/>
  <c r="F29" i="3" s="1"/>
  <c r="K64" i="16"/>
  <c r="K20" i="3" s="1"/>
  <c r="K81" i="16"/>
  <c r="K37" i="3" s="1"/>
  <c r="D61" i="16"/>
  <c r="D17" i="3" s="1"/>
  <c r="F71" i="16"/>
  <c r="F27" i="3" s="1"/>
  <c r="E82" i="16"/>
  <c r="E38" i="3" s="1"/>
  <c r="I62" i="16"/>
  <c r="I18" i="3" s="1"/>
  <c r="I70" i="16"/>
  <c r="I26" i="3" s="1"/>
  <c r="I78" i="16"/>
  <c r="I34" i="3" s="1"/>
  <c r="I86" i="16"/>
  <c r="I42" i="3" s="1"/>
  <c r="C80" i="16"/>
  <c r="C36" i="3" s="1"/>
  <c r="C64" i="16"/>
  <c r="C20" i="3" s="1"/>
  <c r="I85" i="16"/>
  <c r="I41" i="3" s="1"/>
  <c r="I81" i="16"/>
  <c r="I37" i="3" s="1"/>
  <c r="I77" i="16"/>
  <c r="I33" i="3" s="1"/>
  <c r="I73" i="16"/>
  <c r="I29" i="3" s="1"/>
  <c r="I69" i="16"/>
  <c r="I25" i="3" s="1"/>
  <c r="I65" i="16"/>
  <c r="I21" i="3" s="1"/>
  <c r="I61" i="16"/>
  <c r="I17" i="3" s="1"/>
  <c r="E86" i="16"/>
  <c r="E42" i="3" s="1"/>
  <c r="D81" i="16"/>
  <c r="D37" i="3" s="1"/>
  <c r="F75" i="16"/>
  <c r="F31" i="3" s="1"/>
  <c r="E70" i="16"/>
  <c r="E26" i="3" s="1"/>
  <c r="D65" i="16"/>
  <c r="D21" i="3" s="1"/>
  <c r="F59" i="16"/>
  <c r="F15" i="3" s="1"/>
  <c r="C62" i="16"/>
  <c r="C18" i="3" s="1"/>
  <c r="K79" i="16"/>
  <c r="K35" i="3" s="1"/>
  <c r="K71" i="16"/>
  <c r="K27" i="3" s="1"/>
  <c r="K63" i="16"/>
  <c r="K19" i="3" s="1"/>
  <c r="F81" i="16"/>
  <c r="F37" i="3" s="1"/>
  <c r="D71" i="16"/>
  <c r="D27" i="3" s="1"/>
  <c r="C79" i="16"/>
  <c r="C35" i="3" s="1"/>
  <c r="C63" i="16"/>
  <c r="C19" i="3" s="1"/>
  <c r="L84" i="16"/>
  <c r="L40" i="3" s="1"/>
  <c r="L80" i="16"/>
  <c r="L36" i="3" s="1"/>
  <c r="L76" i="16"/>
  <c r="L32" i="3" s="1"/>
  <c r="L72" i="16"/>
  <c r="L28" i="3" s="1"/>
  <c r="L68" i="16"/>
  <c r="L24" i="3" s="1"/>
  <c r="L64" i="16"/>
  <c r="L20" i="3" s="1"/>
  <c r="L60" i="16"/>
  <c r="L16" i="3" s="1"/>
  <c r="D86" i="16"/>
  <c r="D42" i="3" s="1"/>
  <c r="F80" i="16"/>
  <c r="F36" i="3" s="1"/>
  <c r="E75" i="16"/>
  <c r="E31" i="3" s="1"/>
  <c r="D70" i="16"/>
  <c r="D26" i="3" s="1"/>
  <c r="F64" i="16"/>
  <c r="F20" i="3" s="1"/>
  <c r="E59" i="16"/>
  <c r="E15" i="3" s="1"/>
  <c r="K87" i="16"/>
  <c r="K43" i="3" s="1"/>
  <c r="K80" i="16"/>
  <c r="K36" i="3" s="1"/>
  <c r="K72" i="16"/>
  <c r="K28" i="3" s="1"/>
  <c r="K65" i="16"/>
  <c r="K21" i="3" s="1"/>
  <c r="D87" i="16"/>
  <c r="D43" i="3" s="1"/>
  <c r="F77" i="16"/>
  <c r="F33" i="3" s="1"/>
  <c r="J85" i="16"/>
  <c r="J41" i="3" s="1"/>
  <c r="J69" i="16"/>
  <c r="J25" i="3" s="1"/>
  <c r="E81" i="16"/>
  <c r="E37" i="3" s="1"/>
  <c r="F65" i="16"/>
  <c r="F21" i="3" s="1"/>
  <c r="J87" i="16"/>
  <c r="J43" i="3" s="1"/>
  <c r="J59" i="16"/>
  <c r="J15" i="3" s="1"/>
  <c r="D59" i="16"/>
  <c r="D15" i="3" s="1"/>
  <c r="J66" i="16"/>
  <c r="J22" i="3" s="1"/>
  <c r="C77" i="16"/>
  <c r="C33" i="3" s="1"/>
  <c r="J76" i="16"/>
  <c r="J32" i="3" s="1"/>
  <c r="J60" i="16"/>
  <c r="J16" i="3" s="1"/>
  <c r="F70" i="16"/>
  <c r="F26" i="3" s="1"/>
  <c r="C88" i="16"/>
  <c r="C44" i="3" s="1"/>
  <c r="C72" i="16"/>
  <c r="C28" i="3" s="1"/>
  <c r="I87" i="16"/>
  <c r="I43" i="3" s="1"/>
  <c r="I83" i="16"/>
  <c r="I39" i="3" s="1"/>
  <c r="I79" i="16"/>
  <c r="I35" i="3" s="1"/>
  <c r="I75" i="16"/>
  <c r="I31" i="3" s="1"/>
  <c r="I71" i="16"/>
  <c r="I27" i="3" s="1"/>
  <c r="I67" i="16"/>
  <c r="I23" i="3" s="1"/>
  <c r="I63" i="16"/>
  <c r="I19" i="3" s="1"/>
  <c r="I59" i="16"/>
  <c r="I15" i="3" s="1"/>
  <c r="F83" i="16"/>
  <c r="F39" i="3" s="1"/>
  <c r="E78" i="16"/>
  <c r="E34" i="3" s="1"/>
  <c r="D73" i="16"/>
  <c r="D29" i="3" s="1"/>
  <c r="F67" i="16"/>
  <c r="F23" i="3" s="1"/>
  <c r="E62" i="16"/>
  <c r="E18" i="3" s="1"/>
  <c r="C78" i="16"/>
  <c r="C34" i="3" s="1"/>
  <c r="K84" i="16"/>
  <c r="K40" i="3" s="1"/>
  <c r="K75" i="16"/>
  <c r="K31" i="3" s="1"/>
  <c r="K66" i="16"/>
  <c r="K22" i="3" s="1"/>
  <c r="E88" i="16"/>
  <c r="E44" i="3" s="1"/>
  <c r="E76" i="16"/>
  <c r="E32" i="3" s="1"/>
  <c r="C87" i="16"/>
  <c r="C43" i="3" s="1"/>
  <c r="C71" i="16"/>
  <c r="C27" i="3" s="1"/>
  <c r="L86" i="16"/>
  <c r="L42" i="3" s="1"/>
  <c r="L82" i="16"/>
  <c r="L38" i="3" s="1"/>
  <c r="L78" i="16"/>
  <c r="L34" i="3" s="1"/>
  <c r="L74" i="16"/>
  <c r="L30" i="3" s="1"/>
  <c r="L70" i="16"/>
  <c r="L26" i="3" s="1"/>
  <c r="L66" i="16"/>
  <c r="L22" i="3" s="1"/>
  <c r="L62" i="16"/>
  <c r="L18" i="3" s="1"/>
  <c r="F88" i="16"/>
  <c r="F44" i="3" s="1"/>
  <c r="E83" i="16"/>
  <c r="E39" i="3" s="1"/>
  <c r="D78" i="16"/>
  <c r="D34" i="3" s="1"/>
  <c r="F72" i="16"/>
  <c r="F28" i="3" s="1"/>
  <c r="E67" i="16"/>
  <c r="E23" i="3" s="1"/>
  <c r="D62" i="16"/>
  <c r="D18" i="3" s="1"/>
  <c r="C74" i="16"/>
  <c r="C30" i="3" s="1"/>
  <c r="K83" i="16"/>
  <c r="K39" i="3" s="1"/>
  <c r="K76" i="16"/>
  <c r="K32" i="3" s="1"/>
  <c r="K68" i="16"/>
  <c r="K24" i="3" s="1"/>
  <c r="K60" i="16"/>
  <c r="K16" i="3" s="1"/>
  <c r="D83" i="16"/>
  <c r="D39" i="3" s="1"/>
  <c r="C81" i="16"/>
  <c r="C37" i="3" s="1"/>
  <c r="J77" i="16"/>
  <c r="J33" i="3" s="1"/>
  <c r="J61" i="16"/>
  <c r="J17" i="3" s="1"/>
  <c r="D72" i="16"/>
  <c r="D28" i="3" s="1"/>
  <c r="E60" i="16"/>
  <c r="E16" i="3" s="1"/>
  <c r="J71" i="16"/>
  <c r="J27" i="3" s="1"/>
  <c r="F69" i="16"/>
  <c r="F25" i="3" s="1"/>
  <c r="J82" i="16"/>
  <c r="J38" i="3" s="1"/>
  <c r="E72" i="16"/>
  <c r="E28" i="3" s="1"/>
  <c r="J84" i="16"/>
  <c r="J40" i="3" s="1"/>
  <c r="J68" i="16"/>
  <c r="J24" i="3" s="1"/>
  <c r="D217" i="16"/>
  <c r="D24" i="8" s="1"/>
  <c r="L213" i="16"/>
  <c r="L20" i="8" s="1"/>
  <c r="D212" i="16"/>
  <c r="D19" i="8" s="1"/>
  <c r="E217" i="16"/>
  <c r="E24" i="8" s="1"/>
  <c r="E212" i="16"/>
  <c r="E19" i="8" s="1"/>
  <c r="B206" i="16"/>
  <c r="D221" i="16" s="1"/>
  <c r="D28" i="8" s="1"/>
  <c r="I5" i="3" l="1"/>
  <c r="P57" i="16"/>
  <c r="P13" i="3" s="1"/>
  <c r="E151" i="16"/>
  <c r="E32" i="5" s="1"/>
  <c r="I134" i="16"/>
  <c r="I15" i="5" s="1"/>
  <c r="E145" i="16"/>
  <c r="E26" i="5" s="1"/>
  <c r="I147" i="16"/>
  <c r="I28" i="5" s="1"/>
  <c r="E141" i="16"/>
  <c r="E22" i="5" s="1"/>
  <c r="F332" i="16"/>
  <c r="F32" i="9" s="1"/>
  <c r="I141" i="16"/>
  <c r="I22" i="5" s="1"/>
  <c r="E159" i="16"/>
  <c r="E40" i="5" s="1"/>
  <c r="E154" i="16"/>
  <c r="E35" i="5" s="1"/>
  <c r="I148" i="16"/>
  <c r="I29" i="5" s="1"/>
  <c r="I139" i="16"/>
  <c r="I20" i="5" s="1"/>
  <c r="E156" i="16"/>
  <c r="E37" i="5" s="1"/>
  <c r="I151" i="16"/>
  <c r="I32" i="5" s="1"/>
  <c r="G326" i="16"/>
  <c r="G26" i="9" s="1"/>
  <c r="I138" i="16"/>
  <c r="I19" i="5" s="1"/>
  <c r="I6" i="5"/>
  <c r="G325" i="16"/>
  <c r="G25" i="9" s="1"/>
  <c r="G331" i="16"/>
  <c r="G31" i="9" s="1"/>
  <c r="G330" i="16"/>
  <c r="G30" i="9" s="1"/>
  <c r="G329" i="16"/>
  <c r="G29" i="9" s="1"/>
  <c r="G324" i="16"/>
  <c r="G24" i="9" s="1"/>
  <c r="G332" i="16"/>
  <c r="G32" i="9" s="1"/>
  <c r="J88" i="16"/>
  <c r="J44" i="3" s="1"/>
  <c r="K88" i="16"/>
  <c r="K44" i="3" s="1"/>
  <c r="I88" i="16"/>
  <c r="I44" i="3" s="1"/>
  <c r="L88" i="16"/>
  <c r="L44" i="3" s="1"/>
  <c r="K19" i="16"/>
  <c r="K10" i="2" s="1"/>
  <c r="B10" i="16"/>
  <c r="C13" i="16" s="1"/>
  <c r="C27" i="16" s="1"/>
  <c r="F39" i="16"/>
  <c r="F30" i="2" s="1"/>
  <c r="C31" i="16"/>
  <c r="C22" i="2" s="1"/>
  <c r="D44" i="16"/>
  <c r="D35" i="2" s="1"/>
  <c r="G44" i="16"/>
  <c r="G35" i="2" s="1"/>
  <c r="C36" i="16"/>
  <c r="C27" i="2" s="1"/>
  <c r="C38" i="16"/>
  <c r="C29" i="2" s="1"/>
  <c r="D31" i="16"/>
  <c r="D22" i="2" s="1"/>
  <c r="G38" i="16"/>
  <c r="G29" i="2" s="1"/>
  <c r="D38" i="16"/>
  <c r="D29" i="2" s="1"/>
  <c r="G43" i="16"/>
  <c r="G34" i="2" s="1"/>
  <c r="C39" i="16"/>
  <c r="C30" i="2" s="1"/>
  <c r="F38" i="16"/>
  <c r="F29" i="2" s="1"/>
  <c r="C44" i="16"/>
  <c r="C35" i="2" s="1"/>
  <c r="F44" i="16"/>
  <c r="F35" i="2" s="1"/>
  <c r="G39" i="16"/>
  <c r="G30" i="2" s="1"/>
  <c r="F37" i="16"/>
  <c r="F28" i="2" s="1"/>
  <c r="D39" i="16"/>
  <c r="D30" i="2" s="1"/>
  <c r="F43" i="16"/>
  <c r="F34" i="2" s="1"/>
  <c r="F34" i="16"/>
  <c r="F25" i="2" s="1"/>
  <c r="C28" i="16"/>
  <c r="C19" i="2" s="1"/>
  <c r="D36" i="16"/>
  <c r="D27" i="2" s="1"/>
  <c r="G34" i="16"/>
  <c r="G25" i="2" s="1"/>
  <c r="H326" i="16"/>
  <c r="H26" i="9" s="1"/>
  <c r="D324" i="16"/>
  <c r="D24" i="9" s="1"/>
  <c r="D332" i="16"/>
  <c r="D32" i="9" s="1"/>
  <c r="H329" i="16"/>
  <c r="H29" i="9" s="1"/>
  <c r="E137" i="16"/>
  <c r="E18" i="5" s="1"/>
  <c r="E162" i="16"/>
  <c r="E43" i="5" s="1"/>
  <c r="I154" i="16"/>
  <c r="I35" i="5" s="1"/>
  <c r="I157" i="16"/>
  <c r="I38" i="5" s="1"/>
  <c r="E134" i="16"/>
  <c r="E15" i="5" s="1"/>
  <c r="I143" i="16"/>
  <c r="I24" i="5" s="1"/>
  <c r="E157" i="16"/>
  <c r="E38" i="5" s="1"/>
  <c r="E155" i="16"/>
  <c r="E36" i="5" s="1"/>
  <c r="E143" i="16"/>
  <c r="E24" i="5" s="1"/>
  <c r="E150" i="16"/>
  <c r="E31" i="5" s="1"/>
  <c r="I152" i="16"/>
  <c r="I33" i="5" s="1"/>
  <c r="I150" i="16"/>
  <c r="I31" i="5" s="1"/>
  <c r="I137" i="16"/>
  <c r="I18" i="5" s="1"/>
  <c r="E135" i="16"/>
  <c r="E16" i="5" s="1"/>
  <c r="I146" i="16"/>
  <c r="I27" i="5" s="1"/>
  <c r="L135" i="16"/>
  <c r="L16" i="5" s="1"/>
  <c r="H330" i="16"/>
  <c r="H30" i="9" s="1"/>
  <c r="H324" i="16"/>
  <c r="H24" i="9" s="1"/>
  <c r="H325" i="16"/>
  <c r="H25" i="9" s="1"/>
  <c r="E152" i="16"/>
  <c r="E33" i="5" s="1"/>
  <c r="E153" i="16"/>
  <c r="E34" i="5" s="1"/>
  <c r="E142" i="16"/>
  <c r="E23" i="5" s="1"/>
  <c r="E161" i="16"/>
  <c r="E42" i="5" s="1"/>
  <c r="I149" i="16"/>
  <c r="I30" i="5" s="1"/>
  <c r="I159" i="16"/>
  <c r="I40" i="5" s="1"/>
  <c r="I144" i="16"/>
  <c r="I25" i="5" s="1"/>
  <c r="I142" i="16"/>
  <c r="I23" i="5" s="1"/>
  <c r="E148" i="16"/>
  <c r="E29" i="5" s="1"/>
  <c r="E139" i="16"/>
  <c r="E20" i="5" s="1"/>
  <c r="E158" i="16"/>
  <c r="E39" i="5" s="1"/>
  <c r="I155" i="16"/>
  <c r="I36" i="5" s="1"/>
  <c r="I161" i="16"/>
  <c r="I42" i="5" s="1"/>
  <c r="L132" i="16"/>
  <c r="L13" i="5" s="1"/>
  <c r="H327" i="16"/>
  <c r="H27" i="9" s="1"/>
  <c r="H332" i="16"/>
  <c r="H32" i="9" s="1"/>
  <c r="E136" i="16"/>
  <c r="E17" i="5" s="1"/>
  <c r="I156" i="16"/>
  <c r="I37" i="5" s="1"/>
  <c r="E144" i="16"/>
  <c r="E25" i="5" s="1"/>
  <c r="E146" i="16"/>
  <c r="E27" i="5" s="1"/>
  <c r="E140" i="16"/>
  <c r="E21" i="5" s="1"/>
  <c r="I145" i="16"/>
  <c r="I26" i="5" s="1"/>
  <c r="I160" i="16"/>
  <c r="I41" i="5" s="1"/>
  <c r="I158" i="16"/>
  <c r="I39" i="5" s="1"/>
  <c r="I135" i="16"/>
  <c r="I16" i="5" s="1"/>
  <c r="E149" i="16"/>
  <c r="E30" i="5" s="1"/>
  <c r="E147" i="16"/>
  <c r="E28" i="5" s="1"/>
  <c r="E160" i="16"/>
  <c r="E41" i="5" s="1"/>
  <c r="E138" i="16"/>
  <c r="E19" i="5" s="1"/>
  <c r="L133" i="16"/>
  <c r="L14" i="5" s="1"/>
  <c r="H328" i="16"/>
  <c r="H28" i="9" s="1"/>
  <c r="D327" i="16"/>
  <c r="D27" i="9" s="1"/>
  <c r="D330" i="16"/>
  <c r="D30" i="9" s="1"/>
  <c r="D328" i="16"/>
  <c r="D28" i="9" s="1"/>
  <c r="B95" i="16"/>
  <c r="D329" i="16"/>
  <c r="D29" i="9" s="1"/>
  <c r="D325" i="16"/>
  <c r="D25" i="9" s="1"/>
  <c r="D326" i="16"/>
  <c r="D26" i="9" s="1"/>
  <c r="E330" i="16"/>
  <c r="E30" i="9" s="1"/>
  <c r="E331" i="16"/>
  <c r="E31" i="9" s="1"/>
  <c r="E329" i="16"/>
  <c r="E29" i="9" s="1"/>
  <c r="E328" i="16"/>
  <c r="E28" i="9" s="1"/>
  <c r="E327" i="16"/>
  <c r="E27" i="9" s="1"/>
  <c r="E324" i="16"/>
  <c r="E24" i="9" s="1"/>
  <c r="E325" i="16"/>
  <c r="E25" i="9" s="1"/>
  <c r="E332" i="16"/>
  <c r="E32" i="9" s="1"/>
  <c r="E326" i="16"/>
  <c r="E26" i="9" s="1"/>
  <c r="I212" i="16"/>
  <c r="D224" i="16"/>
  <c r="D31" i="8" s="1"/>
  <c r="D227" i="16"/>
  <c r="D34" i="8" s="1"/>
  <c r="D229" i="16"/>
  <c r="D36" i="8" s="1"/>
  <c r="D230" i="16"/>
  <c r="D37" i="8" s="1"/>
  <c r="D226" i="16"/>
  <c r="D33" i="8" s="1"/>
  <c r="D228" i="16"/>
  <c r="D35" i="8" s="1"/>
  <c r="D223" i="16"/>
  <c r="D30" i="8" s="1"/>
  <c r="D222" i="16"/>
  <c r="D29" i="8" s="1"/>
  <c r="D225" i="16"/>
  <c r="D32" i="8" s="1"/>
  <c r="L212" i="16"/>
  <c r="L19" i="8" s="1"/>
  <c r="M212" i="16"/>
  <c r="H19" i="8"/>
  <c r="K16" i="16" l="1"/>
  <c r="K7" i="2" s="1"/>
  <c r="G30" i="16"/>
  <c r="G21" i="2" s="1"/>
  <c r="D33" i="16"/>
  <c r="D24" i="2" s="1"/>
  <c r="F32" i="16"/>
  <c r="F23" i="2" s="1"/>
  <c r="F42" i="16"/>
  <c r="F33" i="2" s="1"/>
  <c r="C43" i="16"/>
  <c r="C34" i="2" s="1"/>
  <c r="F27" i="16"/>
  <c r="F18" i="2" s="1"/>
  <c r="D30" i="16"/>
  <c r="D21" i="2" s="1"/>
  <c r="C40" i="16"/>
  <c r="C31" i="2" s="1"/>
  <c r="D43" i="16"/>
  <c r="D34" i="2" s="1"/>
  <c r="F30" i="16"/>
  <c r="F21" i="2" s="1"/>
  <c r="F36" i="16"/>
  <c r="F27" i="2" s="1"/>
  <c r="F41" i="16"/>
  <c r="F32" i="2" s="1"/>
  <c r="F29" i="16"/>
  <c r="F20" i="2" s="1"/>
  <c r="D42" i="16"/>
  <c r="D33" i="2" s="1"/>
  <c r="D29" i="16"/>
  <c r="D20" i="2" s="1"/>
  <c r="C35" i="16"/>
  <c r="C26" i="2" s="1"/>
  <c r="G40" i="16"/>
  <c r="G31" i="2" s="1"/>
  <c r="G42" i="16"/>
  <c r="G33" i="2" s="1"/>
  <c r="C32" i="16"/>
  <c r="C23" i="2" s="1"/>
  <c r="G36" i="16"/>
  <c r="G27" i="2" s="1"/>
  <c r="C42" i="16"/>
  <c r="C33" i="2" s="1"/>
  <c r="G41" i="16"/>
  <c r="G32" i="2" s="1"/>
  <c r="G32" i="16"/>
  <c r="G23" i="2" s="1"/>
  <c r="F31" i="16"/>
  <c r="F22" i="2" s="1"/>
  <c r="G31" i="16"/>
  <c r="G22" i="2" s="1"/>
  <c r="C37" i="16"/>
  <c r="C28" i="2" s="1"/>
  <c r="C30" i="16"/>
  <c r="C21" i="2" s="1"/>
  <c r="C41" i="16"/>
  <c r="C32" i="2" s="1"/>
  <c r="F40" i="16"/>
  <c r="F31" i="2" s="1"/>
  <c r="D27" i="16"/>
  <c r="D18" i="2" s="1"/>
  <c r="D40" i="16"/>
  <c r="D31" i="2" s="1"/>
  <c r="C29" i="16"/>
  <c r="C20" i="2" s="1"/>
  <c r="D34" i="16"/>
  <c r="D25" i="2" s="1"/>
  <c r="F28" i="16"/>
  <c r="F19" i="2" s="1"/>
  <c r="D35" i="16"/>
  <c r="D26" i="2" s="1"/>
  <c r="F33" i="16"/>
  <c r="F24" i="2" s="1"/>
  <c r="G35" i="16"/>
  <c r="G26" i="2" s="1"/>
  <c r="C18" i="2"/>
  <c r="C106" i="16"/>
  <c r="C18" i="4" s="1"/>
  <c r="C109" i="16"/>
  <c r="C21" i="4" s="1"/>
  <c r="C113" i="16"/>
  <c r="C25" i="4" s="1"/>
  <c r="C112" i="16"/>
  <c r="C24" i="4" s="1"/>
  <c r="C105" i="16"/>
  <c r="C17" i="4" s="1"/>
  <c r="C107" i="16"/>
  <c r="C19" i="4" s="1"/>
  <c r="C108" i="16"/>
  <c r="C20" i="4" s="1"/>
  <c r="C111" i="16"/>
  <c r="C23" i="4" s="1"/>
  <c r="F108" i="16"/>
  <c r="F20" i="4" s="1"/>
  <c r="C110" i="16"/>
  <c r="C22" i="4" s="1"/>
  <c r="I218" i="16"/>
  <c r="I222" i="16" s="1"/>
  <c r="I29" i="8" s="1"/>
  <c r="I19" i="8"/>
  <c r="M229" i="16"/>
  <c r="M19" i="8"/>
  <c r="I221" i="16" l="1"/>
  <c r="I28" i="8" s="1"/>
  <c r="I224" i="16"/>
  <c r="I31" i="8" s="1"/>
  <c r="I25" i="8"/>
  <c r="I220" i="16"/>
  <c r="I27" i="8" s="1"/>
  <c r="I219" i="16"/>
  <c r="I26" i="8" s="1"/>
  <c r="I226" i="16"/>
  <c r="I33" i="8" s="1"/>
  <c r="I223" i="16"/>
  <c r="I30" i="8" s="1"/>
  <c r="I225" i="16"/>
  <c r="I32" i="8" s="1"/>
  <c r="M237" i="16"/>
  <c r="M44" i="8" s="1"/>
  <c r="M232" i="16"/>
  <c r="M39" i="8" s="1"/>
  <c r="M230" i="16"/>
  <c r="M37" i="8" s="1"/>
  <c r="M235" i="16"/>
  <c r="M42" i="8" s="1"/>
  <c r="M231" i="16"/>
  <c r="M38" i="8" s="1"/>
  <c r="M234" i="16"/>
  <c r="M41" i="8" s="1"/>
  <c r="M233" i="16"/>
  <c r="M40" i="8" s="1"/>
  <c r="M236" i="16"/>
  <c r="M43" i="8" s="1"/>
  <c r="M36" i="8"/>
</calcChain>
</file>

<file path=xl/sharedStrings.xml><?xml version="1.0" encoding="utf-8"?>
<sst xmlns="http://schemas.openxmlformats.org/spreadsheetml/2006/main" count="3134" uniqueCount="806">
  <si>
    <t>Unit Cost for Materials</t>
  </si>
  <si>
    <t>Back to Main Menu</t>
  </si>
  <si>
    <t>Fabric</t>
  </si>
  <si>
    <t>Size (sq. in.)</t>
  </si>
  <si>
    <t>Material</t>
  </si>
  <si>
    <t>Cost</t>
  </si>
  <si>
    <t>0 - 100:</t>
  </si>
  <si>
    <t>2001-2100:</t>
  </si>
  <si>
    <t>4001-4100:</t>
  </si>
  <si>
    <t>Blocker:</t>
  </si>
  <si>
    <t>101 - 200:</t>
  </si>
  <si>
    <t>2101-2200:</t>
  </si>
  <si>
    <t>4101-4200:</t>
  </si>
  <si>
    <t>Single:</t>
  </si>
  <si>
    <t>201 - 300:</t>
  </si>
  <si>
    <t>2201-2300:</t>
  </si>
  <si>
    <t>4201-4300:</t>
  </si>
  <si>
    <t>Single w/ Blocker:</t>
  </si>
  <si>
    <t>301 - 400:</t>
  </si>
  <si>
    <t>2301-2400:</t>
  </si>
  <si>
    <t>4301-4400:</t>
  </si>
  <si>
    <t>Double:</t>
  </si>
  <si>
    <t>401 - 500:</t>
  </si>
  <si>
    <t>2401-2500:</t>
  </si>
  <si>
    <t>4401-4500:</t>
  </si>
  <si>
    <t>N/A</t>
  </si>
  <si>
    <t>Double w/ Blocker:</t>
  </si>
  <si>
    <t>501 - 600:</t>
  </si>
  <si>
    <t>2501-2600:</t>
  </si>
  <si>
    <t>4501-4600:</t>
  </si>
  <si>
    <t>Custom*:</t>
  </si>
  <si>
    <t>601 - 700:</t>
  </si>
  <si>
    <t>2601-2700:</t>
  </si>
  <si>
    <t>4601-4700:</t>
  </si>
  <si>
    <t>*Do not edit "Custom" cost</t>
  </si>
  <si>
    <t>701 - 800:</t>
  </si>
  <si>
    <t>2701-2800:</t>
  </si>
  <si>
    <t>4701-4800:</t>
  </si>
  <si>
    <t>801 - 900:</t>
  </si>
  <si>
    <t>2801-2900:</t>
  </si>
  <si>
    <t>4801-4900:</t>
  </si>
  <si>
    <t>901 - 1000:</t>
  </si>
  <si>
    <t>2901-3000:</t>
  </si>
  <si>
    <t>4901-5000:</t>
  </si>
  <si>
    <t>1001-1100:</t>
  </si>
  <si>
    <t>3001-3100:</t>
  </si>
  <si>
    <t>5001-5100:</t>
  </si>
  <si>
    <t>1101-1200:</t>
  </si>
  <si>
    <t>3101-3200:</t>
  </si>
  <si>
    <t>5101-5200:</t>
  </si>
  <si>
    <t>1201-1300:</t>
  </si>
  <si>
    <t>3201-3300:</t>
  </si>
  <si>
    <t>5201-5300:</t>
  </si>
  <si>
    <t>1301-1400:</t>
  </si>
  <si>
    <t>3301-3400:</t>
  </si>
  <si>
    <t>5301-5400:</t>
  </si>
  <si>
    <t>1401-1500:</t>
  </si>
  <si>
    <t>3401-3500:</t>
  </si>
  <si>
    <t>5401-5500:</t>
  </si>
  <si>
    <t>1501-1600:</t>
  </si>
  <si>
    <t>3501-3600:</t>
  </si>
  <si>
    <t>5501-5600:</t>
  </si>
  <si>
    <t>1601-1700:</t>
  </si>
  <si>
    <t>3601-3700:</t>
  </si>
  <si>
    <t>5601-5700:</t>
  </si>
  <si>
    <t>1701-1800:</t>
  </si>
  <si>
    <t>3701-3800:</t>
  </si>
  <si>
    <t>5701-5800:</t>
  </si>
  <si>
    <t>1801-1900:</t>
  </si>
  <si>
    <t>3801-3900:</t>
  </si>
  <si>
    <t>5801-5900:</t>
  </si>
  <si>
    <t>1901-2000:</t>
  </si>
  <si>
    <t>3901-4000:</t>
  </si>
  <si>
    <t>5901-6000:</t>
  </si>
  <si>
    <t>Single Sided</t>
  </si>
  <si>
    <t>Double Sided</t>
  </si>
  <si>
    <t>Color</t>
  </si>
  <si>
    <t>White</t>
  </si>
  <si>
    <t>Black</t>
  </si>
  <si>
    <t>Silver</t>
  </si>
  <si>
    <t>Custom (Single)*:</t>
  </si>
  <si>
    <t>Clear</t>
  </si>
  <si>
    <t>Supplied:</t>
  </si>
  <si>
    <t>Non-White</t>
  </si>
  <si>
    <t>Frosted</t>
  </si>
  <si>
    <t>1st Surface</t>
  </si>
  <si>
    <t>2nd Surface</t>
  </si>
  <si>
    <t>Predyed Skins</t>
  </si>
  <si>
    <t>Frame</t>
  </si>
  <si>
    <t>1x3 Flat:</t>
  </si>
  <si>
    <t>1x3:</t>
  </si>
  <si>
    <t>2x2 Flat:</t>
  </si>
  <si>
    <t>2x2:</t>
  </si>
  <si>
    <t>2x3 Flat:</t>
  </si>
  <si>
    <t>2x3:</t>
  </si>
  <si>
    <t>3x3 Flat:</t>
  </si>
  <si>
    <t>3x3:</t>
  </si>
  <si>
    <t>4x3 Flat:</t>
  </si>
  <si>
    <t>4x3:</t>
  </si>
  <si>
    <t>2x2 Diamond:</t>
  </si>
  <si>
    <t>4x4 Flat:</t>
  </si>
  <si>
    <t>4x4:</t>
  </si>
  <si>
    <t>3-Quad Pyramid:</t>
  </si>
  <si>
    <t>5-Quad X:</t>
  </si>
  <si>
    <t>Argyle:</t>
  </si>
  <si>
    <t>10-Quad Pyramid:</t>
  </si>
  <si>
    <t>1001 - 1100:</t>
  </si>
  <si>
    <t>Projector:</t>
  </si>
  <si>
    <t>1101 - 1200:</t>
  </si>
  <si>
    <t>1201 - 1300:</t>
  </si>
  <si>
    <t>1301 - 1400:</t>
  </si>
  <si>
    <t>1401 - 1500:</t>
  </si>
  <si>
    <t>1501 - 1600:</t>
  </si>
  <si>
    <t>1601 - 1700:</t>
  </si>
  <si>
    <t>1701 - 1800:</t>
  </si>
  <si>
    <t>1801 - 1900:</t>
  </si>
  <si>
    <t>1901 - 2000:</t>
  </si>
  <si>
    <t>Triangle Flat:</t>
  </si>
  <si>
    <t>2001 - 2100:</t>
  </si>
  <si>
    <t>Triangle Thread:</t>
  </si>
  <si>
    <t>2101 - 2200:</t>
  </si>
  <si>
    <t>Star:</t>
  </si>
  <si>
    <t>2201 - 2300:</t>
  </si>
  <si>
    <t>Hex:</t>
  </si>
  <si>
    <t>2301 - 2400:</t>
  </si>
  <si>
    <t>Plus:</t>
  </si>
  <si>
    <t>2401 - 2500:</t>
  </si>
  <si>
    <t>Custom SEG</t>
  </si>
  <si>
    <t>Frames</t>
  </si>
  <si>
    <t>Unprinted</t>
  </si>
  <si>
    <t>Printed</t>
  </si>
  <si>
    <t>Most Fabric:</t>
  </si>
  <si>
    <t>Corner Bracket:</t>
  </si>
  <si>
    <t>Lateral Joint:</t>
  </si>
  <si>
    <t>Corner Brace:</t>
  </si>
  <si>
    <t>3x5:</t>
  </si>
  <si>
    <t>Hanger:</t>
  </si>
  <si>
    <t>Wall Hanging Bracket:</t>
  </si>
  <si>
    <t>Horizontal Foot:</t>
  </si>
  <si>
    <t>Round Base:</t>
  </si>
  <si>
    <t>6-Quad Pyramid:</t>
  </si>
  <si>
    <t>Narrow Angle Bracket:</t>
  </si>
  <si>
    <t>Wide Angle Bracket:</t>
  </si>
  <si>
    <t>Base Fastener:</t>
  </si>
  <si>
    <t>End Cap:</t>
  </si>
  <si>
    <t>Linking Kit:</t>
  </si>
  <si>
    <t>Unprinted:</t>
  </si>
  <si>
    <t>FORMULAS (DO NOT ALTER!)</t>
  </si>
  <si>
    <t>Graphic width</t>
  </si>
  <si>
    <t>Graphic height</t>
  </si>
  <si>
    <t>Top</t>
  </si>
  <si>
    <t>Bottom</t>
  </si>
  <si>
    <t>Left</t>
  </si>
  <si>
    <t>Right</t>
  </si>
  <si>
    <t>None</t>
  </si>
  <si>
    <t>Hem</t>
  </si>
  <si>
    <t>Pole Pocket</t>
  </si>
  <si>
    <t>Pole Diameter</t>
  </si>
  <si>
    <t xml:space="preserve"> </t>
  </si>
  <si>
    <t>Square pole diameter:</t>
  </si>
  <si>
    <t>Single Sided with Blocker</t>
  </si>
  <si>
    <t>Double Sided with Blocker</t>
  </si>
  <si>
    <t>Custom</t>
  </si>
  <si>
    <t>1/8"</t>
  </si>
  <si>
    <t>1/4"</t>
  </si>
  <si>
    <t>1/2"</t>
  </si>
  <si>
    <t>Supplied</t>
  </si>
  <si>
    <t>Size              (sq. in.)</t>
  </si>
  <si>
    <t>Size       (sq. in.)</t>
  </si>
  <si>
    <t>Custom:</t>
  </si>
  <si>
    <t>0' - 200':</t>
  </si>
  <si>
    <t>201' - 400':</t>
  </si>
  <si>
    <t>401' - 600':</t>
  </si>
  <si>
    <t>601' - 800':</t>
  </si>
  <si>
    <t>801+':</t>
  </si>
  <si>
    <t>Snap skins</t>
  </si>
  <si>
    <t>Predyed skins</t>
  </si>
  <si>
    <t>1x1 (All):</t>
  </si>
  <si>
    <t>1x2 (All):</t>
  </si>
  <si>
    <t>1x3 (All):</t>
  </si>
  <si>
    <t>2x1 (All):</t>
  </si>
  <si>
    <t>3x1 (All):</t>
  </si>
  <si>
    <t>3x2 Flat:</t>
  </si>
  <si>
    <t>4x1 (All):</t>
  </si>
  <si>
    <t>4x2 Flat:</t>
  </si>
  <si>
    <t>Final to Open:</t>
  </si>
  <si>
    <t>Open to Final:</t>
  </si>
  <si>
    <t>Most Fabric (Unprinted):</t>
  </si>
  <si>
    <t>Frame Only:</t>
  </si>
  <si>
    <t>Custom (Enter cost):</t>
  </si>
  <si>
    <t>Width</t>
  </si>
  <si>
    <t>Height</t>
  </si>
  <si>
    <t>Depth</t>
  </si>
  <si>
    <t>Rectangle</t>
  </si>
  <si>
    <t>Circle</t>
  </si>
  <si>
    <t>Econ Area</t>
  </si>
  <si>
    <t>Full Area</t>
  </si>
  <si>
    <t>Fitted Area</t>
  </si>
  <si>
    <t>Drape</t>
  </si>
  <si>
    <t>Fitted</t>
  </si>
  <si>
    <t>Drape (Full):</t>
  </si>
  <si>
    <t>Drape (Economy):</t>
  </si>
  <si>
    <t>Fitted (Top):</t>
  </si>
  <si>
    <t>Fitted (Side):</t>
  </si>
  <si>
    <t>Drape:</t>
  </si>
  <si>
    <t>Drape (Econ)</t>
  </si>
  <si>
    <t>Drape (Full)</t>
  </si>
  <si>
    <t>Training</t>
  </si>
  <si>
    <t>in. to sq. ft.</t>
  </si>
  <si>
    <t>Pole pocket</t>
  </si>
  <si>
    <t>ft. to sq. in.</t>
  </si>
  <si>
    <t>Pole diameter (circle)</t>
  </si>
  <si>
    <t>Pole diameter (rectangle)</t>
  </si>
  <si>
    <t>2D Table throw - Full</t>
  </si>
  <si>
    <t>2D Table throw - Econ</t>
  </si>
  <si>
    <t>PRICING/SIZING CALCULATOR</t>
  </si>
  <si>
    <t>Processes</t>
  </si>
  <si>
    <t>SEG</t>
  </si>
  <si>
    <t>Unit Cost for Materials (Updating use only)</t>
  </si>
  <si>
    <t>FABRIC PRICING ($/sq. ft.)</t>
  </si>
  <si>
    <t>Graphic</t>
  </si>
  <si>
    <t>Width (in.):</t>
  </si>
  <si>
    <t>Width (ft.):</t>
  </si>
  <si>
    <t>Height (in.):</t>
  </si>
  <si>
    <t>Height (ft.):</t>
  </si>
  <si>
    <t>Select</t>
  </si>
  <si>
    <t>Edges</t>
  </si>
  <si>
    <t>Top:</t>
  </si>
  <si>
    <t>Top (in.):</t>
  </si>
  <si>
    <t>Bottom:</t>
  </si>
  <si>
    <t>Bottom (in.):</t>
  </si>
  <si>
    <t>Left:</t>
  </si>
  <si>
    <t>Left (in.):</t>
  </si>
  <si>
    <t>Right:</t>
  </si>
  <si>
    <t>Right (in.):</t>
  </si>
  <si>
    <t>Printed:</t>
  </si>
  <si>
    <t>Custom Material</t>
  </si>
  <si>
    <t>Sided:</t>
  </si>
  <si>
    <t>Custom Material Cost:</t>
  </si>
  <si>
    <t>Custom Material Price:</t>
  </si>
  <si>
    <t>Discount</t>
  </si>
  <si>
    <t>Percentage:</t>
  </si>
  <si>
    <t>Square Pole Diameter</t>
  </si>
  <si>
    <t>Width (Enter value):</t>
  </si>
  <si>
    <t>Height (Enter value):</t>
  </si>
  <si>
    <t>Pole Diameter:</t>
  </si>
  <si>
    <t>Beading/Pole Pocket Reference Chart</t>
  </si>
  <si>
    <t>Beading</t>
  </si>
  <si>
    <t>Diameter</t>
  </si>
  <si>
    <t>0.135"</t>
  </si>
  <si>
    <t>0.75"</t>
  </si>
  <si>
    <t>0.150"</t>
  </si>
  <si>
    <t>1"</t>
  </si>
  <si>
    <t>0.165"</t>
  </si>
  <si>
    <t>1.125"</t>
  </si>
  <si>
    <t>0.175"</t>
  </si>
  <si>
    <t>0.190"</t>
  </si>
  <si>
    <t>0.195"</t>
  </si>
  <si>
    <t>0.220"</t>
  </si>
  <si>
    <t>1.25"</t>
  </si>
  <si>
    <t>0.240"</t>
  </si>
  <si>
    <t>0.3750"</t>
  </si>
  <si>
    <t>1.5"</t>
  </si>
  <si>
    <t>0.4375"</t>
  </si>
  <si>
    <t>2"</t>
  </si>
  <si>
    <t>0.493"</t>
  </si>
  <si>
    <t>0.188"</t>
  </si>
  <si>
    <t>Hardware</t>
  </si>
  <si>
    <t>Size</t>
  </si>
  <si>
    <t>Price</t>
  </si>
  <si>
    <t>Formula to convert inches to sq. ft.</t>
  </si>
  <si>
    <t>Formula to add hem</t>
  </si>
  <si>
    <t>Enter width (in.):</t>
  </si>
  <si>
    <t>*** Note: Top edge will be used in example ***</t>
  </si>
  <si>
    <t>Enter height (in.):</t>
  </si>
  <si>
    <t>Enter cost ($/sq. ft.):</t>
  </si>
  <si>
    <t>Width (in.) * Height (in.):</t>
  </si>
  <si>
    <t>Area (sq. in.) / 144" (convert to sq. ft.):</t>
  </si>
  <si>
    <t>Add 0.5" to side(s):</t>
  </si>
  <si>
    <t>Area (sq. ft.) * Cost:</t>
  </si>
  <si>
    <t>Area (in.) / 144" (convert to sq. ft.):</t>
  </si>
  <si>
    <t xml:space="preserve">Formula to add pole pocket </t>
  </si>
  <si>
    <t>Enter pole pocket size (in.):</t>
  </si>
  <si>
    <t>Formula to convert feet to sq. in.</t>
  </si>
  <si>
    <t>Add pole pocket size + 0.5":</t>
  </si>
  <si>
    <t>Enter width (ft.):</t>
  </si>
  <si>
    <t>Enter height (ft.):</t>
  </si>
  <si>
    <t>Enter cost ($/sq. in.):</t>
  </si>
  <si>
    <t>Width (ft.) * Height (ft.):</t>
  </si>
  <si>
    <t>Area (sq. ft.) * 144" (convert to sq. in.):</t>
  </si>
  <si>
    <t>Formula to add pole pocket by circular pole diameter:</t>
  </si>
  <si>
    <t>Area (sq. in.) * Cost:</t>
  </si>
  <si>
    <t>Enter pole diameter size (in.):</t>
  </si>
  <si>
    <t>Calculate (pole diameter size * 2) + 0.5":</t>
  </si>
  <si>
    <t>Formula to add pole pocket by rectangular pole diameter:</t>
  </si>
  <si>
    <t>†Pythagorean theorem</t>
  </si>
  <si>
    <t>Hypotenuse</t>
  </si>
  <si>
    <t>Enter pole thickness (width in.):</t>
  </si>
  <si>
    <t>Adjacent</t>
  </si>
  <si>
    <t>Formula to calculate Print/Final from Open/Live</t>
  </si>
  <si>
    <t>Enter pole thickness (height in.):</t>
  </si>
  <si>
    <t>Opposite</t>
  </si>
  <si>
    <t>Open/Live width (in.):</t>
  </si>
  <si>
    <t>Calculate (hypotenuse† * 2) + 0.5"; round up to 0.25" increments:</t>
  </si>
  <si>
    <t>Hypotenuse = √(Adjacent² + Opposite²)</t>
  </si>
  <si>
    <t>Open/Live height (in.):</t>
  </si>
  <si>
    <t>Open/Live dimensions + [Silicone width (0.986") * 2]:</t>
  </si>
  <si>
    <t>Formula to calculate Open/Live from Print/Final</t>
  </si>
  <si>
    <t>Print/Final width (in.):</t>
  </si>
  <si>
    <t>Print/Final height (in.):</t>
  </si>
  <si>
    <t>Print/Final dimensions - [Silicone width (0.986") * 2]:</t>
  </si>
  <si>
    <t>Formula to calculate 2D Draped Table Throw dimensions - Full</t>
  </si>
  <si>
    <t>Formula to calculate Fitted Table Throw dimensions - Sides</t>
  </si>
  <si>
    <t>3D Table Throw dimensions</t>
  </si>
  <si>
    <t>Enter table width (in.):</t>
  </si>
  <si>
    <t>Enter table height (in.):</t>
  </si>
  <si>
    <t>Enter table depth (in.):</t>
  </si>
  <si>
    <t>ECONOMY (6" LIP)</t>
  </si>
  <si>
    <t>Area of 2D table throw (sq. in.)  * Cost:</t>
  </si>
  <si>
    <t>Formula to calculate Draped Circle Table Throw dimensions</t>
  </si>
  <si>
    <t>Enter table diameter (in.):</t>
  </si>
  <si>
    <t>TABLE HEIGHT</t>
  </si>
  <si>
    <t>TABLE DEPTH</t>
  </si>
  <si>
    <t>TABLE TOP</t>
  </si>
  <si>
    <t>TABLE WIDTH</t>
  </si>
  <si>
    <t>TABLE SIDE</t>
  </si>
  <si>
    <t>Formula to calculate 2D Draped Table Throw dimensions - Economy</t>
  </si>
  <si>
    <t>Formula to calculate Fitted Circle Table Throw dimensions - Top</t>
  </si>
  <si>
    <t>(Table Height x 2) + Table Width x Table Height + Table Depth + 6":</t>
  </si>
  <si>
    <t>TABLE FRONT</t>
  </si>
  <si>
    <t>Formula to calculate Fitted Circle Table Throw dimensions - Side</t>
  </si>
  <si>
    <t>Formula to calculate Draped Table Throw front print size - Full</t>
  </si>
  <si>
    <t>2D Table Throw dimensions</t>
  </si>
  <si>
    <t>Formula to calculate Draped Table Throw back print size - Full</t>
  </si>
  <si>
    <t>THROW WIDTH</t>
  </si>
  <si>
    <t>THROW HEIGHT (ECONOMY - 6" LIP)</t>
  </si>
  <si>
    <t>Formula to calculate Draped Table Throw front print size - Economy</t>
  </si>
  <si>
    <t>THROW HEIGHT (FULL)</t>
  </si>
  <si>
    <t>Formula to calculate Draped Table Throw back print size - Economy</t>
  </si>
  <si>
    <t>Formula to calculate Fitted Table Throw dimensions - Top</t>
  </si>
  <si>
    <t>Discount (%):</t>
  </si>
  <si>
    <t>Discount ($):</t>
  </si>
  <si>
    <t>*** Note: Tiered pricing is price per panel. Maximum area for pricing is 6000 sq. in. ***</t>
  </si>
  <si>
    <t>Custom Material Cost: (Single Sided)</t>
  </si>
  <si>
    <t>Custom Material Cost: (Double Sided)</t>
  </si>
  <si>
    <t>*** Note: Minimum area for pricing is 1 sq. ft. ***</t>
  </si>
  <si>
    <t>*** Note: Tiered pricing is price per graphic. Maximum area for pricing is 2500 sq. in. ***</t>
  </si>
  <si>
    <t>1st Sur</t>
  </si>
  <si>
    <t>2nd sur</t>
  </si>
  <si>
    <t>Printed Skins</t>
  </si>
  <si>
    <t>Qty</t>
  </si>
  <si>
    <t>Pre-Dyed Skins</t>
  </si>
  <si>
    <t xml:space="preserve"> *** Individual Price *** </t>
  </si>
  <si>
    <t>1x3 Frame:</t>
  </si>
  <si>
    <t>2x2 Frame:</t>
  </si>
  <si>
    <t>2x3 Frame:</t>
  </si>
  <si>
    <t xml:space="preserve"> *** Kit Price *** </t>
  </si>
  <si>
    <t>3x3 Frame:</t>
  </si>
  <si>
    <t>4x3 Frame:</t>
  </si>
  <si>
    <t>3x5 Frame:</t>
  </si>
  <si>
    <t>4x4 Frame:</t>
  </si>
  <si>
    <t>10 Quad Pyramid:</t>
  </si>
  <si>
    <t>Fixed Price:</t>
  </si>
  <si>
    <t>Final Graphic Size to Open/Live Graphic Size</t>
  </si>
  <si>
    <t>SEG Graphic Only Pricing</t>
  </si>
  <si>
    <t>SEG System</t>
  </si>
  <si>
    <t>Silicone</t>
  </si>
  <si>
    <t>Open/Live</t>
  </si>
  <si>
    <t>Open/Live Graphic Size to Final Graphic Size</t>
  </si>
  <si>
    <t>Final</t>
  </si>
  <si>
    <t>Depth/Diameter (in.):</t>
  </si>
  <si>
    <t>Depth/Diameter (ft.):</t>
  </si>
  <si>
    <t>Table Throw Size</t>
  </si>
  <si>
    <t>Table Throw Price</t>
  </si>
  <si>
    <t xml:space="preserve"> Drape (Full)</t>
  </si>
  <si>
    <t xml:space="preserve"> Drape (Econ)</t>
  </si>
  <si>
    <t>Final Size (2D)</t>
  </si>
  <si>
    <t>Final Front</t>
  </si>
  <si>
    <t>Final Back</t>
  </si>
  <si>
    <t>Drape throw front print full</t>
  </si>
  <si>
    <t>Drape throw back print full</t>
  </si>
  <si>
    <t>Drape throw front econ</t>
  </si>
  <si>
    <t>Fitted throw top</t>
  </si>
  <si>
    <t>Fitted throw sides</t>
  </si>
  <si>
    <t>Drape circle</t>
  </si>
  <si>
    <t>Fitted circle top</t>
  </si>
  <si>
    <t>Fitted circle side</t>
  </si>
  <si>
    <t>Vinyl:</t>
  </si>
  <si>
    <t>2x2 (All):</t>
  </si>
  <si>
    <t>2x3 (All):</t>
  </si>
  <si>
    <t>3x3 (All):</t>
  </si>
  <si>
    <t>4x2 (All):</t>
  </si>
  <si>
    <t>4x3 (All):</t>
  </si>
  <si>
    <t>Hardware:</t>
  </si>
  <si>
    <t>Foam Cord:</t>
  </si>
  <si>
    <t>Laminate:</t>
  </si>
  <si>
    <t>Unlaminated</t>
  </si>
  <si>
    <t>1/16"</t>
  </si>
  <si>
    <t>3/16"</t>
  </si>
  <si>
    <t>.020</t>
  </si>
  <si>
    <t>.030</t>
  </si>
  <si>
    <t>.040</t>
  </si>
  <si>
    <t>.060</t>
  </si>
  <si>
    <t>Silver w/ White Ink</t>
  </si>
  <si>
    <t>Final (Auto fill)</t>
  </si>
  <si>
    <t>Open/Live (Auto fill)</t>
  </si>
  <si>
    <t>Open to final</t>
  </si>
  <si>
    <t>Final to open</t>
  </si>
  <si>
    <t>Drape throw back economy</t>
  </si>
  <si>
    <t>No Edges</t>
  </si>
  <si>
    <t>No Restrictions</t>
  </si>
  <si>
    <t>Fabric Profile</t>
  </si>
  <si>
    <t>Profile</t>
  </si>
  <si>
    <t>Blocker</t>
  </si>
  <si>
    <t>Sided</t>
  </si>
  <si>
    <t>Laminate</t>
  </si>
  <si>
    <t>Mount</t>
  </si>
  <si>
    <t>Single Sided Only</t>
  </si>
  <si>
    <t>Able to Mount</t>
  </si>
  <si>
    <t>Unable to Mount</t>
  </si>
  <si>
    <t>Able to Laminate</t>
  </si>
  <si>
    <t>Unable to Laminate</t>
  </si>
  <si>
    <t>Back to Top</t>
  </si>
  <si>
    <t>TABLE BACK</t>
  </si>
  <si>
    <t>(Table height * 2) + Table width x Table height:</t>
  </si>
  <si>
    <t>(Table height * 2) + Table width x (Table height * 2) + Table depth:</t>
  </si>
  <si>
    <t>(Table height * 2) + Table diameter x (Table height * 2) + Table diameter :</t>
  </si>
  <si>
    <t>Table diameter x Table diameter:</t>
  </si>
  <si>
    <t>(Table width * 2) + (Table depth * 2) x Table height:</t>
  </si>
  <si>
    <t>(Table height * 2) + Table width x Table height + Table depth:</t>
  </si>
  <si>
    <t>(Table height * 2) + Table width x Table depth + 6":</t>
  </si>
  <si>
    <t>Pyramid:</t>
  </si>
  <si>
    <t>Systems</t>
  </si>
  <si>
    <t>Silicone A</t>
  </si>
  <si>
    <t>Silicone C</t>
  </si>
  <si>
    <t>Silicone D</t>
  </si>
  <si>
    <t>Silicone E</t>
  </si>
  <si>
    <t>1x1 Flat:</t>
  </si>
  <si>
    <t>1x2 Flat:</t>
  </si>
  <si>
    <t>4x1 Flat:</t>
  </si>
  <si>
    <t>1x1:</t>
  </si>
  <si>
    <t>1x2:</t>
  </si>
  <si>
    <t>4x1:</t>
  </si>
  <si>
    <t>1x3 Thin:</t>
  </si>
  <si>
    <t>1x3 Wide:</t>
  </si>
  <si>
    <t>1x1 Triangle:</t>
  </si>
  <si>
    <t>1x2 Triangle:</t>
  </si>
  <si>
    <t>1x3 Triangle:</t>
  </si>
  <si>
    <t>1x4 (All):</t>
  </si>
  <si>
    <t>Snap frame</t>
  </si>
  <si>
    <t>Graphic Only</t>
  </si>
  <si>
    <t>Percent Discount Calculator</t>
  </si>
  <si>
    <t>Full Price:</t>
  </si>
  <si>
    <t>Discounted Price:</t>
  </si>
  <si>
    <t>Percent Discount:</t>
  </si>
  <si>
    <t>Formula to calculate discount percentage</t>
  </si>
  <si>
    <t>Enter full price:</t>
  </si>
  <si>
    <t>Enter discounted price:</t>
  </si>
  <si>
    <t>1 - [ (Discounted price) / (Full price) ]:</t>
  </si>
  <si>
    <t>Percent Discount</t>
  </si>
  <si>
    <t>Percent Discount (Snap):</t>
  </si>
  <si>
    <t>InSite Board:</t>
  </si>
  <si>
    <t>Print Dimensions</t>
  </si>
  <si>
    <t>Print Width:</t>
  </si>
  <si>
    <t>Print Height:</t>
  </si>
  <si>
    <t>Quantity</t>
  </si>
  <si>
    <t>Width (mm):</t>
  </si>
  <si>
    <t>Height (mm):</t>
  </si>
  <si>
    <t>Top (mm):</t>
  </si>
  <si>
    <t>Bottom (mm):</t>
  </si>
  <si>
    <t>Left (mm):</t>
  </si>
  <si>
    <t>Right (mm):</t>
  </si>
  <si>
    <t>Depth/Diameter (mm):</t>
  </si>
  <si>
    <t>Enter width (mm):</t>
  </si>
  <si>
    <t>Enter height (mm):</t>
  </si>
  <si>
    <t>Width (mm) * Height (mm):</t>
  </si>
  <si>
    <t>Formula to convert millimeters to sq. ft.</t>
  </si>
  <si>
    <t>Formula to convert millimeters to sq. in.</t>
  </si>
  <si>
    <t>Area (sq. mm) * 0.0107639 mm (convert to sq. ft.):</t>
  </si>
  <si>
    <t>Area (sq. mm) * 1.55 mm (convert to sq. in.):</t>
  </si>
  <si>
    <t>mm to sq. ft.</t>
  </si>
  <si>
    <t>mm to sq. in.</t>
  </si>
  <si>
    <t>sq. in.</t>
  </si>
  <si>
    <t>sq. ft.</t>
  </si>
  <si>
    <t>ln. ft. support</t>
  </si>
  <si>
    <t>Open to Final</t>
  </si>
  <si>
    <t>Final to Open</t>
  </si>
  <si>
    <t>Finishing</t>
  </si>
  <si>
    <t xml:space="preserve">Cutting: </t>
  </si>
  <si>
    <t>Drill Hole(s)</t>
  </si>
  <si>
    <t>Profile Cut</t>
  </si>
  <si>
    <t>Fabric Cutting</t>
  </si>
  <si>
    <t xml:space="preserve">Quantity: </t>
  </si>
  <si>
    <t>Pricing</t>
  </si>
  <si>
    <t xml:space="preserve">Width (in.): </t>
  </si>
  <si>
    <t xml:space="preserve">Height (in.): </t>
  </si>
  <si>
    <t xml:space="preserve">Printed: </t>
  </si>
  <si>
    <t xml:space="preserve">Hardware: </t>
  </si>
  <si>
    <t xml:space="preserve">Width (ft.): </t>
  </si>
  <si>
    <t xml:space="preserve">Height (ft.): </t>
  </si>
  <si>
    <t xml:space="preserve">Mounting: </t>
  </si>
  <si>
    <t xml:space="preserve">Discount (%): </t>
  </si>
  <si>
    <t xml:space="preserve">Width (mm): </t>
  </si>
  <si>
    <t xml:space="preserve">Height (mm): </t>
  </si>
  <si>
    <t xml:space="preserve">Discount ($): </t>
  </si>
  <si>
    <t>Table width x Table depth:</t>
  </si>
  <si>
    <t>Cutting:</t>
  </si>
  <si>
    <t>Quantity:</t>
  </si>
  <si>
    <t>Table diameter * π (3.14159) x Table height:</t>
  </si>
  <si>
    <t>Profile Cut:</t>
  </si>
  <si>
    <t>Drill Hole:</t>
  </si>
  <si>
    <t>Silicone N</t>
  </si>
  <si>
    <t>Rigid Substrate</t>
  </si>
  <si>
    <t>Vinyl</t>
  </si>
  <si>
    <t>CUSTOM TABLE THROW ($/sq. ft.)</t>
  </si>
  <si>
    <r>
      <t xml:space="preserve">Profile </t>
    </r>
    <r>
      <rPr>
        <b/>
        <sz val="11"/>
        <color rgb="FFFFFF00"/>
        <rFont val="Calibri"/>
        <family val="2"/>
        <scheme val="minor"/>
      </rPr>
      <t>(Do Not Edit!)</t>
    </r>
  </si>
  <si>
    <t>Single-Sided Cost</t>
  </si>
  <si>
    <t>Double-Sided Cost</t>
  </si>
  <si>
    <t>Custom Table Throw</t>
  </si>
  <si>
    <t>Table Throw</t>
  </si>
  <si>
    <t>5 mil Laminate</t>
  </si>
  <si>
    <t>No Laminate</t>
  </si>
  <si>
    <t>Drop Down Menu Contents</t>
  </si>
  <si>
    <t>2x1 (All)*:</t>
  </si>
  <si>
    <t>3x1 (All)*:</t>
  </si>
  <si>
    <t>3x2 Flat*:</t>
  </si>
  <si>
    <t>4x1 (All)*:</t>
  </si>
  <si>
    <t>Triangle Thread*:</t>
  </si>
  <si>
    <t>*Do not edit! Price connected to similar size.</t>
  </si>
  <si>
    <t>3x2 (All)*:</t>
  </si>
  <si>
    <t>Silicone B</t>
  </si>
  <si>
    <t>Length (ln. ft.)</t>
  </si>
  <si>
    <t>Length (ln. in.)</t>
  </si>
  <si>
    <t>Length (ln. mm)</t>
  </si>
  <si>
    <t>QUOTE MODULE</t>
  </si>
  <si>
    <t>Individual Cost</t>
  </si>
  <si>
    <t>Final Cost</t>
  </si>
  <si>
    <t>Gross Cost</t>
  </si>
  <si>
    <t>Additional Pricing</t>
  </si>
  <si>
    <t>Graphic descriptions</t>
  </si>
  <si>
    <t>Subtotal:</t>
  </si>
  <si>
    <t>Discounts:</t>
  </si>
  <si>
    <t>Quote</t>
  </si>
  <si>
    <t>Grand Total:</t>
  </si>
  <si>
    <t>Reference</t>
  </si>
  <si>
    <t>Reset Sheet</t>
  </si>
  <si>
    <t>Backlit Fabric:</t>
  </si>
  <si>
    <t>Angelo:</t>
  </si>
  <si>
    <t>Angelo w/ Backing:</t>
  </si>
  <si>
    <t>Rec. Angelo:</t>
  </si>
  <si>
    <t>Dacor:</t>
  </si>
  <si>
    <t>Illum:</t>
  </si>
  <si>
    <t>Illum Plus:</t>
  </si>
  <si>
    <t>Illum (Unprinted):</t>
  </si>
  <si>
    <t>Illum Plus (Unprinted):</t>
  </si>
  <si>
    <t>Suede:</t>
  </si>
  <si>
    <t>Thick Stretch:</t>
  </si>
  <si>
    <t>Thick Stretch</t>
  </si>
  <si>
    <t>Apollo:</t>
  </si>
  <si>
    <t>Carpet:</t>
  </si>
  <si>
    <t>Lucent:</t>
  </si>
  <si>
    <t>Rec. SmallKnit:</t>
  </si>
  <si>
    <t>SmallKnit:</t>
  </si>
  <si>
    <t>Ensign:</t>
  </si>
  <si>
    <t>Multi Bill:</t>
  </si>
  <si>
    <t>Multi Knit:</t>
  </si>
  <si>
    <t>Multi Illum:</t>
  </si>
  <si>
    <t>Multi Pop:</t>
  </si>
  <si>
    <t>Multi Shimmer:</t>
  </si>
  <si>
    <t>Multi Slim:</t>
  </si>
  <si>
    <t>Multi Tweak:</t>
  </si>
  <si>
    <t>Rec. Paradigm:</t>
  </si>
  <si>
    <t>Rec. Stretch:</t>
  </si>
  <si>
    <t>Stretch:</t>
  </si>
  <si>
    <t>Shimmer:</t>
  </si>
  <si>
    <t>Shadow:</t>
  </si>
  <si>
    <t>Jersey Mesh:</t>
  </si>
  <si>
    <t>Swing:</t>
  </si>
  <si>
    <t>Swing Plus:</t>
  </si>
  <si>
    <t>TernFab:</t>
  </si>
  <si>
    <t>Outdoor:</t>
  </si>
  <si>
    <t>Loom:</t>
  </si>
  <si>
    <t>Shine:</t>
  </si>
  <si>
    <t>Small (60")</t>
  </si>
  <si>
    <t>†Only edit cost in Small (60")</t>
  </si>
  <si>
    <t>Large (120")</t>
  </si>
  <si>
    <t>Fabric Dye</t>
  </si>
  <si>
    <t>Splash:</t>
  </si>
  <si>
    <t>Silicone:</t>
  </si>
  <si>
    <t>3D Frame Graphic Only</t>
  </si>
  <si>
    <t>3D Frame Graphic:</t>
  </si>
  <si>
    <t>Go to Quote</t>
  </si>
  <si>
    <t>Fabric
(Quote Macros)</t>
  </si>
  <si>
    <t>Alpha</t>
  </si>
  <si>
    <t>Dazzling:</t>
  </si>
  <si>
    <t>Dazzling</t>
  </si>
  <si>
    <t>Trans (Lamination)</t>
  </si>
  <si>
    <t>Trans (No Lamination)</t>
  </si>
  <si>
    <t>Sticky:</t>
  </si>
  <si>
    <t>EPM:</t>
  </si>
  <si>
    <t>Glass Perf:</t>
  </si>
  <si>
    <t>Thin Mesh:</t>
  </si>
  <si>
    <t>Gloss:</t>
  </si>
  <si>
    <t>Thin Opaque Matte:</t>
  </si>
  <si>
    <t>Thin Matte:</t>
  </si>
  <si>
    <t>Thick Opaque Matte:</t>
  </si>
  <si>
    <t>Thick Matte:</t>
  </si>
  <si>
    <t>Synth</t>
  </si>
  <si>
    <t>3/11" Synth:</t>
  </si>
  <si>
    <t>Synth Profile</t>
  </si>
  <si>
    <t>SYNTH PRINTING ($/sq. ft.)</t>
  </si>
  <si>
    <t>Rigid</t>
  </si>
  <si>
    <t>Rigid Print</t>
  </si>
  <si>
    <t>Rigid Print Profile - Sided</t>
  </si>
  <si>
    <t>Rigid Print Profile - Laminate</t>
  </si>
  <si>
    <t>Rigid Print Profile - Material</t>
  </si>
  <si>
    <t>RIGID PRINT PRICING ($/sq. ft.)</t>
  </si>
  <si>
    <t>SEG System 01</t>
  </si>
  <si>
    <t>SEG System 02</t>
  </si>
  <si>
    <t>SEG System 03</t>
  </si>
  <si>
    <t>SEG System 04</t>
  </si>
  <si>
    <t>SEG System 05</t>
  </si>
  <si>
    <t>SEG System 06</t>
  </si>
  <si>
    <t>SEG System 07</t>
  </si>
  <si>
    <t>SEG System 08</t>
  </si>
  <si>
    <t>SEG System 09</t>
  </si>
  <si>
    <t>SEG System 10</t>
  </si>
  <si>
    <t>SEG System 11</t>
  </si>
  <si>
    <t>SEG System 12</t>
  </si>
  <si>
    <t>SEG System 13</t>
  </si>
  <si>
    <t>SEG System 14</t>
  </si>
  <si>
    <t>SEG System 15</t>
  </si>
  <si>
    <t>SEG System 16</t>
  </si>
  <si>
    <t>SEG System 17</t>
  </si>
  <si>
    <t>SEG System 18</t>
  </si>
  <si>
    <t>SEG System 19</t>
  </si>
  <si>
    <t>SEG System 20</t>
  </si>
  <si>
    <t>SEG System 21</t>
  </si>
  <si>
    <t>SEG System 22</t>
  </si>
  <si>
    <t>SEG System 23</t>
  </si>
  <si>
    <t>SEG System 24</t>
  </si>
  <si>
    <t>SEG System 25</t>
  </si>
  <si>
    <t>SEG System 26</t>
  </si>
  <si>
    <t>SEG System 27</t>
  </si>
  <si>
    <t>SEG System 28</t>
  </si>
  <si>
    <t>SEG System 29</t>
  </si>
  <si>
    <t>SEG System 30</t>
  </si>
  <si>
    <t>SEG System 31</t>
  </si>
  <si>
    <t>SEG System 32</t>
  </si>
  <si>
    <t>SEG System 33</t>
  </si>
  <si>
    <t>SEG System 34</t>
  </si>
  <si>
    <t>SEG System 35</t>
  </si>
  <si>
    <t>SEG System 36</t>
  </si>
  <si>
    <t>SEG System 37</t>
  </si>
  <si>
    <t>SEG System 38</t>
  </si>
  <si>
    <t>SEG System 39</t>
  </si>
  <si>
    <t>SEG System 40</t>
  </si>
  <si>
    <t>SEG System 41</t>
  </si>
  <si>
    <t>SEG System 42</t>
  </si>
  <si>
    <t>SEG System 43</t>
  </si>
  <si>
    <t>SEG System 44</t>
  </si>
  <si>
    <t>Rigid Cutting</t>
  </si>
  <si>
    <t>Rigid Profile</t>
  </si>
  <si>
    <t>Shine</t>
  </si>
  <si>
    <t>Whiteboard</t>
  </si>
  <si>
    <t>Gloss</t>
  </si>
  <si>
    <t>STRETCH CUSTOM KIT</t>
  </si>
  <si>
    <t>Large</t>
  </si>
  <si>
    <t>Small</t>
  </si>
  <si>
    <t>Connect 1x1 Rectangle:</t>
  </si>
  <si>
    <t>Connect 1x2 Rectangle:</t>
  </si>
  <si>
    <t>Connect 1x3 Rectangle:</t>
  </si>
  <si>
    <t>Connect 1x1 Hourglass:</t>
  </si>
  <si>
    <t>Connect 1x2 Hourglass:</t>
  </si>
  <si>
    <t>Connect 1x3 Hourglass:</t>
  </si>
  <si>
    <t>Connect 1x1 Wide:</t>
  </si>
  <si>
    <t>Connect 1x2 Wide:</t>
  </si>
  <si>
    <t>Connect Skins</t>
  </si>
  <si>
    <t>3D Skins</t>
  </si>
  <si>
    <t>Stretch - Large</t>
  </si>
  <si>
    <t>Stretch - Small</t>
  </si>
  <si>
    <t>Stretch Skins</t>
  </si>
  <si>
    <t>Wallpaper</t>
  </si>
  <si>
    <t>Wallpaper 0-200:</t>
  </si>
  <si>
    <t>Wallpaper 201-400:</t>
  </si>
  <si>
    <t>Wallpaper 401-600:</t>
  </si>
  <si>
    <t>Wallpaper 601-800:</t>
  </si>
  <si>
    <t>Wallpaper 801+:</t>
  </si>
  <si>
    <t>Whiteboard Laminate:</t>
  </si>
  <si>
    <t>Gloss Laminate:</t>
  </si>
  <si>
    <t>Shine Laminate:</t>
  </si>
  <si>
    <t>Canvas:</t>
  </si>
  <si>
    <t>Coloprast:</t>
  </si>
  <si>
    <t>Rigid Metal:</t>
  </si>
  <si>
    <t>Economy:</t>
  </si>
  <si>
    <t>Ecoprast:</t>
  </si>
  <si>
    <t>Foamboard:</t>
  </si>
  <si>
    <t>Carpet Sticker:</t>
  </si>
  <si>
    <t>Hard Floor Sticker:</t>
  </si>
  <si>
    <t>Concrete Sticker:</t>
  </si>
  <si>
    <t>Plastic Wood:</t>
  </si>
  <si>
    <t>Magnet Sheeting:</t>
  </si>
  <si>
    <t>Aperture:</t>
  </si>
  <si>
    <t>Bhut:</t>
  </si>
  <si>
    <t>Bhut (Unprinted):</t>
  </si>
  <si>
    <t>Plexi:</t>
  </si>
  <si>
    <t>Repo Stick:</t>
  </si>
  <si>
    <t>Sinatra:</t>
  </si>
  <si>
    <t>Steen:</t>
  </si>
  <si>
    <t>TickTack:</t>
  </si>
  <si>
    <t>Thickboard:</t>
  </si>
  <si>
    <t>Stickall:</t>
  </si>
  <si>
    <t>Flex Backlight:</t>
  </si>
  <si>
    <t>Chalkboard:</t>
  </si>
  <si>
    <t>Windos:</t>
  </si>
  <si>
    <t>Glass Cling:</t>
  </si>
  <si>
    <t>Vinyl Cut</t>
  </si>
  <si>
    <t>Vinyl Cut - Graphic</t>
  </si>
  <si>
    <t>Vinyl Cut - Mounting</t>
  </si>
  <si>
    <t>Vinyl Cut Vinyl:</t>
  </si>
  <si>
    <t>VINYL CUT PRICING ($/sq. in.)</t>
  </si>
  <si>
    <t>Frame Perimeter</t>
  </si>
  <si>
    <t>Custom Frm. Perimeter</t>
  </si>
  <si>
    <t>Frame Support</t>
  </si>
  <si>
    <t>Frame Column</t>
  </si>
  <si>
    <t>Mobius Frames</t>
  </si>
  <si>
    <t>Mobius Total Price</t>
  </si>
  <si>
    <t>SILICONE EDGE GRAPHICS (SEG) ($/sq. ft.)</t>
  </si>
  <si>
    <t>*** Note: Mobius SEG system will be used for this example ***</t>
  </si>
  <si>
    <t>Mobius Hardware</t>
  </si>
  <si>
    <t>Modern Frames</t>
  </si>
  <si>
    <t>Modern Total Price</t>
  </si>
  <si>
    <t>Modern Hardware</t>
  </si>
  <si>
    <t>Frame (Auto fill):</t>
  </si>
  <si>
    <t>Frame:</t>
  </si>
  <si>
    <t>ln. ft. Frame</t>
  </si>
  <si>
    <t>Custom ln. ft. Frame</t>
  </si>
  <si>
    <t>Column (in.):</t>
  </si>
  <si>
    <t>Column (ft.):</t>
  </si>
  <si>
    <t>Column (mm):</t>
  </si>
  <si>
    <t>Column (Auto fill):</t>
  </si>
  <si>
    <t>Column:</t>
  </si>
  <si>
    <t>ln. ft. Column</t>
  </si>
  <si>
    <t>Radius Corners:</t>
  </si>
  <si>
    <t>Square Base:</t>
  </si>
  <si>
    <t>16” Hourglass Base:</t>
  </si>
  <si>
    <t>23” Hourglass Base:</t>
  </si>
  <si>
    <t>Arch Foot:</t>
  </si>
  <si>
    <t>Applicare:</t>
  </si>
  <si>
    <t>Dye Front:</t>
  </si>
  <si>
    <t>Dye Full:</t>
  </si>
  <si>
    <t>Flaking:</t>
  </si>
  <si>
    <t>Logo:</t>
  </si>
  <si>
    <t>Logo/Applicare:</t>
  </si>
  <si>
    <t>Easy Touch:</t>
  </si>
  <si>
    <t>FTCB:</t>
  </si>
  <si>
    <t>2501 - 2600:</t>
  </si>
  <si>
    <t>2601 - 2700:</t>
  </si>
  <si>
    <t>2701 - 2800:</t>
  </si>
  <si>
    <t>2801 - 2900:</t>
  </si>
  <si>
    <t>2901 - 3000:</t>
  </si>
  <si>
    <t>3001 - 3100:</t>
  </si>
  <si>
    <t>3101 - 3200:</t>
  </si>
  <si>
    <t>3201 - 3300:</t>
  </si>
  <si>
    <t>3301 - 3400:</t>
  </si>
  <si>
    <t>3401 - 3500:</t>
  </si>
  <si>
    <t>3501 - 3600:</t>
  </si>
  <si>
    <t>3601 - 3700:</t>
  </si>
  <si>
    <t>3701 - 3800:</t>
  </si>
  <si>
    <t>3801 - 3900:</t>
  </si>
  <si>
    <t>3901 - 4000:</t>
  </si>
  <si>
    <t>4001 - 4100:</t>
  </si>
  <si>
    <t>4101 - 4200:</t>
  </si>
  <si>
    <t>4201 - 4300:</t>
  </si>
  <si>
    <t>4301 - 4400:</t>
  </si>
  <si>
    <t>4401 - 4500:</t>
  </si>
  <si>
    <t>4501 - 4600:</t>
  </si>
  <si>
    <t>4601 - 4700:</t>
  </si>
  <si>
    <t>4701 - 4800:</t>
  </si>
  <si>
    <t>4801 - 4900:</t>
  </si>
  <si>
    <t>4901 - 5000:</t>
  </si>
  <si>
    <t>5001 - 5100:</t>
  </si>
  <si>
    <t>5101 - 5200:</t>
  </si>
  <si>
    <t>5201 - 5300:</t>
  </si>
  <si>
    <t>5301 - 5400:</t>
  </si>
  <si>
    <t>5401 - 5500:</t>
  </si>
  <si>
    <t>5501 - 5600:</t>
  </si>
  <si>
    <t>5601 - 5700:</t>
  </si>
  <si>
    <t>5701 - 5800:</t>
  </si>
  <si>
    <t>5801 - 5900:</t>
  </si>
  <si>
    <t>5901 - 6000:</t>
  </si>
  <si>
    <t>Flex</t>
  </si>
  <si>
    <t>Metal</t>
  </si>
  <si>
    <t>ALPHA PRICING (TIERED PRICING &amp; $/sq. ft.)</t>
  </si>
  <si>
    <t>Custom Stretch Kit</t>
  </si>
  <si>
    <t>Connect skins</t>
  </si>
  <si>
    <t>Stretch (individual):</t>
  </si>
  <si>
    <t>Stretch (kit):</t>
  </si>
  <si>
    <t>Stretch - Small skins</t>
  </si>
  <si>
    <t>Stretch - Small frames</t>
  </si>
  <si>
    <t>Stretch - Small (individual):</t>
  </si>
  <si>
    <t>Stretch - Small (kit):</t>
  </si>
  <si>
    <t>Percent Discount (Stretch - Small):</t>
  </si>
  <si>
    <t>3D skins</t>
  </si>
  <si>
    <t>Alpha
(Quote Macros)</t>
  </si>
  <si>
    <t>Stretch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</si>
</sst>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  <numFmt numFmtId="166" formatCode="0.000"/>
    <numFmt numFmtId="167" formatCode="0.0000"/>
    <numFmt numFmtId="168" formatCode="0.0000%"/>
  </numFmts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26"/>
      <color theme="9" tint="-0.499984740745262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3"/>
      <color theme="4" tint="-0.249977111117893"/>
      <name val="Calibri"/>
      <family val="2"/>
      <scheme val="minor"/>
    </font>
    <font>
      <b/>
      <sz val="26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1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9" tint="0.40000610370189521"/>
        </stop>
        <stop position="0.5">
          <color theme="0"/>
        </stop>
        <stop position="1">
          <color theme="9" tint="0.40000610370189521"/>
        </stop>
      </gradientFill>
    </fill>
    <fill>
      <gradientFill degree="90">
        <stop position="0">
          <color theme="5"/>
        </stop>
        <stop position="0.5">
          <color theme="0"/>
        </stop>
        <stop position="1">
          <color theme="5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8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 diagonalDown="1">
      <left style="thick">
        <color auto="1"/>
      </left>
      <right style="thin">
        <color theme="0"/>
      </right>
      <top style="thin">
        <color auto="1"/>
      </top>
      <bottom style="thin">
        <color theme="0"/>
      </bottom>
      <diagonal style="thick">
        <color auto="1"/>
      </diagonal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ck">
        <color auto="1"/>
      </diagonal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 diagonalDown="1">
      <left style="thick">
        <color theme="0"/>
      </left>
      <right style="thin">
        <color auto="1"/>
      </right>
      <top style="thin">
        <color theme="0"/>
      </top>
      <bottom style="thick">
        <color auto="1"/>
      </bottom>
      <diagonal style="thick">
        <color auto="1"/>
      </diagonal>
    </border>
    <border>
      <left style="thin">
        <color auto="1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ck">
        <color auto="1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/>
      <top style="thick">
        <color auto="1"/>
      </top>
      <bottom style="thick">
        <color theme="0"/>
      </bottom>
      <diagonal/>
    </border>
    <border>
      <left/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auto="1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DotDot">
        <color theme="7" tint="-0.24994659260841701"/>
      </bottom>
      <diagonal/>
    </border>
    <border>
      <left style="thick">
        <color theme="0"/>
      </left>
      <right/>
      <top style="thick">
        <color theme="0"/>
      </top>
      <bottom style="mediumDashDotDot">
        <color theme="7" tint="-0.24994659260841701"/>
      </bottom>
      <diagonal/>
    </border>
    <border>
      <left style="thick">
        <color theme="0"/>
      </left>
      <right style="thick">
        <color theme="0"/>
      </right>
      <top/>
      <bottom style="mediumDashDotDot">
        <color theme="7" tint="-0.24994659260841701"/>
      </bottom>
      <diagonal/>
    </border>
    <border>
      <left/>
      <right style="thick">
        <color auto="1"/>
      </right>
      <top/>
      <bottom style="mediumDashDotDot">
        <color theme="7" tint="-0.24994659260841701"/>
      </bottom>
      <diagonal/>
    </border>
    <border>
      <left style="thick">
        <color auto="1"/>
      </left>
      <right style="thick">
        <color theme="7" tint="-0.24994659260841701"/>
      </right>
      <top style="mediumDashDotDot">
        <color theme="7" tint="-0.24994659260841701"/>
      </top>
      <bottom style="mediumDashDotDot">
        <color auto="1"/>
      </bottom>
      <diagonal/>
    </border>
    <border>
      <left style="thick">
        <color theme="7" tint="-0.24994659260841701"/>
      </left>
      <right/>
      <top style="mediumDashDotDot">
        <color theme="7" tint="-0.24994659260841701"/>
      </top>
      <bottom style="mediumDashDotDot">
        <color auto="1"/>
      </bottom>
      <diagonal/>
    </border>
    <border>
      <left/>
      <right style="thick">
        <color theme="0"/>
      </right>
      <top style="mediumDashDotDot">
        <color theme="7" tint="-0.24994659260841701"/>
      </top>
      <bottom style="mediumDashDotDot">
        <color auto="1"/>
      </bottom>
      <diagonal/>
    </border>
    <border>
      <left style="thick">
        <color theme="0"/>
      </left>
      <right/>
      <top/>
      <bottom style="mediumDashDotDot">
        <color auto="1"/>
      </bottom>
      <diagonal/>
    </border>
    <border>
      <left style="thick">
        <color theme="0"/>
      </left>
      <right style="thick">
        <color theme="0"/>
      </right>
      <top/>
      <bottom style="mediumDashDotDot">
        <color auto="1"/>
      </bottom>
      <diagonal/>
    </border>
    <border>
      <left/>
      <right style="thick">
        <color theme="0"/>
      </right>
      <top/>
      <bottom style="mediumDashDotDot">
        <color auto="1"/>
      </bottom>
      <diagonal/>
    </border>
    <border>
      <left style="thick">
        <color theme="0"/>
      </left>
      <right style="mediumDashDotDot">
        <color auto="1"/>
      </right>
      <top style="thick">
        <color auto="1"/>
      </top>
      <bottom style="thick">
        <color theme="0"/>
      </bottom>
      <diagonal/>
    </border>
    <border>
      <left style="mediumDashDotDot">
        <color auto="1"/>
      </left>
      <right style="mediumDashDotDot">
        <color theme="0"/>
      </right>
      <top style="mediumDashDotDot">
        <color auto="1"/>
      </top>
      <bottom style="mediumDashDotDot">
        <color theme="0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auto="1"/>
      </top>
      <bottom style="mediumDashDotDot">
        <color theme="0"/>
      </bottom>
      <diagonal/>
    </border>
    <border>
      <left style="thick">
        <color theme="9" tint="-0.499984740745262"/>
      </left>
      <right style="mediumDashDotDot">
        <color theme="0"/>
      </right>
      <top style="mediumDashDotDot">
        <color auto="1"/>
      </top>
      <bottom style="thick">
        <color theme="0"/>
      </bottom>
      <diagonal/>
    </border>
    <border>
      <left style="mediumDashDotDot">
        <color theme="0"/>
      </left>
      <right style="mediumDashDotDot">
        <color theme="0"/>
      </right>
      <top style="mediumDashDotDot">
        <color auto="1"/>
      </top>
      <bottom style="mediumDashDotDot">
        <color theme="0"/>
      </bottom>
      <diagonal/>
    </border>
    <border>
      <left style="mediumDashDotDot">
        <color theme="0"/>
      </left>
      <right style="mediumDashDotDot">
        <color auto="1"/>
      </right>
      <top style="mediumDashDotDot">
        <color auto="1"/>
      </top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 style="thick">
        <color auto="1"/>
      </top>
      <bottom style="mediumDashDotDot">
        <color theme="0"/>
      </bottom>
      <diagonal/>
    </border>
    <border>
      <left/>
      <right style="thick">
        <color auto="1"/>
      </right>
      <top style="thick">
        <color auto="1"/>
      </top>
      <bottom style="mediumDashDotDot">
        <color theme="0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theme="0"/>
      </top>
      <bottom style="thick">
        <color theme="5" tint="-0.499984740745262"/>
      </bottom>
      <diagonal/>
    </border>
    <border>
      <left/>
      <right style="mediumDashDotDot">
        <color auto="1"/>
      </right>
      <top style="thick">
        <color theme="0"/>
      </top>
      <bottom style="thick">
        <color theme="5" tint="-0.499984740745262"/>
      </bottom>
      <diagonal/>
    </border>
    <border>
      <left style="mediumDashDotDot">
        <color auto="1"/>
      </left>
      <right style="mediumDashDotDot">
        <color theme="0"/>
      </right>
      <top style="mediumDashDotDot">
        <color theme="0"/>
      </top>
      <bottom style="mediumDashDotDot">
        <color theme="0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theme="0"/>
      </top>
      <bottom style="mediumDashDotDot">
        <color theme="0"/>
      </bottom>
      <diagonal/>
    </border>
    <border>
      <left style="thick">
        <color theme="9" tint="-0.499984740745262"/>
      </left>
      <right style="mediumDashDotDot">
        <color theme="0"/>
      </right>
      <top style="thick">
        <color theme="0"/>
      </top>
      <bottom/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 style="mediumDashDotDot">
        <color theme="0"/>
      </bottom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/>
      <diagonal/>
    </border>
    <border>
      <left style="mediumDashDotDot">
        <color theme="0"/>
      </left>
      <right style="mediumDashDotDot">
        <color auto="1"/>
      </right>
      <top style="mediumDashDotDot">
        <color theme="0"/>
      </top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 style="mediumDashDotDot">
        <color theme="0"/>
      </top>
      <bottom/>
      <diagonal/>
    </border>
    <border>
      <left style="thick">
        <color theme="4" tint="-0.499984740745262"/>
      </left>
      <right style="thick">
        <color auto="1"/>
      </right>
      <top style="mediumDashDotDot">
        <color theme="0"/>
      </top>
      <bottom style="thin">
        <color theme="0"/>
      </bottom>
      <diagonal/>
    </border>
    <border>
      <left style="thick">
        <color auto="1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DotDot">
        <color auto="1"/>
      </right>
      <top/>
      <bottom style="thick">
        <color theme="0"/>
      </bottom>
      <diagonal/>
    </border>
    <border>
      <left style="thick">
        <color theme="9" tint="-0.499984740745262"/>
      </left>
      <right style="mediumDashDotDot">
        <color theme="0"/>
      </right>
      <top/>
      <bottom style="thick">
        <color theme="0"/>
      </bottom>
      <diagonal/>
    </border>
    <border>
      <left style="mediumDashDotDot">
        <color theme="0"/>
      </left>
      <right style="mediumDashDotDot">
        <color theme="0"/>
      </right>
      <top/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/>
      <bottom style="mediumDashDotDot">
        <color theme="0"/>
      </bottom>
      <diagonal/>
    </border>
    <border>
      <left style="thick">
        <color theme="4" tint="-0.499984740745262"/>
      </left>
      <right style="thick">
        <color auto="1"/>
      </right>
      <top style="thin">
        <color theme="0"/>
      </top>
      <bottom style="mediumDashDotDot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mediumDashDotDot">
        <color auto="1"/>
      </right>
      <top style="thick">
        <color theme="0"/>
      </top>
      <bottom style="thick">
        <color auto="1"/>
      </bottom>
      <diagonal/>
    </border>
    <border>
      <left style="mediumDashDotDot">
        <color auto="1"/>
      </left>
      <right style="mediumDashDotDot">
        <color theme="0"/>
      </right>
      <top style="mediumDashDotDot">
        <color theme="0"/>
      </top>
      <bottom style="mediumDashDotDot">
        <color auto="1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theme="0"/>
      </top>
      <bottom style="mediumDashDotDot">
        <color auto="1"/>
      </bottom>
      <diagonal/>
    </border>
    <border>
      <left style="thick">
        <color theme="9" tint="-0.499984740745262"/>
      </left>
      <right style="mediumDashDotDot">
        <color theme="0"/>
      </right>
      <top style="thick">
        <color theme="0"/>
      </top>
      <bottom style="mediumDashDotDot">
        <color auto="1"/>
      </bottom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 style="mediumDashDotDot">
        <color auto="1"/>
      </bottom>
      <diagonal/>
    </border>
    <border>
      <left style="mediumDashDotDot">
        <color theme="0"/>
      </left>
      <right style="mediumDashDotDot">
        <color auto="1"/>
      </right>
      <top style="mediumDashDotDot">
        <color theme="0"/>
      </top>
      <bottom style="mediumDashDotDot">
        <color auto="1"/>
      </bottom>
      <diagonal/>
    </border>
    <border>
      <left style="mediumDashDotDot">
        <color auto="1"/>
      </left>
      <right style="thick">
        <color theme="4" tint="-0.499984740745262"/>
      </right>
      <top style="mediumDashDotDot">
        <color theme="0"/>
      </top>
      <bottom style="thick">
        <color auto="1"/>
      </bottom>
      <diagonal/>
    </border>
    <border>
      <left/>
      <right style="thick">
        <color auto="1"/>
      </right>
      <top style="mediumDashDotDot">
        <color theme="0"/>
      </top>
      <bottom style="thick">
        <color auto="1"/>
      </bottom>
      <diagonal/>
    </border>
    <border>
      <left style="thick">
        <color auto="1"/>
      </left>
      <right style="thick">
        <color theme="0"/>
      </right>
      <top style="mediumDashDotDot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DashDotDot">
        <color auto="1"/>
      </top>
      <bottom style="thick">
        <color theme="0"/>
      </bottom>
      <diagonal/>
    </border>
    <border>
      <left style="thick">
        <color theme="0"/>
      </left>
      <right/>
      <top style="mediumDashDotDot">
        <color auto="1"/>
      </top>
      <bottom/>
      <diagonal/>
    </border>
    <border>
      <left style="thick">
        <color theme="5" tint="-0.499984740745262"/>
      </left>
      <right style="thick">
        <color auto="1"/>
      </right>
      <top style="mediumDashDotDot">
        <color auto="1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4" tint="-0.499984740745262"/>
      </bottom>
      <diagonal/>
    </border>
    <border>
      <left style="thick">
        <color theme="0"/>
      </left>
      <right/>
      <top style="thick">
        <color theme="0"/>
      </top>
      <bottom style="thick">
        <color theme="4" tint="-0.499984740745262"/>
      </bottom>
      <diagonal/>
    </border>
    <border>
      <left/>
      <right style="thick">
        <color theme="0"/>
      </right>
      <top style="thick">
        <color theme="0"/>
      </top>
      <bottom style="thick">
        <color theme="4" tint="-0.499984740745262"/>
      </bottom>
      <diagonal/>
    </border>
    <border>
      <left style="thick">
        <color theme="0"/>
      </left>
      <right/>
      <top/>
      <bottom style="thick">
        <color theme="4" tint="-0.499984740745262"/>
      </bottom>
      <diagonal/>
    </border>
    <border>
      <left style="thick">
        <color theme="5" tint="-0.499984740745262"/>
      </left>
      <right style="thick">
        <color auto="1"/>
      </right>
      <top style="thick">
        <color theme="0"/>
      </top>
      <bottom style="thick">
        <color theme="4" tint="-0.499984740745262"/>
      </bottom>
      <diagonal/>
    </border>
    <border>
      <left style="thick">
        <color auto="1"/>
      </left>
      <right style="thick">
        <color theme="0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/>
      <top style="thick">
        <color theme="4" tint="-0.499984740745262"/>
      </top>
      <bottom style="thick">
        <color theme="0"/>
      </bottom>
      <diagonal/>
    </border>
    <border>
      <left style="thick">
        <color theme="5" tint="-0.499984740745262"/>
      </left>
      <right style="thick">
        <color auto="1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/>
      <top style="thick">
        <color theme="0"/>
      </top>
      <bottom style="thick">
        <color auto="1"/>
      </bottom>
      <diagonal/>
    </border>
    <border>
      <left style="thick">
        <color theme="5" tint="-0.499984740745262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rgb="FF7030A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theme="0"/>
      </bottom>
      <diagonal/>
    </border>
    <border>
      <left style="thick">
        <color rgb="FF7030A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7030A0"/>
      </right>
      <top style="thick">
        <color theme="0"/>
      </top>
      <bottom/>
      <diagonal/>
    </border>
    <border>
      <left style="thick">
        <color rgb="FF7030A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auto="1"/>
      </right>
      <top style="thick">
        <color theme="0"/>
      </top>
      <bottom/>
      <diagonal/>
    </border>
    <border>
      <left style="thick">
        <color auto="1"/>
      </left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mediumDashDotDot">
        <color theme="7" tint="-0.24994659260841701"/>
      </top>
      <bottom style="thick">
        <color theme="0"/>
      </bottom>
      <diagonal/>
    </border>
    <border>
      <left/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 style="mediumDashDotDot">
        <color theme="7" tint="-0.24994659260841701"/>
      </top>
      <bottom style="thick">
        <color theme="0"/>
      </bottom>
      <diagonal/>
    </border>
    <border>
      <left/>
      <right style="thick">
        <color auto="1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7030A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/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/>
      <top style="thick">
        <color theme="0"/>
      </top>
      <bottom style="thick">
        <color rgb="FFFF0000"/>
      </bottom>
      <diagonal/>
    </border>
    <border>
      <left/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rgb="FFFF000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/>
      <diagonal/>
    </border>
    <border>
      <left style="thick">
        <color rgb="FF7030A0"/>
      </left>
      <right/>
      <top style="thick">
        <color theme="0"/>
      </top>
      <bottom/>
      <diagonal/>
    </border>
    <border>
      <left/>
      <right style="thick">
        <color theme="7" tint="-0.24994659260841701"/>
      </right>
      <top style="thick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rgb="FF7030A0"/>
      </right>
      <top style="thick">
        <color theme="0"/>
      </top>
      <bottom style="thick">
        <color theme="0"/>
      </bottom>
      <diagonal/>
    </border>
    <border>
      <left style="thick">
        <color rgb="FF7030A0"/>
      </left>
      <right/>
      <top/>
      <bottom style="thick">
        <color theme="0"/>
      </bottom>
      <diagonal/>
    </border>
    <border>
      <left/>
      <right style="thick">
        <color theme="7" tint="-0.24994659260841701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auto="1"/>
      </bottom>
      <diagonal/>
    </border>
    <border>
      <left/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 style="thick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theme="0"/>
      </top>
      <bottom/>
      <diagonal/>
    </border>
    <border>
      <left style="thin">
        <color auto="1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1017">
    <xf numFmtId="0" fontId="0" fillId="0" borderId="0" xfId="0"/>
    <xf numFmtId="0" fontId="8" fillId="0" borderId="2" xfId="0" applyFont="1" applyBorder="1" applyProtection="1"/>
    <xf numFmtId="0" fontId="8" fillId="0" borderId="4" xfId="0" applyFont="1" applyBorder="1" applyProtection="1"/>
    <xf numFmtId="0" fontId="8" fillId="3" borderId="5" xfId="0" applyFont="1" applyFill="1" applyBorder="1" applyProtection="1"/>
    <xf numFmtId="164" fontId="8" fillId="3" borderId="6" xfId="0" applyNumberFormat="1" applyFont="1" applyFill="1" applyBorder="1" applyProtection="1"/>
    <xf numFmtId="0" fontId="8" fillId="3" borderId="0" xfId="0" applyFont="1" applyFill="1" applyBorder="1" applyProtection="1"/>
    <xf numFmtId="164" fontId="8" fillId="3" borderId="0" xfId="0" applyNumberFormat="1" applyFont="1" applyFill="1" applyBorder="1" applyProtection="1"/>
    <xf numFmtId="0" fontId="8" fillId="0" borderId="5" xfId="0" applyFont="1" applyFill="1" applyBorder="1" applyProtection="1"/>
    <xf numFmtId="164" fontId="8" fillId="0" borderId="6" xfId="0" applyNumberFormat="1" applyFont="1" applyFill="1" applyBorder="1" applyProtection="1"/>
    <xf numFmtId="0" fontId="8" fillId="0" borderId="0" xfId="0" applyFont="1" applyFill="1" applyBorder="1" applyProtection="1"/>
    <xf numFmtId="0" fontId="8" fillId="0" borderId="5" xfId="0" applyFont="1" applyBorder="1" applyProtection="1"/>
    <xf numFmtId="164" fontId="8" fillId="0" borderId="0" xfId="0" applyNumberFormat="1" applyFont="1" applyBorder="1" applyProtection="1"/>
    <xf numFmtId="0" fontId="8" fillId="0" borderId="0" xfId="0" applyFont="1" applyBorder="1" applyProtection="1"/>
    <xf numFmtId="0" fontId="8" fillId="0" borderId="7" xfId="0" applyFont="1" applyBorder="1" applyProtection="1"/>
    <xf numFmtId="0" fontId="8" fillId="0" borderId="8" xfId="0" applyFont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8" fillId="0" borderId="7" xfId="0" applyFont="1" applyFill="1" applyBorder="1" applyProtection="1"/>
    <xf numFmtId="0" fontId="8" fillId="0" borderId="2" xfId="0" applyFont="1" applyFill="1" applyBorder="1" applyProtection="1"/>
    <xf numFmtId="0" fontId="8" fillId="0" borderId="4" xfId="0" applyFont="1" applyFill="1" applyBorder="1" applyProtection="1"/>
    <xf numFmtId="164" fontId="8" fillId="3" borderId="6" xfId="0" applyNumberFormat="1" applyFont="1" applyFill="1" applyBorder="1" applyAlignment="1" applyProtection="1">
      <alignment horizontal="right"/>
    </xf>
    <xf numFmtId="164" fontId="8" fillId="0" borderId="6" xfId="0" applyNumberFormat="1" applyFont="1" applyBorder="1" applyAlignment="1" applyProtection="1">
      <alignment horizontal="right"/>
    </xf>
    <xf numFmtId="164" fontId="8" fillId="0" borderId="0" xfId="0" applyNumberFormat="1" applyFont="1" applyFill="1" applyBorder="1" applyProtection="1"/>
    <xf numFmtId="0" fontId="8" fillId="0" borderId="6" xfId="0" applyFont="1" applyBorder="1" applyProtection="1"/>
    <xf numFmtId="0" fontId="2" fillId="0" borderId="0" xfId="0" applyFont="1" applyProtection="1"/>
    <xf numFmtId="0" fontId="2" fillId="0" borderId="0" xfId="0" applyFont="1" applyFill="1" applyProtection="1"/>
    <xf numFmtId="0" fontId="8" fillId="0" borderId="0" xfId="0" applyFont="1" applyFill="1" applyProtection="1"/>
    <xf numFmtId="0" fontId="8" fillId="0" borderId="0" xfId="0" applyFont="1" applyProtection="1"/>
    <xf numFmtId="0" fontId="0" fillId="0" borderId="0" xfId="0" applyFill="1" applyProtection="1"/>
    <xf numFmtId="0" fontId="9" fillId="0" borderId="0" xfId="0" quotePrefix="1" applyFont="1" applyProtection="1"/>
    <xf numFmtId="0" fontId="10" fillId="0" borderId="0" xfId="0" applyFont="1" applyAlignment="1" applyProtection="1">
      <alignment vertical="center"/>
    </xf>
    <xf numFmtId="0" fontId="15" fillId="0" borderId="0" xfId="0" applyFont="1" applyAlignment="1" applyProtection="1"/>
    <xf numFmtId="0" fontId="16" fillId="0" borderId="2" xfId="0" applyFont="1" applyFill="1" applyBorder="1" applyAlignment="1" applyProtection="1">
      <alignment horizontal="right"/>
    </xf>
    <xf numFmtId="0" fontId="8" fillId="0" borderId="3" xfId="0" applyFont="1" applyFill="1" applyBorder="1" applyProtection="1">
      <protection locked="0"/>
    </xf>
    <xf numFmtId="0" fontId="16" fillId="0" borderId="4" xfId="0" applyFont="1" applyBorder="1" applyAlignment="1" applyProtection="1">
      <alignment horizontal="right"/>
    </xf>
    <xf numFmtId="0" fontId="16" fillId="0" borderId="4" xfId="0" applyFont="1" applyFill="1" applyBorder="1" applyAlignment="1" applyProtection="1">
      <alignment horizontal="right"/>
    </xf>
    <xf numFmtId="0" fontId="8" fillId="0" borderId="9" xfId="0" applyFont="1" applyFill="1" applyBorder="1" applyProtection="1">
      <protection locked="0"/>
    </xf>
    <xf numFmtId="0" fontId="16" fillId="0" borderId="8" xfId="0" applyFont="1" applyBorder="1" applyAlignment="1" applyProtection="1">
      <alignment horizontal="right"/>
    </xf>
    <xf numFmtId="0" fontId="8" fillId="0" borderId="9" xfId="0" quotePrefix="1" applyFont="1" applyFill="1" applyBorder="1" applyProtection="1">
      <protection locked="0"/>
    </xf>
    <xf numFmtId="0" fontId="16" fillId="0" borderId="8" xfId="0" applyFont="1" applyFill="1" applyBorder="1" applyAlignment="1" applyProtection="1">
      <alignment horizontal="right"/>
    </xf>
    <xf numFmtId="0" fontId="8" fillId="0" borderId="3" xfId="0" applyFont="1" applyFill="1" applyBorder="1" applyAlignment="1" applyProtection="1">
      <alignment horizontal="right"/>
      <protection locked="0"/>
    </xf>
    <xf numFmtId="0" fontId="8" fillId="0" borderId="3" xfId="0" applyFont="1" applyBorder="1" applyProtection="1">
      <protection locked="0"/>
    </xf>
    <xf numFmtId="164" fontId="8" fillId="0" borderId="6" xfId="0" applyNumberFormat="1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right"/>
    </xf>
    <xf numFmtId="0" fontId="16" fillId="0" borderId="5" xfId="0" applyFont="1" applyBorder="1" applyAlignment="1" applyProtection="1">
      <alignment horizontal="right"/>
    </xf>
    <xf numFmtId="0" fontId="8" fillId="0" borderId="6" xfId="0" applyFont="1" applyBorder="1" applyAlignment="1" applyProtection="1">
      <alignment horizontal="right"/>
      <protection locked="0"/>
    </xf>
    <xf numFmtId="0" fontId="8" fillId="10" borderId="5" xfId="0" applyFont="1" applyFill="1" applyBorder="1" applyProtection="1"/>
    <xf numFmtId="164" fontId="8" fillId="10" borderId="6" xfId="0" applyNumberFormat="1" applyFont="1" applyFill="1" applyBorder="1" applyAlignment="1" applyProtection="1">
      <alignment horizontal="center"/>
    </xf>
    <xf numFmtId="0" fontId="8" fillId="10" borderId="0" xfId="0" applyFont="1" applyFill="1" applyBorder="1" applyProtection="1"/>
    <xf numFmtId="0" fontId="8" fillId="0" borderId="6" xfId="0" applyFont="1" applyBorder="1" applyProtection="1">
      <protection locked="0"/>
    </xf>
    <xf numFmtId="0" fontId="16" fillId="0" borderId="7" xfId="0" applyFont="1" applyBorder="1" applyAlignment="1" applyProtection="1">
      <alignment horizontal="right"/>
    </xf>
    <xf numFmtId="0" fontId="8" fillId="0" borderId="9" xfId="0" applyFont="1" applyBorder="1" applyAlignment="1" applyProtection="1">
      <alignment horizontal="right"/>
      <protection locked="0"/>
    </xf>
    <xf numFmtId="0" fontId="8" fillId="0" borderId="9" xfId="0" applyFont="1" applyBorder="1" applyProtection="1">
      <protection locked="0"/>
    </xf>
    <xf numFmtId="0" fontId="8" fillId="0" borderId="17" xfId="0" applyFont="1" applyBorder="1" applyProtection="1"/>
    <xf numFmtId="0" fontId="8" fillId="11" borderId="0" xfId="0" applyFont="1" applyFill="1" applyBorder="1" applyProtection="1"/>
    <xf numFmtId="0" fontId="8" fillId="10" borderId="7" xfId="0" applyFont="1" applyFill="1" applyBorder="1" applyProtection="1"/>
    <xf numFmtId="164" fontId="8" fillId="10" borderId="9" xfId="0" applyNumberFormat="1" applyFont="1" applyFill="1" applyBorder="1" applyAlignment="1" applyProtection="1">
      <alignment horizontal="center"/>
    </xf>
    <xf numFmtId="10" fontId="8" fillId="0" borderId="3" xfId="0" applyNumberFormat="1" applyFont="1" applyBorder="1" applyProtection="1">
      <protection locked="0"/>
    </xf>
    <xf numFmtId="0" fontId="8" fillId="11" borderId="8" xfId="0" applyFont="1" applyFill="1" applyBorder="1" applyProtection="1"/>
    <xf numFmtId="0" fontId="16" fillId="0" borderId="0" xfId="0" applyFont="1" applyFill="1" applyBorder="1" applyAlignment="1" applyProtection="1">
      <alignment horizontal="right"/>
    </xf>
    <xf numFmtId="2" fontId="8" fillId="0" borderId="9" xfId="0" applyNumberFormat="1" applyFont="1" applyBorder="1" applyAlignment="1" applyProtection="1">
      <alignment horizontal="center"/>
    </xf>
    <xf numFmtId="166" fontId="8" fillId="0" borderId="0" xfId="0" applyNumberFormat="1" applyFont="1" applyFill="1" applyBorder="1" applyProtection="1"/>
    <xf numFmtId="166" fontId="8" fillId="0" borderId="0" xfId="0" applyNumberFormat="1" applyFont="1" applyBorder="1" applyProtection="1"/>
    <xf numFmtId="0" fontId="8" fillId="3" borderId="6" xfId="0" applyFont="1" applyFill="1" applyBorder="1" applyProtection="1"/>
    <xf numFmtId="167" fontId="8" fillId="0" borderId="0" xfId="0" applyNumberFormat="1" applyFont="1" applyBorder="1" applyProtection="1"/>
    <xf numFmtId="0" fontId="8" fillId="11" borderId="6" xfId="0" applyFont="1" applyFill="1" applyBorder="1" applyProtection="1"/>
    <xf numFmtId="164" fontId="8" fillId="0" borderId="9" xfId="0" applyNumberFormat="1" applyFont="1" applyFill="1" applyBorder="1" applyAlignment="1" applyProtection="1">
      <alignment horizontal="center"/>
    </xf>
    <xf numFmtId="0" fontId="8" fillId="11" borderId="9" xfId="0" applyFont="1" applyFill="1" applyBorder="1" applyProtection="1"/>
    <xf numFmtId="8" fontId="8" fillId="0" borderId="0" xfId="0" applyNumberFormat="1" applyFont="1" applyProtection="1"/>
    <xf numFmtId="0" fontId="1" fillId="0" borderId="0" xfId="0" applyFont="1" applyFill="1" applyBorder="1" applyAlignment="1" applyProtection="1"/>
    <xf numFmtId="0" fontId="0" fillId="0" borderId="0" xfId="0" quotePrefix="1" applyFill="1" applyBorder="1" applyAlignment="1" applyProtection="1">
      <alignment horizontal="center"/>
    </xf>
    <xf numFmtId="0" fontId="8" fillId="0" borderId="6" xfId="0" quotePrefix="1" applyFont="1" applyFill="1" applyBorder="1" applyAlignment="1" applyProtection="1">
      <alignment horizontal="right"/>
    </xf>
    <xf numFmtId="0" fontId="0" fillId="0" borderId="0" xfId="0" applyFill="1" applyBorder="1" applyProtection="1"/>
    <xf numFmtId="164" fontId="8" fillId="0" borderId="9" xfId="0" applyNumberFormat="1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0" fillId="0" borderId="25" xfId="0" applyFill="1" applyBorder="1" applyProtection="1"/>
    <xf numFmtId="0" fontId="0" fillId="0" borderId="27" xfId="0" applyFill="1" applyBorder="1" applyProtection="1"/>
    <xf numFmtId="0" fontId="0" fillId="0" borderId="28" xfId="0" applyFill="1" applyBorder="1" applyProtection="1"/>
    <xf numFmtId="0" fontId="0" fillId="0" borderId="29" xfId="0" applyFill="1" applyBorder="1" applyProtection="1"/>
    <xf numFmtId="0" fontId="0" fillId="0" borderId="30" xfId="0" applyFill="1" applyBorder="1" applyProtection="1"/>
    <xf numFmtId="0" fontId="0" fillId="0" borderId="31" xfId="0" applyFill="1" applyBorder="1" applyProtection="1"/>
    <xf numFmtId="0" fontId="0" fillId="0" borderId="32" xfId="0" applyFill="1" applyBorder="1" applyProtection="1"/>
    <xf numFmtId="0" fontId="0" fillId="0" borderId="33" xfId="0" applyFill="1" applyBorder="1" applyProtection="1"/>
    <xf numFmtId="0" fontId="22" fillId="0" borderId="30" xfId="0" applyFont="1" applyFill="1" applyBorder="1" applyAlignment="1" applyProtection="1"/>
    <xf numFmtId="0" fontId="23" fillId="0" borderId="34" xfId="0" applyFont="1" applyFill="1" applyBorder="1" applyAlignment="1" applyProtection="1"/>
    <xf numFmtId="0" fontId="8" fillId="0" borderId="35" xfId="0" applyFont="1" applyFill="1" applyBorder="1" applyAlignment="1" applyProtection="1"/>
    <xf numFmtId="0" fontId="0" fillId="0" borderId="36" xfId="0" applyFill="1" applyBorder="1" applyAlignment="1" applyProtection="1"/>
    <xf numFmtId="0" fontId="0" fillId="0" borderId="37" xfId="0" applyFill="1" applyBorder="1" applyAlignment="1" applyProtection="1"/>
    <xf numFmtId="0" fontId="0" fillId="0" borderId="30" xfId="0" applyFill="1" applyBorder="1" applyAlignment="1" applyProtection="1"/>
    <xf numFmtId="0" fontId="0" fillId="0" borderId="39" xfId="0" applyFill="1" applyBorder="1" applyProtection="1"/>
    <xf numFmtId="0" fontId="0" fillId="0" borderId="40" xfId="0" applyFill="1" applyBorder="1" applyProtection="1"/>
    <xf numFmtId="0" fontId="0" fillId="0" borderId="41" xfId="0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Border="1" applyProtection="1"/>
    <xf numFmtId="0" fontId="0" fillId="0" borderId="42" xfId="0" applyBorder="1" applyProtection="1"/>
    <xf numFmtId="0" fontId="0" fillId="0" borderId="43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0" fillId="0" borderId="46" xfId="0" applyBorder="1" applyProtection="1"/>
    <xf numFmtId="0" fontId="0" fillId="0" borderId="47" xfId="0" applyBorder="1" applyProtection="1"/>
    <xf numFmtId="0" fontId="0" fillId="0" borderId="48" xfId="0" applyBorder="1" applyProtection="1"/>
    <xf numFmtId="0" fontId="23" fillId="0" borderId="49" xfId="0" applyFont="1" applyBorder="1" applyAlignment="1" applyProtection="1">
      <alignment wrapText="1"/>
    </xf>
    <xf numFmtId="0" fontId="0" fillId="0" borderId="50" xfId="0" applyBorder="1" applyProtection="1"/>
    <xf numFmtId="0" fontId="0" fillId="0" borderId="51" xfId="0" applyBorder="1" applyProtection="1"/>
    <xf numFmtId="0" fontId="0" fillId="0" borderId="52" xfId="0" applyBorder="1" applyProtection="1"/>
    <xf numFmtId="0" fontId="23" fillId="0" borderId="53" xfId="0" applyFont="1" applyBorder="1" applyAlignment="1" applyProtection="1">
      <alignment wrapText="1"/>
    </xf>
    <xf numFmtId="0" fontId="23" fillId="0" borderId="54" xfId="0" applyFont="1" applyBorder="1" applyAlignment="1" applyProtection="1">
      <alignment wrapText="1"/>
    </xf>
    <xf numFmtId="0" fontId="0" fillId="0" borderId="55" xfId="0" applyBorder="1" applyProtection="1"/>
    <xf numFmtId="0" fontId="0" fillId="0" borderId="58" xfId="0" applyBorder="1" applyProtection="1"/>
    <xf numFmtId="0" fontId="0" fillId="0" borderId="59" xfId="0" applyBorder="1" applyProtection="1"/>
    <xf numFmtId="0" fontId="0" fillId="0" borderId="60" xfId="0" applyBorder="1" applyProtection="1"/>
    <xf numFmtId="0" fontId="0" fillId="0" borderId="61" xfId="0" applyBorder="1" applyProtection="1"/>
    <xf numFmtId="0" fontId="0" fillId="0" borderId="62" xfId="0" applyFill="1" applyBorder="1" applyProtection="1"/>
    <xf numFmtId="0" fontId="0" fillId="0" borderId="63" xfId="0" applyBorder="1" applyProtection="1"/>
    <xf numFmtId="0" fontId="0" fillId="0" borderId="64" xfId="0" applyBorder="1" applyProtection="1"/>
    <xf numFmtId="0" fontId="0" fillId="0" borderId="65" xfId="0" applyBorder="1" applyProtection="1"/>
    <xf numFmtId="0" fontId="0" fillId="0" borderId="66" xfId="0" applyBorder="1" applyProtection="1"/>
    <xf numFmtId="0" fontId="0" fillId="0" borderId="67" xfId="0" applyBorder="1" applyProtection="1"/>
    <xf numFmtId="0" fontId="0" fillId="0" borderId="68" xfId="0" applyBorder="1" applyProtection="1"/>
    <xf numFmtId="0" fontId="0" fillId="0" borderId="72" xfId="0" applyBorder="1" applyAlignment="1" applyProtection="1"/>
    <xf numFmtId="0" fontId="0" fillId="0" borderId="73" xfId="0" applyBorder="1" applyAlignment="1" applyProtection="1"/>
    <xf numFmtId="0" fontId="0" fillId="0" borderId="75" xfId="0" applyBorder="1" applyProtection="1"/>
    <xf numFmtId="0" fontId="0" fillId="0" borderId="77" xfId="0" applyBorder="1" applyProtection="1"/>
    <xf numFmtId="0" fontId="21" fillId="0" borderId="79" xfId="0" applyFont="1" applyBorder="1" applyAlignment="1" applyProtection="1">
      <alignment vertical="center" wrapText="1"/>
    </xf>
    <xf numFmtId="0" fontId="0" fillId="0" borderId="80" xfId="0" applyBorder="1" applyProtection="1"/>
    <xf numFmtId="0" fontId="0" fillId="0" borderId="8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21" fillId="0" borderId="85" xfId="0" applyFont="1" applyBorder="1" applyAlignment="1" applyProtection="1">
      <alignment vertical="center" wrapText="1"/>
    </xf>
    <xf numFmtId="0" fontId="0" fillId="0" borderId="86" xfId="0" applyBorder="1" applyProtection="1"/>
    <xf numFmtId="0" fontId="0" fillId="0" borderId="87" xfId="0" applyBorder="1" applyProtection="1"/>
    <xf numFmtId="0" fontId="0" fillId="0" borderId="88" xfId="0" applyFill="1" applyBorder="1" applyProtection="1"/>
    <xf numFmtId="0" fontId="0" fillId="0" borderId="89" xfId="0" applyBorder="1" applyProtection="1"/>
    <xf numFmtId="0" fontId="0" fillId="0" borderId="90" xfId="0" applyBorder="1" applyProtection="1"/>
    <xf numFmtId="0" fontId="0" fillId="0" borderId="91" xfId="0" applyBorder="1" applyProtection="1"/>
    <xf numFmtId="0" fontId="0" fillId="0" borderId="92" xfId="0" applyBorder="1" applyProtection="1"/>
    <xf numFmtId="0" fontId="0" fillId="0" borderId="93" xfId="0" applyBorder="1" applyProtection="1"/>
    <xf numFmtId="0" fontId="0" fillId="0" borderId="94" xfId="0" applyBorder="1" applyProtection="1"/>
    <xf numFmtId="0" fontId="0" fillId="0" borderId="95" xfId="0" applyBorder="1" applyProtection="1"/>
    <xf numFmtId="0" fontId="0" fillId="0" borderId="96" xfId="0" applyBorder="1" applyProtection="1"/>
    <xf numFmtId="0" fontId="0" fillId="0" borderId="98" xfId="0" applyBorder="1" applyProtection="1"/>
    <xf numFmtId="0" fontId="0" fillId="0" borderId="99" xfId="0" applyBorder="1" applyProtection="1"/>
    <xf numFmtId="0" fontId="0" fillId="0" borderId="103" xfId="0" applyBorder="1" applyProtection="1"/>
    <xf numFmtId="0" fontId="0" fillId="0" borderId="104" xfId="0" applyBorder="1" applyProtection="1"/>
    <xf numFmtId="0" fontId="0" fillId="0" borderId="105" xfId="0" applyBorder="1" applyProtection="1"/>
    <xf numFmtId="0" fontId="0" fillId="0" borderId="106" xfId="0" applyBorder="1" applyProtection="1"/>
    <xf numFmtId="0" fontId="0" fillId="0" borderId="107" xfId="0" applyBorder="1" applyProtection="1"/>
    <xf numFmtId="0" fontId="0" fillId="0" borderId="108" xfId="0" applyBorder="1" applyProtection="1"/>
    <xf numFmtId="0" fontId="0" fillId="0" borderId="109" xfId="0" applyBorder="1" applyProtection="1"/>
    <xf numFmtId="0" fontId="0" fillId="0" borderId="110" xfId="0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111" xfId="0" applyFill="1" applyBorder="1" applyProtection="1"/>
    <xf numFmtId="0" fontId="0" fillId="9" borderId="45" xfId="0" applyFill="1" applyBorder="1" applyProtection="1"/>
    <xf numFmtId="0" fontId="0" fillId="9" borderId="112" xfId="0" applyFill="1" applyBorder="1" applyProtection="1"/>
    <xf numFmtId="0" fontId="0" fillId="9" borderId="46" xfId="0" applyFill="1" applyBorder="1" applyProtection="1"/>
    <xf numFmtId="0" fontId="0" fillId="9" borderId="47" xfId="0" applyFill="1" applyBorder="1" applyProtection="1"/>
    <xf numFmtId="0" fontId="0" fillId="9" borderId="113" xfId="0" applyFill="1" applyBorder="1" applyProtection="1"/>
    <xf numFmtId="0" fontId="0" fillId="0" borderId="114" xfId="0" applyBorder="1" applyProtection="1"/>
    <xf numFmtId="0" fontId="0" fillId="9" borderId="115" xfId="0" applyFill="1" applyBorder="1" applyProtection="1"/>
    <xf numFmtId="0" fontId="0" fillId="9" borderId="50" xfId="0" applyFill="1" applyBorder="1" applyProtection="1"/>
    <xf numFmtId="0" fontId="0" fillId="9" borderId="116" xfId="0" applyFill="1" applyBorder="1" applyProtection="1"/>
    <xf numFmtId="0" fontId="0" fillId="9" borderId="117" xfId="0" applyFill="1" applyBorder="1" applyProtection="1"/>
    <xf numFmtId="0" fontId="0" fillId="0" borderId="118" xfId="0" applyBorder="1" applyProtection="1"/>
    <xf numFmtId="0" fontId="0" fillId="0" borderId="116" xfId="0" applyBorder="1" applyProtection="1"/>
    <xf numFmtId="0" fontId="0" fillId="9" borderId="119" xfId="0" applyFill="1" applyBorder="1" applyProtection="1"/>
    <xf numFmtId="0" fontId="0" fillId="9" borderId="120" xfId="0" applyFill="1" applyBorder="1" applyProtection="1"/>
    <xf numFmtId="0" fontId="0" fillId="9" borderId="121" xfId="0" applyFill="1" applyBorder="1" applyProtection="1"/>
    <xf numFmtId="0" fontId="0" fillId="9" borderId="122" xfId="0" applyFill="1" applyBorder="1" applyProtection="1"/>
    <xf numFmtId="0" fontId="0" fillId="9" borderId="123" xfId="0" applyFill="1" applyBorder="1" applyProtection="1"/>
    <xf numFmtId="0" fontId="0" fillId="9" borderId="124" xfId="0" applyFill="1" applyBorder="1" applyProtection="1"/>
    <xf numFmtId="0" fontId="0" fillId="9" borderId="125" xfId="0" applyFill="1" applyBorder="1" applyProtection="1"/>
    <xf numFmtId="0" fontId="0" fillId="0" borderId="126" xfId="0" applyBorder="1" applyProtection="1"/>
    <xf numFmtId="0" fontId="0" fillId="0" borderId="126" xfId="0" applyFill="1" applyBorder="1" applyProtection="1"/>
    <xf numFmtId="0" fontId="0" fillId="0" borderId="127" xfId="0" applyBorder="1" applyProtection="1"/>
    <xf numFmtId="0" fontId="0" fillId="0" borderId="128" xfId="0" applyBorder="1" applyProtection="1"/>
    <xf numFmtId="0" fontId="0" fillId="0" borderId="129" xfId="0" applyBorder="1" applyProtection="1"/>
    <xf numFmtId="0" fontId="0" fillId="0" borderId="115" xfId="0" applyBorder="1" applyProtection="1"/>
    <xf numFmtId="0" fontId="0" fillId="0" borderId="130" xfId="0" applyBorder="1" applyProtection="1"/>
    <xf numFmtId="0" fontId="0" fillId="0" borderId="131" xfId="0" applyBorder="1" applyProtection="1"/>
    <xf numFmtId="0" fontId="0" fillId="0" borderId="134" xfId="0" applyBorder="1" applyProtection="1"/>
    <xf numFmtId="0" fontId="0" fillId="0" borderId="133" xfId="0" applyBorder="1" applyProtection="1"/>
    <xf numFmtId="0" fontId="0" fillId="0" borderId="135" xfId="0" applyBorder="1" applyProtection="1"/>
    <xf numFmtId="0" fontId="0" fillId="0" borderId="136" xfId="0" applyBorder="1" applyProtection="1"/>
    <xf numFmtId="0" fontId="0" fillId="0" borderId="116" xfId="0" applyFill="1" applyBorder="1" applyProtection="1"/>
    <xf numFmtId="0" fontId="0" fillId="0" borderId="117" xfId="0" applyBorder="1" applyProtection="1"/>
    <xf numFmtId="0" fontId="0" fillId="0" borderId="137" xfId="0" applyBorder="1" applyProtection="1"/>
    <xf numFmtId="0" fontId="0" fillId="0" borderId="138" xfId="0" applyBorder="1" applyProtection="1"/>
    <xf numFmtId="0" fontId="0" fillId="0" borderId="119" xfId="0" applyBorder="1" applyProtection="1"/>
    <xf numFmtId="0" fontId="0" fillId="0" borderId="113" xfId="0" applyBorder="1" applyProtection="1"/>
    <xf numFmtId="0" fontId="0" fillId="0" borderId="49" xfId="0" applyBorder="1" applyProtection="1"/>
    <xf numFmtId="0" fontId="0" fillId="0" borderId="146" xfId="0" applyBorder="1" applyProtection="1"/>
    <xf numFmtId="0" fontId="0" fillId="0" borderId="147" xfId="0" applyBorder="1" applyProtection="1"/>
    <xf numFmtId="0" fontId="0" fillId="0" borderId="148" xfId="0" applyBorder="1" applyProtection="1"/>
    <xf numFmtId="0" fontId="0" fillId="0" borderId="149" xfId="0" applyBorder="1" applyProtection="1"/>
    <xf numFmtId="0" fontId="0" fillId="0" borderId="150" xfId="0" applyBorder="1" applyProtection="1"/>
    <xf numFmtId="0" fontId="0" fillId="0" borderId="151" xfId="0" applyBorder="1" applyProtection="1"/>
    <xf numFmtId="166" fontId="4" fillId="0" borderId="0" xfId="0" applyNumberFormat="1" applyFont="1" applyFill="1" applyProtection="1"/>
    <xf numFmtId="0" fontId="16" fillId="0" borderId="5" xfId="0" applyFont="1" applyFill="1" applyBorder="1" applyAlignment="1" applyProtection="1">
      <alignment horizontal="right"/>
    </xf>
    <xf numFmtId="0" fontId="8" fillId="0" borderId="6" xfId="0" applyFont="1" applyFill="1" applyBorder="1" applyProtection="1">
      <protection locked="0"/>
    </xf>
    <xf numFmtId="0" fontId="8" fillId="0" borderId="6" xfId="0" quotePrefix="1" applyFont="1" applyFill="1" applyBorder="1" applyProtection="1">
      <protection locked="0"/>
    </xf>
    <xf numFmtId="166" fontId="8" fillId="0" borderId="0" xfId="0" applyNumberFormat="1" applyFont="1" applyProtection="1"/>
    <xf numFmtId="0" fontId="8" fillId="0" borderId="21" xfId="0" applyFont="1" applyFill="1" applyBorder="1" applyProtection="1"/>
    <xf numFmtId="0" fontId="8" fillId="0" borderId="6" xfId="0" applyFont="1" applyFill="1" applyBorder="1" applyProtection="1"/>
    <xf numFmtId="0" fontId="8" fillId="12" borderId="21" xfId="0" applyFont="1" applyFill="1" applyBorder="1" applyProtection="1"/>
    <xf numFmtId="0" fontId="8" fillId="12" borderId="6" xfId="0" applyFont="1" applyFill="1" applyBorder="1" applyProtection="1"/>
    <xf numFmtId="0" fontId="8" fillId="0" borderId="20" xfId="0" applyFont="1" applyFill="1" applyBorder="1" applyProtection="1"/>
    <xf numFmtId="0" fontId="8" fillId="0" borderId="9" xfId="0" applyFont="1" applyFill="1" applyBorder="1" applyProtection="1"/>
    <xf numFmtId="0" fontId="8" fillId="12" borderId="20" xfId="0" applyFont="1" applyFill="1" applyBorder="1" applyProtection="1"/>
    <xf numFmtId="0" fontId="8" fillId="12" borderId="9" xfId="0" applyFont="1" applyFill="1" applyBorder="1" applyProtection="1"/>
    <xf numFmtId="0" fontId="16" fillId="0" borderId="0" xfId="0" applyFont="1" applyAlignment="1" applyProtection="1">
      <alignment horizontal="right"/>
    </xf>
    <xf numFmtId="164" fontId="8" fillId="0" borderId="4" xfId="0" applyNumberFormat="1" applyFont="1" applyBorder="1" applyAlignment="1" applyProtection="1">
      <alignment horizontal="center"/>
    </xf>
    <xf numFmtId="0" fontId="8" fillId="12" borderId="5" xfId="0" applyFont="1" applyFill="1" applyBorder="1" applyProtection="1"/>
    <xf numFmtId="164" fontId="8" fillId="12" borderId="0" xfId="0" applyNumberFormat="1" applyFont="1" applyFill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8" fillId="0" borderId="9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166" fontId="8" fillId="0" borderId="0" xfId="0" applyNumberFormat="1" applyFont="1" applyFill="1" applyProtection="1"/>
    <xf numFmtId="0" fontId="8" fillId="0" borderId="0" xfId="0" quotePrefix="1" applyFont="1" applyFill="1" applyProtection="1"/>
    <xf numFmtId="166" fontId="4" fillId="0" borderId="0" xfId="0" applyNumberFormat="1" applyFont="1" applyProtection="1"/>
    <xf numFmtId="0" fontId="16" fillId="0" borderId="0" xfId="0" applyFont="1" applyFill="1" applyBorder="1" applyAlignment="1" applyProtection="1"/>
    <xf numFmtId="164" fontId="8" fillId="0" borderId="6" xfId="0" applyNumberFormat="1" applyFont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center"/>
    </xf>
    <xf numFmtId="164" fontId="8" fillId="0" borderId="3" xfId="0" applyNumberFormat="1" applyFont="1" applyFill="1" applyBorder="1" applyAlignment="1" applyProtection="1">
      <alignment horizontal="center"/>
    </xf>
    <xf numFmtId="0" fontId="8" fillId="10" borderId="5" xfId="0" applyFont="1" applyFill="1" applyBorder="1" applyAlignment="1" applyProtection="1"/>
    <xf numFmtId="0" fontId="8" fillId="10" borderId="0" xfId="0" applyFont="1" applyFill="1" applyBorder="1" applyAlignment="1" applyProtection="1">
      <alignment horizontal="center"/>
    </xf>
    <xf numFmtId="0" fontId="8" fillId="0" borderId="5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164" fontId="8" fillId="0" borderId="9" xfId="0" applyNumberFormat="1" applyFont="1" applyBorder="1" applyAlignment="1" applyProtection="1">
      <alignment horizontal="center"/>
    </xf>
    <xf numFmtId="164" fontId="8" fillId="0" borderId="2" xfId="0" applyNumberFormat="1" applyFont="1" applyFill="1" applyBorder="1" applyAlignment="1" applyProtection="1">
      <alignment horizontal="left"/>
    </xf>
    <xf numFmtId="164" fontId="8" fillId="10" borderId="7" xfId="0" applyNumberFormat="1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>
      <alignment horizontal="center"/>
    </xf>
    <xf numFmtId="166" fontId="2" fillId="0" borderId="0" xfId="0" applyNumberFormat="1" applyFont="1" applyProtection="1"/>
    <xf numFmtId="0" fontId="2" fillId="0" borderId="0" xfId="0" applyFont="1" applyAlignment="1" applyProtection="1"/>
    <xf numFmtId="0" fontId="27" fillId="8" borderId="1" xfId="0" applyFont="1" applyFill="1" applyBorder="1" applyAlignment="1" applyProtection="1">
      <alignment horizontal="center"/>
    </xf>
    <xf numFmtId="0" fontId="0" fillId="0" borderId="21" xfId="0" applyFill="1" applyBorder="1" applyProtection="1"/>
    <xf numFmtId="164" fontId="0" fillId="0" borderId="21" xfId="0" applyNumberFormat="1" applyFill="1" applyBorder="1" applyAlignment="1" applyProtection="1">
      <alignment horizontal="center"/>
    </xf>
    <xf numFmtId="0" fontId="0" fillId="12" borderId="21" xfId="0" applyFill="1" applyBorder="1" applyProtection="1"/>
    <xf numFmtId="164" fontId="0" fillId="12" borderId="6" xfId="0" applyNumberFormat="1" applyFill="1" applyBorder="1" applyAlignment="1" applyProtection="1">
      <alignment horizontal="center"/>
    </xf>
    <xf numFmtId="164" fontId="0" fillId="12" borderId="21" xfId="0" applyNumberFormat="1" applyFill="1" applyBorder="1" applyAlignment="1" applyProtection="1">
      <alignment horizontal="center"/>
    </xf>
    <xf numFmtId="0" fontId="0" fillId="0" borderId="20" xfId="0" applyFill="1" applyBorder="1" applyProtection="1"/>
    <xf numFmtId="164" fontId="0" fillId="0" borderId="9" xfId="0" applyNumberFormat="1" applyFill="1" applyBorder="1" applyAlignment="1" applyProtection="1">
      <alignment horizontal="center"/>
    </xf>
    <xf numFmtId="164" fontId="0" fillId="0" borderId="20" xfId="0" applyNumberFormat="1" applyFill="1" applyBorder="1" applyAlignment="1" applyProtection="1">
      <alignment horizontal="center"/>
    </xf>
    <xf numFmtId="0" fontId="0" fillId="12" borderId="20" xfId="0" applyFill="1" applyBorder="1" applyProtection="1"/>
    <xf numFmtId="164" fontId="0" fillId="12" borderId="9" xfId="0" applyNumberFormat="1" applyFill="1" applyBorder="1" applyAlignment="1" applyProtection="1">
      <alignment horizontal="center"/>
    </xf>
    <xf numFmtId="164" fontId="0" fillId="12" borderId="20" xfId="0" applyNumberFormat="1" applyFill="1" applyBorder="1" applyAlignment="1" applyProtection="1">
      <alignment horizontal="center"/>
    </xf>
    <xf numFmtId="0" fontId="0" fillId="0" borderId="0" xfId="0" applyAlignment="1" applyProtection="1"/>
    <xf numFmtId="0" fontId="0" fillId="0" borderId="3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7" xfId="0" applyFont="1" applyBorder="1" applyAlignment="1" applyProtection="1">
      <alignment horizontal="right"/>
    </xf>
    <xf numFmtId="0" fontId="3" fillId="0" borderId="8" xfId="0" applyFont="1" applyBorder="1" applyAlignment="1" applyProtection="1">
      <alignment horizontal="right"/>
    </xf>
    <xf numFmtId="0" fontId="3" fillId="0" borderId="17" xfId="0" applyFont="1" applyBorder="1" applyAlignment="1" applyProtection="1">
      <alignment horizontal="right"/>
    </xf>
    <xf numFmtId="0" fontId="0" fillId="0" borderId="19" xfId="0" applyBorder="1" applyProtection="1">
      <protection locked="0"/>
    </xf>
    <xf numFmtId="0" fontId="3" fillId="0" borderId="18" xfId="0" applyFont="1" applyBorder="1" applyAlignment="1" applyProtection="1">
      <alignment horizontal="right"/>
    </xf>
    <xf numFmtId="164" fontId="0" fillId="0" borderId="9" xfId="0" applyNumberFormat="1" applyBorder="1" applyProtection="1">
      <protection locked="0"/>
    </xf>
    <xf numFmtId="0" fontId="0" fillId="0" borderId="5" xfId="0" applyFill="1" applyBorder="1" applyAlignment="1" applyProtection="1"/>
    <xf numFmtId="0" fontId="0" fillId="0" borderId="0" xfId="0" applyFill="1" applyBorder="1" applyAlignment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164" fontId="0" fillId="0" borderId="6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0" borderId="4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0" fontId="0" fillId="14" borderId="5" xfId="0" applyFill="1" applyBorder="1" applyAlignment="1" applyProtection="1"/>
    <xf numFmtId="0" fontId="0" fillId="14" borderId="0" xfId="0" applyFill="1" applyBorder="1" applyAlignment="1" applyProtection="1"/>
    <xf numFmtId="164" fontId="0" fillId="14" borderId="6" xfId="0" applyNumberFormat="1" applyFill="1" applyBorder="1" applyAlignment="1" applyProtection="1">
      <alignment horizontal="center"/>
    </xf>
    <xf numFmtId="0" fontId="0" fillId="14" borderId="5" xfId="0" applyFill="1" applyBorder="1" applyProtection="1"/>
    <xf numFmtId="0" fontId="0" fillId="14" borderId="0" xfId="0" applyFill="1" applyBorder="1" applyAlignment="1" applyProtection="1">
      <alignment horizontal="center"/>
    </xf>
    <xf numFmtId="0" fontId="0" fillId="0" borderId="4" xfId="0" applyFill="1" applyBorder="1" applyAlignment="1" applyProtection="1"/>
    <xf numFmtId="0" fontId="8" fillId="0" borderId="0" xfId="0" applyFont="1" applyFill="1" applyBorder="1" applyAlignment="1" applyProtection="1"/>
    <xf numFmtId="0" fontId="0" fillId="0" borderId="5" xfId="0" applyFill="1" applyBorder="1" applyProtection="1"/>
    <xf numFmtId="0" fontId="0" fillId="14" borderId="7" xfId="0" applyFill="1" applyBorder="1" applyProtection="1"/>
    <xf numFmtId="164" fontId="0" fillId="14" borderId="9" xfId="0" applyNumberFormat="1" applyFill="1" applyBorder="1" applyAlignment="1" applyProtection="1">
      <alignment horizontal="center"/>
    </xf>
    <xf numFmtId="0" fontId="0" fillId="14" borderId="2" xfId="0" applyFill="1" applyBorder="1" applyAlignment="1" applyProtection="1"/>
    <xf numFmtId="0" fontId="0" fillId="14" borderId="4" xfId="0" applyFill="1" applyBorder="1" applyAlignment="1" applyProtection="1"/>
    <xf numFmtId="164" fontId="0" fillId="14" borderId="3" xfId="0" applyNumberFormat="1" applyFill="1" applyBorder="1" applyAlignment="1" applyProtection="1">
      <alignment horizontal="center"/>
    </xf>
    <xf numFmtId="0" fontId="8" fillId="14" borderId="5" xfId="0" applyFont="1" applyFill="1" applyBorder="1" applyAlignment="1" applyProtection="1"/>
    <xf numFmtId="0" fontId="8" fillId="14" borderId="0" xfId="0" applyFont="1" applyFill="1" applyBorder="1" applyAlignment="1" applyProtection="1"/>
    <xf numFmtId="164" fontId="8" fillId="14" borderId="6" xfId="0" applyNumberFormat="1" applyFont="1" applyFill="1" applyBorder="1" applyAlignment="1" applyProtection="1">
      <alignment horizontal="center"/>
    </xf>
    <xf numFmtId="0" fontId="0" fillId="0" borderId="7" xfId="0" applyFill="1" applyBorder="1" applyProtection="1"/>
    <xf numFmtId="0" fontId="29" fillId="0" borderId="0" xfId="0" applyFont="1" applyAlignment="1" applyProtection="1">
      <alignment vertical="center"/>
    </xf>
    <xf numFmtId="0" fontId="8" fillId="0" borderId="8" xfId="0" applyFont="1" applyFill="1" applyBorder="1" applyAlignment="1" applyProtection="1"/>
    <xf numFmtId="166" fontId="8" fillId="0" borderId="0" xfId="0" quotePrefix="1" applyNumberFormat="1" applyFont="1" applyFill="1" applyProtection="1"/>
    <xf numFmtId="0" fontId="8" fillId="0" borderId="5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/>
    <xf numFmtId="0" fontId="8" fillId="0" borderId="3" xfId="0" applyFont="1" applyFill="1" applyBorder="1" applyAlignment="1" applyProtection="1">
      <alignment horizontal="center"/>
    </xf>
    <xf numFmtId="164" fontId="8" fillId="14" borderId="0" xfId="0" applyNumberFormat="1" applyFont="1" applyFill="1" applyBorder="1" applyAlignment="1" applyProtection="1">
      <alignment horizontal="center"/>
    </xf>
    <xf numFmtId="2" fontId="8" fillId="14" borderId="0" xfId="0" applyNumberFormat="1" applyFont="1" applyFill="1" applyBorder="1" applyAlignment="1" applyProtection="1">
      <alignment horizontal="center"/>
    </xf>
    <xf numFmtId="0" fontId="8" fillId="14" borderId="0" xfId="0" applyFont="1" applyFill="1" applyBorder="1" applyAlignment="1" applyProtection="1">
      <alignment horizontal="center"/>
    </xf>
    <xf numFmtId="0" fontId="8" fillId="14" borderId="6" xfId="0" applyFont="1" applyFill="1" applyBorder="1" applyAlignment="1" applyProtection="1">
      <alignment horizontal="center"/>
    </xf>
    <xf numFmtId="0" fontId="8" fillId="14" borderId="5" xfId="0" applyFont="1" applyFill="1" applyBorder="1" applyProtection="1"/>
    <xf numFmtId="0" fontId="8" fillId="14" borderId="7" xfId="0" applyFont="1" applyFill="1" applyBorder="1" applyAlignment="1" applyProtection="1"/>
    <xf numFmtId="0" fontId="8" fillId="14" borderId="8" xfId="0" applyFont="1" applyFill="1" applyBorder="1" applyAlignment="1" applyProtection="1">
      <alignment horizontal="center"/>
    </xf>
    <xf numFmtId="0" fontId="8" fillId="14" borderId="5" xfId="0" applyFont="1" applyFill="1" applyBorder="1" applyAlignment="1" applyProtection="1">
      <alignment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left"/>
    </xf>
    <xf numFmtId="0" fontId="8" fillId="0" borderId="4" xfId="0" applyFont="1" applyBorder="1" applyAlignment="1" applyProtection="1">
      <alignment horizontal="right"/>
      <protection locked="0"/>
    </xf>
    <xf numFmtId="164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10" borderId="6" xfId="0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0" fillId="0" borderId="4" xfId="0" applyBorder="1" applyProtection="1"/>
    <xf numFmtId="0" fontId="0" fillId="0" borderId="2" xfId="0" applyFill="1" applyBorder="1" applyProtection="1"/>
    <xf numFmtId="0" fontId="0" fillId="14" borderId="0" xfId="0" applyFill="1" applyBorder="1" applyProtection="1"/>
    <xf numFmtId="0" fontId="0" fillId="0" borderId="7" xfId="0" applyBorder="1" applyProtection="1"/>
    <xf numFmtId="0" fontId="0" fillId="11" borderId="0" xfId="0" applyFill="1" applyProtection="1"/>
    <xf numFmtId="0" fontId="8" fillId="14" borderId="7" xfId="0" applyFont="1" applyFill="1" applyBorder="1" applyProtection="1"/>
    <xf numFmtId="0" fontId="0" fillId="0" borderId="5" xfId="0" applyFont="1" applyFill="1" applyBorder="1" applyProtection="1"/>
    <xf numFmtId="0" fontId="0" fillId="11" borderId="3" xfId="0" applyFill="1" applyBorder="1" applyProtection="1"/>
    <xf numFmtId="0" fontId="0" fillId="11" borderId="2" xfId="0" applyFill="1" applyBorder="1" applyProtection="1"/>
    <xf numFmtId="0" fontId="0" fillId="11" borderId="0" xfId="0" applyFill="1" applyBorder="1" applyProtection="1"/>
    <xf numFmtId="0" fontId="0" fillId="11" borderId="6" xfId="0" applyFill="1" applyBorder="1" applyProtection="1"/>
    <xf numFmtId="0" fontId="0" fillId="11" borderId="5" xfId="0" applyFill="1" applyBorder="1" applyProtection="1"/>
    <xf numFmtId="0" fontId="0" fillId="11" borderId="8" xfId="0" applyFill="1" applyBorder="1" applyProtection="1"/>
    <xf numFmtId="0" fontId="0" fillId="11" borderId="9" xfId="0" applyFill="1" applyBorder="1" applyProtection="1"/>
    <xf numFmtId="0" fontId="2" fillId="0" borderId="0" xfId="0" applyFont="1" applyBorder="1" applyAlignment="1" applyProtection="1">
      <alignment vertical="center"/>
    </xf>
    <xf numFmtId="164" fontId="0" fillId="14" borderId="8" xfId="0" applyNumberFormat="1" applyFill="1" applyBorder="1" applyAlignment="1" applyProtection="1">
      <alignment horizontal="center"/>
      <protection locked="0"/>
    </xf>
    <xf numFmtId="0" fontId="7" fillId="0" borderId="0" xfId="1" applyFont="1" applyAlignment="1" applyProtection="1">
      <alignment vertical="center"/>
    </xf>
    <xf numFmtId="0" fontId="19" fillId="0" borderId="0" xfId="0" applyFont="1" applyAlignment="1" applyProtection="1">
      <alignment horizontal="center"/>
    </xf>
    <xf numFmtId="0" fontId="0" fillId="0" borderId="0" xfId="0" quotePrefix="1" applyProtection="1"/>
    <xf numFmtId="0" fontId="0" fillId="0" borderId="6" xfId="0" applyBorder="1" applyProtection="1"/>
    <xf numFmtId="0" fontId="0" fillId="0" borderId="6" xfId="0" applyFill="1" applyBorder="1" applyAlignment="1" applyProtection="1">
      <alignment horizontal="right"/>
    </xf>
    <xf numFmtId="0" fontId="0" fillId="0" borderId="22" xfId="0" applyFill="1" applyBorder="1" applyProtection="1"/>
    <xf numFmtId="0" fontId="0" fillId="0" borderId="26" xfId="0" applyFill="1" applyBorder="1" applyProtection="1"/>
    <xf numFmtId="0" fontId="0" fillId="0" borderId="9" xfId="0" applyBorder="1" applyAlignment="1" applyProtection="1">
      <alignment horizontal="right"/>
    </xf>
    <xf numFmtId="0" fontId="0" fillId="0" borderId="38" xfId="0" applyFill="1" applyBorder="1" applyProtection="1"/>
    <xf numFmtId="164" fontId="0" fillId="0" borderId="9" xfId="0" applyNumberFormat="1" applyFill="1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0" fillId="0" borderId="4" xfId="0" applyBorder="1" applyAlignment="1" applyProtection="1"/>
    <xf numFmtId="0" fontId="0" fillId="0" borderId="4" xfId="0" applyFill="1" applyBorder="1" applyProtection="1"/>
    <xf numFmtId="0" fontId="0" fillId="0" borderId="3" xfId="0" applyNumberFormat="1" applyBorder="1" applyAlignment="1" applyProtection="1">
      <alignment horizontal="right"/>
      <protection locked="0"/>
    </xf>
    <xf numFmtId="164" fontId="0" fillId="0" borderId="6" xfId="0" applyNumberFormat="1" applyFill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6" xfId="0" applyNumberFormat="1" applyBorder="1" applyAlignment="1" applyProtection="1">
      <alignment horizontal="right"/>
      <protection locked="0"/>
    </xf>
    <xf numFmtId="0" fontId="0" fillId="0" borderId="6" xfId="0" applyFill="1" applyBorder="1" applyProtection="1">
      <protection locked="0"/>
    </xf>
    <xf numFmtId="164" fontId="0" fillId="0" borderId="6" xfId="0" applyNumberFormat="1" applyFill="1" applyBorder="1" applyProtection="1">
      <protection locked="0"/>
    </xf>
    <xf numFmtId="0" fontId="0" fillId="10" borderId="5" xfId="0" applyFill="1" applyBorder="1" applyProtection="1"/>
    <xf numFmtId="164" fontId="0" fillId="10" borderId="6" xfId="0" applyNumberFormat="1" applyFill="1" applyBorder="1" applyAlignment="1" applyProtection="1">
      <alignment horizontal="center"/>
      <protection locked="0"/>
    </xf>
    <xf numFmtId="164" fontId="8" fillId="0" borderId="6" xfId="0" applyNumberFormat="1" applyFont="1" applyFill="1" applyBorder="1" applyAlignment="1" applyProtection="1">
      <alignment horizontal="right"/>
    </xf>
    <xf numFmtId="164" fontId="8" fillId="0" borderId="6" xfId="0" applyNumberFormat="1" applyFont="1" applyBorder="1" applyProtection="1">
      <protection locked="0"/>
    </xf>
    <xf numFmtId="0" fontId="16" fillId="0" borderId="18" xfId="0" applyFont="1" applyFill="1" applyBorder="1" applyAlignment="1" applyProtection="1">
      <alignment horizontal="right"/>
    </xf>
    <xf numFmtId="0" fontId="16" fillId="0" borderId="18" xfId="0" applyFont="1" applyBorder="1" applyAlignment="1" applyProtection="1">
      <alignment horizontal="right"/>
    </xf>
    <xf numFmtId="0" fontId="16" fillId="11" borderId="17" xfId="0" applyFont="1" applyFill="1" applyBorder="1" applyAlignment="1" applyProtection="1">
      <alignment horizontal="right"/>
    </xf>
    <xf numFmtId="164" fontId="8" fillId="3" borderId="154" xfId="0" applyNumberFormat="1" applyFont="1" applyFill="1" applyBorder="1" applyProtection="1"/>
    <xf numFmtId="0" fontId="8" fillId="0" borderId="157" xfId="0" applyFont="1" applyFill="1" applyBorder="1" applyProtection="1"/>
    <xf numFmtId="164" fontId="8" fillId="0" borderId="154" xfId="0" applyNumberFormat="1" applyFont="1" applyBorder="1" applyProtection="1"/>
    <xf numFmtId="164" fontId="8" fillId="0" borderId="153" xfId="0" applyNumberFormat="1" applyFont="1" applyFill="1" applyBorder="1" applyAlignment="1" applyProtection="1">
      <alignment horizontal="center"/>
    </xf>
    <xf numFmtId="164" fontId="8" fillId="10" borderId="154" xfId="0" applyNumberFormat="1" applyFont="1" applyFill="1" applyBorder="1" applyAlignment="1" applyProtection="1">
      <alignment horizontal="center"/>
    </xf>
    <xf numFmtId="164" fontId="8" fillId="0" borderId="154" xfId="0" applyNumberFormat="1" applyFont="1" applyFill="1" applyBorder="1" applyAlignment="1" applyProtection="1">
      <alignment horizontal="center"/>
    </xf>
    <xf numFmtId="0" fontId="0" fillId="11" borderId="17" xfId="0" applyFill="1" applyBorder="1" applyProtection="1"/>
    <xf numFmtId="164" fontId="0" fillId="0" borderId="154" xfId="0" applyNumberFormat="1" applyFill="1" applyBorder="1" applyAlignment="1" applyProtection="1">
      <alignment horizontal="center"/>
    </xf>
    <xf numFmtId="164" fontId="0" fillId="10" borderId="154" xfId="0" applyNumberFormat="1" applyFill="1" applyBorder="1" applyAlignment="1" applyProtection="1">
      <alignment horizontal="center"/>
    </xf>
    <xf numFmtId="164" fontId="0" fillId="10" borderId="6" xfId="0" applyNumberForma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10" fontId="8" fillId="0" borderId="6" xfId="0" applyNumberFormat="1" applyFont="1" applyFill="1" applyBorder="1" applyProtection="1">
      <protection locked="0"/>
    </xf>
    <xf numFmtId="164" fontId="8" fillId="0" borderId="6" xfId="0" applyNumberFormat="1" applyFont="1" applyFill="1" applyBorder="1" applyProtection="1">
      <protection locked="0"/>
    </xf>
    <xf numFmtId="0" fontId="0" fillId="11" borderId="18" xfId="0" applyFill="1" applyBorder="1" applyProtection="1"/>
    <xf numFmtId="49" fontId="8" fillId="1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4" xfId="0" applyNumberFormat="1" applyFont="1" applyFill="1" applyBorder="1" applyAlignment="1" applyProtection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6" xfId="0" applyNumberFormat="1" applyFill="1" applyBorder="1" applyAlignment="1" applyProtection="1">
      <alignment horizontal="center"/>
    </xf>
    <xf numFmtId="164" fontId="8" fillId="0" borderId="19" xfId="0" applyNumberFormat="1" applyFont="1" applyFill="1" applyBorder="1" applyProtection="1">
      <protection locked="0"/>
    </xf>
    <xf numFmtId="164" fontId="8" fillId="0" borderId="19" xfId="0" applyNumberFormat="1" applyFont="1" applyBorder="1" applyProtection="1">
      <protection locked="0"/>
    </xf>
    <xf numFmtId="164" fontId="8" fillId="0" borderId="154" xfId="0" applyNumberFormat="1" applyFont="1" applyFill="1" applyBorder="1" applyAlignment="1" applyProtection="1">
      <alignment horizontal="right"/>
    </xf>
    <xf numFmtId="164" fontId="8" fillId="3" borderId="154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>
      <alignment horizontal="left"/>
    </xf>
    <xf numFmtId="0" fontId="8" fillId="3" borderId="157" xfId="0" applyFont="1" applyFill="1" applyBorder="1" applyProtection="1"/>
    <xf numFmtId="0" fontId="8" fillId="10" borderId="0" xfId="0" applyFont="1" applyFill="1" applyBorder="1" applyAlignment="1" applyProtection="1"/>
    <xf numFmtId="0" fontId="1" fillId="8" borderId="152" xfId="0" applyFont="1" applyFill="1" applyBorder="1" applyAlignment="1" applyProtection="1">
      <alignment horizontal="center" vertical="center" wrapText="1"/>
    </xf>
    <xf numFmtId="0" fontId="28" fillId="8" borderId="1" xfId="0" applyFont="1" applyFill="1" applyBorder="1" applyAlignment="1" applyProtection="1">
      <alignment horizontal="center"/>
    </xf>
    <xf numFmtId="166" fontId="8" fillId="10" borderId="0" xfId="0" applyNumberFormat="1" applyFont="1" applyFill="1" applyBorder="1" applyProtection="1"/>
    <xf numFmtId="0" fontId="8" fillId="10" borderId="6" xfId="0" applyFont="1" applyFill="1" applyBorder="1" applyProtection="1"/>
    <xf numFmtId="167" fontId="8" fillId="10" borderId="0" xfId="0" applyNumberFormat="1" applyFont="1" applyFill="1" applyBorder="1" applyProtection="1"/>
    <xf numFmtId="166" fontId="8" fillId="10" borderId="8" xfId="0" applyNumberFormat="1" applyFont="1" applyFill="1" applyBorder="1" applyProtection="1"/>
    <xf numFmtId="0" fontId="8" fillId="10" borderId="9" xfId="0" applyFont="1" applyFill="1" applyBorder="1" applyProtection="1"/>
    <xf numFmtId="10" fontId="0" fillId="0" borderId="9" xfId="0" applyNumberFormat="1" applyBorder="1" applyProtection="1">
      <protection locked="0"/>
    </xf>
    <xf numFmtId="164" fontId="8" fillId="3" borderId="15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3" borderId="5" xfId="0" applyFont="1" applyFill="1" applyBorder="1" applyAlignment="1" applyProtection="1"/>
    <xf numFmtId="0" fontId="0" fillId="0" borderId="163" xfId="0" applyBorder="1" applyProtection="1"/>
    <xf numFmtId="0" fontId="0" fillId="0" borderId="28" xfId="0" applyBorder="1" applyProtection="1"/>
    <xf numFmtId="0" fontId="0" fillId="0" borderId="164" xfId="0" applyBorder="1" applyProtection="1"/>
    <xf numFmtId="0" fontId="0" fillId="0" borderId="33" xfId="0" applyBorder="1" applyProtection="1"/>
    <xf numFmtId="0" fontId="0" fillId="0" borderId="165" xfId="0" applyBorder="1" applyProtection="1"/>
    <xf numFmtId="0" fontId="0" fillId="0" borderId="166" xfId="0" applyBorder="1" applyProtection="1"/>
    <xf numFmtId="0" fontId="0" fillId="0" borderId="35" xfId="0" applyBorder="1" applyProtection="1"/>
    <xf numFmtId="0" fontId="0" fillId="0" borderId="167" xfId="0" applyBorder="1" applyProtection="1"/>
    <xf numFmtId="0" fontId="0" fillId="0" borderId="26" xfId="0" applyBorder="1" applyProtection="1"/>
    <xf numFmtId="0" fontId="0" fillId="0" borderId="168" xfId="0" applyBorder="1" applyProtection="1"/>
    <xf numFmtId="0" fontId="0" fillId="0" borderId="9" xfId="0" applyFill="1" applyBorder="1" applyAlignment="1" applyProtection="1"/>
    <xf numFmtId="0" fontId="0" fillId="0" borderId="169" xfId="0" applyFill="1" applyBorder="1" applyAlignment="1" applyProtection="1"/>
    <xf numFmtId="0" fontId="0" fillId="0" borderId="170" xfId="0" applyFill="1" applyBorder="1" applyAlignment="1" applyProtection="1"/>
    <xf numFmtId="0" fontId="0" fillId="0" borderId="171" xfId="0" applyFill="1" applyBorder="1" applyAlignment="1" applyProtection="1"/>
    <xf numFmtId="0" fontId="0" fillId="0" borderId="23" xfId="0" applyBorder="1" applyProtection="1"/>
    <xf numFmtId="0" fontId="0" fillId="0" borderId="172" xfId="0" applyFill="1" applyBorder="1" applyAlignment="1" applyProtection="1"/>
    <xf numFmtId="0" fontId="0" fillId="0" borderId="173" xfId="0" applyFill="1" applyBorder="1" applyAlignment="1" applyProtection="1"/>
    <xf numFmtId="0" fontId="0" fillId="0" borderId="174" xfId="0" applyBorder="1" applyProtection="1"/>
    <xf numFmtId="0" fontId="0" fillId="0" borderId="141" xfId="0" applyBorder="1" applyProtection="1"/>
    <xf numFmtId="0" fontId="0" fillId="0" borderId="175" xfId="0" applyBorder="1" applyProtection="1"/>
    <xf numFmtId="0" fontId="0" fillId="0" borderId="176" xfId="0" applyFill="1" applyBorder="1" applyAlignment="1" applyProtection="1"/>
    <xf numFmtId="0" fontId="0" fillId="0" borderId="30" xfId="0" applyBorder="1" applyProtection="1"/>
    <xf numFmtId="0" fontId="0" fillId="0" borderId="177" xfId="0" applyBorder="1" applyProtection="1"/>
    <xf numFmtId="0" fontId="0" fillId="0" borderId="173" xfId="0" applyBorder="1" applyProtection="1"/>
    <xf numFmtId="0" fontId="0" fillId="0" borderId="8" xfId="0" applyBorder="1" applyProtection="1"/>
    <xf numFmtId="164" fontId="0" fillId="0" borderId="9" xfId="0" applyNumberFormat="1" applyBorder="1" applyAlignment="1" applyProtection="1">
      <alignment horizontal="center"/>
    </xf>
    <xf numFmtId="0" fontId="0" fillId="14" borderId="8" xfId="0" applyFill="1" applyBorder="1" applyProtection="1"/>
    <xf numFmtId="10" fontId="0" fillId="0" borderId="6" xfId="0" applyNumberFormat="1" applyBorder="1" applyProtection="1">
      <protection locked="0"/>
    </xf>
    <xf numFmtId="1" fontId="0" fillId="14" borderId="6" xfId="0" applyNumberFormat="1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6" xfId="0" applyNumberFormat="1" applyBorder="1" applyAlignment="1" applyProtection="1">
      <alignment horizontal="center"/>
      <protection locked="0"/>
    </xf>
    <xf numFmtId="1" fontId="0" fillId="14" borderId="9" xfId="0" applyNumberFormat="1" applyFill="1" applyBorder="1" applyAlignment="1" applyProtection="1">
      <alignment horizontal="center"/>
      <protection locked="0"/>
    </xf>
    <xf numFmtId="1" fontId="8" fillId="14" borderId="6" xfId="0" applyNumberFormat="1" applyFont="1" applyFill="1" applyBorder="1" applyAlignment="1" applyProtection="1">
      <alignment horizontal="center"/>
      <protection locked="0"/>
    </xf>
    <xf numFmtId="1" fontId="0" fillId="0" borderId="6" xfId="0" applyNumberFormat="1" applyFill="1" applyBorder="1" applyAlignment="1" applyProtection="1">
      <alignment horizontal="center"/>
      <protection locked="0"/>
    </xf>
    <xf numFmtId="1" fontId="0" fillId="0" borderId="9" xfId="0" applyNumberFormat="1" applyFill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8" fillId="0" borderId="6" xfId="0" applyNumberFormat="1" applyFont="1" applyFill="1" applyBorder="1" applyAlignment="1" applyProtection="1">
      <alignment horizontal="center"/>
      <protection locked="0"/>
    </xf>
    <xf numFmtId="1" fontId="8" fillId="14" borderId="9" xfId="0" applyNumberFormat="1" applyFont="1" applyFill="1" applyBorder="1" applyAlignment="1" applyProtection="1">
      <alignment horizontal="center"/>
      <protection locked="0"/>
    </xf>
    <xf numFmtId="1" fontId="0" fillId="0" borderId="6" xfId="0" applyNumberFormat="1" applyFont="1" applyFill="1" applyBorder="1" applyAlignment="1" applyProtection="1">
      <alignment horizontal="center"/>
      <protection locked="0"/>
    </xf>
    <xf numFmtId="1" fontId="0" fillId="14" borderId="0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1" fontId="0" fillId="14" borderId="8" xfId="0" applyNumberFormat="1" applyFill="1" applyBorder="1" applyAlignment="1" applyProtection="1">
      <alignment horizontal="center"/>
      <protection locked="0"/>
    </xf>
    <xf numFmtId="1" fontId="0" fillId="0" borderId="6" xfId="0" applyNumberFormat="1" applyFill="1" applyBorder="1" applyProtection="1">
      <protection locked="0"/>
    </xf>
    <xf numFmtId="0" fontId="0" fillId="14" borderId="0" xfId="0" applyFill="1" applyProtection="1"/>
    <xf numFmtId="0" fontId="0" fillId="14" borderId="2" xfId="0" applyFill="1" applyBorder="1" applyProtection="1"/>
    <xf numFmtId="1" fontId="0" fillId="14" borderId="3" xfId="0" applyNumberFormat="1" applyFill="1" applyBorder="1" applyAlignment="1" applyProtection="1">
      <alignment horizontal="center"/>
      <protection locked="0"/>
    </xf>
    <xf numFmtId="1" fontId="0" fillId="0" borderId="19" xfId="0" applyNumberFormat="1" applyFill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18" xfId="0" applyFill="1" applyBorder="1" applyProtection="1"/>
    <xf numFmtId="0" fontId="2" fillId="11" borderId="8" xfId="0" applyFont="1" applyFill="1" applyBorder="1" applyProtection="1"/>
    <xf numFmtId="0" fontId="0" fillId="14" borderId="9" xfId="0" applyFill="1" applyBorder="1" applyProtection="1">
      <protection locked="0"/>
    </xf>
    <xf numFmtId="0" fontId="0" fillId="10" borderId="0" xfId="0" applyFill="1" applyBorder="1" applyAlignment="1" applyProtection="1">
      <alignment horizontal="center"/>
    </xf>
    <xf numFmtId="0" fontId="5" fillId="0" borderId="0" xfId="0" applyFont="1" applyAlignment="1" applyProtection="1"/>
    <xf numFmtId="0" fontId="1" fillId="2" borderId="3" xfId="0" applyFont="1" applyFill="1" applyBorder="1" applyAlignment="1" applyProtection="1">
      <alignment horizontal="center" vertical="center" wrapText="1"/>
    </xf>
    <xf numFmtId="164" fontId="0" fillId="0" borderId="154" xfId="0" applyNumberFormat="1" applyFill="1" applyBorder="1" applyAlignment="1" applyProtection="1">
      <alignment horizontal="right"/>
    </xf>
    <xf numFmtId="164" fontId="0" fillId="3" borderId="154" xfId="0" applyNumberFormat="1" applyFill="1" applyBorder="1" applyAlignment="1" applyProtection="1">
      <alignment horizontal="right"/>
    </xf>
    <xf numFmtId="164" fontId="0" fillId="3" borderId="154" xfId="0" applyNumberFormat="1" applyFill="1" applyBorder="1" applyProtection="1"/>
    <xf numFmtId="0" fontId="0" fillId="3" borderId="0" xfId="0" applyFill="1" applyBorder="1" applyProtection="1"/>
    <xf numFmtId="0" fontId="0" fillId="3" borderId="6" xfId="0" applyFill="1" applyBorder="1" applyProtection="1"/>
    <xf numFmtId="164" fontId="0" fillId="0" borderId="153" xfId="0" applyNumberFormat="1" applyFill="1" applyBorder="1" applyAlignment="1" applyProtection="1">
      <alignment horizontal="right"/>
    </xf>
    <xf numFmtId="164" fontId="0" fillId="0" borderId="6" xfId="0" applyNumberFormat="1" applyFill="1" applyBorder="1" applyAlignment="1" applyProtection="1">
      <alignment horizontal="right"/>
    </xf>
    <xf numFmtId="164" fontId="0" fillId="3" borderId="6" xfId="0" applyNumberFormat="1" applyFill="1" applyBorder="1" applyAlignment="1" applyProtection="1">
      <alignment horizontal="right"/>
    </xf>
    <xf numFmtId="0" fontId="0" fillId="0" borderId="155" xfId="0" applyBorder="1" applyProtection="1"/>
    <xf numFmtId="0" fontId="0" fillId="0" borderId="9" xfId="0" applyBorder="1" applyProtection="1"/>
    <xf numFmtId="164" fontId="0" fillId="3" borderId="6" xfId="0" applyNumberFormat="1" applyFill="1" applyBorder="1" applyProtection="1"/>
    <xf numFmtId="0" fontId="0" fillId="0" borderId="4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164" fontId="0" fillId="0" borderId="154" xfId="0" applyNumberFormat="1" applyBorder="1" applyProtection="1"/>
    <xf numFmtId="0" fontId="0" fillId="3" borderId="0" xfId="0" quotePrefix="1" applyFill="1" applyBorder="1" applyAlignment="1" applyProtection="1">
      <alignment horizontal="left"/>
    </xf>
    <xf numFmtId="0" fontId="0" fillId="3" borderId="5" xfId="0" applyFill="1" applyBorder="1" applyProtection="1"/>
    <xf numFmtId="0" fontId="0" fillId="0" borderId="6" xfId="0" applyFill="1" applyBorder="1" applyProtection="1"/>
    <xf numFmtId="0" fontId="0" fillId="4" borderId="5" xfId="0" applyFill="1" applyBorder="1" applyProtection="1"/>
    <xf numFmtId="164" fontId="0" fillId="4" borderId="6" xfId="0" applyNumberFormat="1" applyFill="1" applyBorder="1" applyProtection="1"/>
    <xf numFmtId="164" fontId="0" fillId="0" borderId="0" xfId="0" applyNumberFormat="1" applyBorder="1" applyProtection="1"/>
    <xf numFmtId="164" fontId="0" fillId="0" borderId="6" xfId="0" applyNumberFormat="1" applyBorder="1" applyProtection="1"/>
    <xf numFmtId="164" fontId="0" fillId="3" borderId="0" xfId="0" applyNumberFormat="1" applyFill="1" applyBorder="1" applyProtection="1"/>
    <xf numFmtId="0" fontId="8" fillId="0" borderId="156" xfId="0" applyFont="1" applyBorder="1" applyProtection="1"/>
    <xf numFmtId="0" fontId="0" fillId="0" borderId="156" xfId="0" applyFill="1" applyBorder="1" applyProtection="1"/>
    <xf numFmtId="0" fontId="0" fillId="3" borderId="157" xfId="0" applyFill="1" applyBorder="1" applyProtection="1"/>
    <xf numFmtId="0" fontId="8" fillId="0" borderId="157" xfId="0" applyFont="1" applyBorder="1" applyProtection="1"/>
    <xf numFmtId="0" fontId="0" fillId="0" borderId="157" xfId="0" applyBorder="1" applyProtection="1"/>
    <xf numFmtId="164" fontId="1" fillId="2" borderId="1" xfId="0" applyNumberFormat="1" applyFont="1" applyFill="1" applyBorder="1" applyAlignment="1" applyProtection="1">
      <alignment horizontal="center"/>
    </xf>
    <xf numFmtId="0" fontId="0" fillId="0" borderId="8" xfId="0" applyFill="1" applyBorder="1" applyProtection="1"/>
    <xf numFmtId="164" fontId="8" fillId="3" borderId="9" xfId="0" applyNumberFormat="1" applyFont="1" applyFill="1" applyBorder="1" applyAlignment="1" applyProtection="1">
      <alignment horizontal="right"/>
    </xf>
    <xf numFmtId="164" fontId="8" fillId="10" borderId="6" xfId="0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/>
    <xf numFmtId="0" fontId="8" fillId="0" borderId="7" xfId="0" applyFont="1" applyBorder="1" applyAlignment="1" applyProtection="1"/>
    <xf numFmtId="164" fontId="8" fillId="14" borderId="6" xfId="0" applyNumberFormat="1" applyFont="1" applyFill="1" applyBorder="1" applyAlignment="1" applyProtection="1">
      <alignment horizontal="center"/>
      <protection locked="0"/>
    </xf>
    <xf numFmtId="164" fontId="0" fillId="14" borderId="9" xfId="0" applyNumberFormat="1" applyFill="1" applyBorder="1" applyProtection="1">
      <protection locked="0"/>
    </xf>
    <xf numFmtId="168" fontId="8" fillId="0" borderId="9" xfId="0" applyNumberFormat="1" applyFont="1" applyBorder="1" applyAlignment="1" applyProtection="1">
      <alignment horizontal="center"/>
    </xf>
    <xf numFmtId="168" fontId="0" fillId="0" borderId="9" xfId="0" applyNumberFormat="1" applyFill="1" applyBorder="1" applyAlignment="1" applyProtection="1"/>
    <xf numFmtId="164" fontId="0" fillId="0" borderId="3" xfId="0" applyNumberFormat="1" applyBorder="1" applyAlignment="1" applyProtection="1">
      <protection locked="0"/>
    </xf>
    <xf numFmtId="0" fontId="8" fillId="0" borderId="8" xfId="0" applyFont="1" applyFill="1" applyBorder="1" applyAlignment="1" applyProtection="1">
      <alignment horizontal="left"/>
    </xf>
    <xf numFmtId="0" fontId="0" fillId="3" borderId="6" xfId="0" applyNumberFormat="1" applyFill="1" applyBorder="1" applyAlignment="1" applyProtection="1">
      <alignment horizontal="right"/>
      <protection locked="0"/>
    </xf>
    <xf numFmtId="0" fontId="8" fillId="3" borderId="6" xfId="0" quotePrefix="1" applyFont="1" applyFill="1" applyBorder="1" applyAlignment="1" applyProtection="1">
      <alignment horizontal="right"/>
    </xf>
    <xf numFmtId="164" fontId="0" fillId="3" borderId="6" xfId="0" applyNumberFormat="1" applyFill="1" applyBorder="1" applyAlignment="1" applyProtection="1">
      <protection locked="0"/>
    </xf>
    <xf numFmtId="0" fontId="0" fillId="3" borderId="6" xfId="0" quotePrefix="1" applyFill="1" applyBorder="1" applyAlignment="1" applyProtection="1">
      <alignment horizontal="right"/>
    </xf>
    <xf numFmtId="0" fontId="0" fillId="3" borderId="6" xfId="0" applyFill="1" applyBorder="1" applyProtection="1">
      <protection locked="0"/>
    </xf>
    <xf numFmtId="164" fontId="0" fillId="3" borderId="6" xfId="0" applyNumberFormat="1" applyFill="1" applyBorder="1" applyProtection="1">
      <protection locked="0"/>
    </xf>
    <xf numFmtId="0" fontId="0" fillId="3" borderId="6" xfId="0" applyFill="1" applyBorder="1" applyAlignment="1" applyProtection="1">
      <alignment horizontal="right"/>
    </xf>
    <xf numFmtId="164" fontId="0" fillId="3" borderId="9" xfId="0" applyNumberFormat="1" applyFill="1" applyBorder="1" applyAlignment="1" applyProtection="1">
      <alignment horizontal="right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9" xfId="0" applyFill="1" applyBorder="1" applyAlignment="1" applyProtection="1">
      <alignment horizontal="right"/>
    </xf>
    <xf numFmtId="0" fontId="0" fillId="0" borderId="0" xfId="0" applyProtection="1"/>
    <xf numFmtId="0" fontId="8" fillId="3" borderId="0" xfId="0" applyFont="1" applyFill="1" applyBorder="1" applyAlignment="1" applyProtection="1">
      <alignment horizontal="left"/>
    </xf>
    <xf numFmtId="6" fontId="0" fillId="0" borderId="0" xfId="0" applyNumberFormat="1" applyProtection="1"/>
    <xf numFmtId="164" fontId="8" fillId="0" borderId="3" xfId="0" applyNumberFormat="1" applyFont="1" applyBorder="1" applyAlignment="1" applyProtection="1">
      <alignment horizontal="center"/>
    </xf>
    <xf numFmtId="0" fontId="8" fillId="10" borderId="6" xfId="0" applyNumberFormat="1" applyFont="1" applyFill="1" applyBorder="1" applyAlignment="1" applyProtection="1">
      <alignment horizontal="center"/>
    </xf>
    <xf numFmtId="0" fontId="8" fillId="11" borderId="17" xfId="0" applyFont="1" applyFill="1" applyBorder="1" applyProtection="1"/>
    <xf numFmtId="0" fontId="8" fillId="11" borderId="18" xfId="0" applyFont="1" applyFill="1" applyBorder="1" applyProtection="1"/>
    <xf numFmtId="0" fontId="8" fillId="11" borderId="19" xfId="0" applyFont="1" applyFill="1" applyBorder="1" applyProtection="1"/>
    <xf numFmtId="0" fontId="16" fillId="0" borderId="17" xfId="0" applyFont="1" applyBorder="1" applyAlignment="1" applyProtection="1">
      <alignment horizontal="right"/>
    </xf>
    <xf numFmtId="0" fontId="16" fillId="0" borderId="17" xfId="0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164" fontId="8" fillId="0" borderId="3" xfId="0" applyNumberFormat="1" applyFont="1" applyBorder="1" applyProtection="1">
      <protection locked="0"/>
    </xf>
    <xf numFmtId="0" fontId="16" fillId="11" borderId="18" xfId="0" applyFont="1" applyFill="1" applyBorder="1" applyAlignment="1" applyProtection="1">
      <alignment horizontal="right"/>
    </xf>
    <xf numFmtId="0" fontId="16" fillId="11" borderId="19" xfId="0" applyFont="1" applyFill="1" applyBorder="1" applyAlignment="1" applyProtection="1"/>
    <xf numFmtId="0" fontId="16" fillId="0" borderId="2" xfId="0" applyFont="1" applyBorder="1" applyAlignment="1" applyProtection="1">
      <alignment horizontal="right"/>
    </xf>
    <xf numFmtId="0" fontId="8" fillId="0" borderId="3" xfId="0" applyFont="1" applyBorder="1" applyAlignment="1" applyProtection="1">
      <alignment horizontal="right"/>
      <protection locked="0"/>
    </xf>
    <xf numFmtId="10" fontId="8" fillId="0" borderId="19" xfId="0" applyNumberFormat="1" applyFont="1" applyFill="1" applyBorder="1" applyProtection="1">
      <protection locked="0"/>
    </xf>
    <xf numFmtId="0" fontId="16" fillId="0" borderId="2" xfId="0" applyFont="1" applyBorder="1" applyAlignment="1" applyProtection="1">
      <alignment horizontal="right" vertical="center"/>
    </xf>
    <xf numFmtId="0" fontId="16" fillId="0" borderId="4" xfId="0" applyFont="1" applyFill="1" applyBorder="1" applyAlignment="1" applyProtection="1">
      <alignment horizontal="right" vertical="center"/>
    </xf>
    <xf numFmtId="0" fontId="8" fillId="0" borderId="3" xfId="0" applyFont="1" applyFill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</xf>
    <xf numFmtId="0" fontId="3" fillId="11" borderId="17" xfId="0" applyFont="1" applyFill="1" applyBorder="1" applyAlignment="1" applyProtection="1">
      <alignment vertical="center"/>
    </xf>
    <xf numFmtId="0" fontId="8" fillId="11" borderId="19" xfId="0" applyFont="1" applyFill="1" applyBorder="1" applyAlignment="1" applyProtection="1">
      <alignment vertical="center" wrapText="1"/>
    </xf>
    <xf numFmtId="10" fontId="8" fillId="0" borderId="19" xfId="0" applyNumberFormat="1" applyFont="1" applyBorder="1" applyProtection="1">
      <protection locked="0"/>
    </xf>
    <xf numFmtId="164" fontId="0" fillId="0" borderId="3" xfId="0" applyNumberFormat="1" applyFill="1" applyBorder="1" applyAlignment="1" applyProtection="1">
      <alignment horizontal="right"/>
    </xf>
    <xf numFmtId="3" fontId="8" fillId="0" borderId="19" xfId="0" applyNumberFormat="1" applyFont="1" applyFill="1" applyBorder="1" applyProtection="1">
      <protection locked="0"/>
    </xf>
    <xf numFmtId="0" fontId="8" fillId="0" borderId="0" xfId="0" applyNumberFormat="1" applyFont="1" applyProtection="1"/>
    <xf numFmtId="164" fontId="0" fillId="0" borderId="153" xfId="0" applyNumberFormat="1" applyFill="1" applyBorder="1" applyAlignment="1" applyProtection="1">
      <alignment horizontal="right"/>
      <protection locked="0"/>
    </xf>
    <xf numFmtId="164" fontId="8" fillId="3" borderId="154" xfId="0" applyNumberFormat="1" applyFont="1" applyFill="1" applyBorder="1" applyAlignment="1" applyProtection="1">
      <alignment horizontal="right"/>
      <protection locked="0"/>
    </xf>
    <xf numFmtId="164" fontId="8" fillId="0" borderId="154" xfId="0" applyNumberFormat="1" applyFont="1" applyFill="1" applyBorder="1" applyAlignment="1" applyProtection="1">
      <alignment horizontal="right"/>
      <protection locked="0"/>
    </xf>
    <xf numFmtId="164" fontId="0" fillId="0" borderId="154" xfId="0" applyNumberFormat="1" applyFill="1" applyBorder="1" applyAlignment="1" applyProtection="1">
      <alignment horizontal="right"/>
      <protection locked="0"/>
    </xf>
    <xf numFmtId="164" fontId="0" fillId="3" borderId="154" xfId="0" applyNumberFormat="1" applyFill="1" applyBorder="1" applyAlignment="1" applyProtection="1">
      <alignment horizontal="right"/>
      <protection locked="0"/>
    </xf>
    <xf numFmtId="164" fontId="8" fillId="3" borderId="155" xfId="0" applyNumberFormat="1" applyFont="1" applyFill="1" applyBorder="1" applyAlignment="1" applyProtection="1">
      <alignment horizontal="right"/>
      <protection locked="0"/>
    </xf>
    <xf numFmtId="164" fontId="8" fillId="3" borderId="6" xfId="0" applyNumberFormat="1" applyFont="1" applyFill="1" applyBorder="1" applyAlignment="1" applyProtection="1">
      <alignment horizontal="right"/>
      <protection locked="0"/>
    </xf>
    <xf numFmtId="164" fontId="8" fillId="0" borderId="6" xfId="0" applyNumberFormat="1" applyFont="1" applyFill="1" applyBorder="1" applyAlignment="1" applyProtection="1">
      <alignment horizontal="right"/>
      <protection locked="0"/>
    </xf>
    <xf numFmtId="164" fontId="8" fillId="0" borderId="4" xfId="0" applyNumberFormat="1" applyFont="1" applyFill="1" applyBorder="1" applyAlignment="1" applyProtection="1">
      <alignment horizontal="right"/>
      <protection locked="0"/>
    </xf>
    <xf numFmtId="164" fontId="8" fillId="3" borderId="0" xfId="0" applyNumberFormat="1" applyFont="1" applyFill="1" applyBorder="1" applyAlignment="1" applyProtection="1">
      <alignment horizontal="right"/>
      <protection locked="0"/>
    </xf>
    <xf numFmtId="164" fontId="8" fillId="0" borderId="0" xfId="0" applyNumberFormat="1" applyFont="1" applyFill="1" applyBorder="1" applyAlignment="1" applyProtection="1">
      <alignment horizontal="right"/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164" fontId="0" fillId="3" borderId="0" xfId="0" applyNumberFormat="1" applyFill="1" applyBorder="1" applyAlignment="1" applyProtection="1">
      <alignment horizontal="right"/>
      <protection locked="0"/>
    </xf>
    <xf numFmtId="164" fontId="8" fillId="3" borderId="8" xfId="0" applyNumberFormat="1" applyFont="1" applyFill="1" applyBorder="1" applyAlignment="1" applyProtection="1">
      <alignment horizontal="right"/>
      <protection locked="0"/>
    </xf>
    <xf numFmtId="164" fontId="8" fillId="0" borderId="4" xfId="0" applyNumberFormat="1" applyFont="1" applyBorder="1" applyProtection="1">
      <protection locked="0"/>
    </xf>
    <xf numFmtId="164" fontId="8" fillId="0" borderId="153" xfId="0" applyNumberFormat="1" applyFont="1" applyBorder="1" applyProtection="1">
      <protection locked="0"/>
    </xf>
    <xf numFmtId="164" fontId="8" fillId="3" borderId="0" xfId="0" applyNumberFormat="1" applyFont="1" applyFill="1" applyBorder="1" applyProtection="1">
      <protection locked="0"/>
    </xf>
    <xf numFmtId="164" fontId="8" fillId="3" borderId="154" xfId="0" applyNumberFormat="1" applyFont="1" applyFill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154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8" fillId="0" borderId="155" xfId="0" applyNumberFormat="1" applyFont="1" applyBorder="1" applyProtection="1">
      <protection locked="0"/>
    </xf>
    <xf numFmtId="164" fontId="8" fillId="3" borderId="8" xfId="0" applyNumberFormat="1" applyFont="1" applyFill="1" applyBorder="1" applyProtection="1">
      <protection locked="0"/>
    </xf>
    <xf numFmtId="164" fontId="8" fillId="3" borderId="155" xfId="0" applyNumberFormat="1" applyFont="1" applyFill="1" applyBorder="1" applyProtection="1">
      <protection locked="0"/>
    </xf>
    <xf numFmtId="164" fontId="0" fillId="0" borderId="8" xfId="0" applyNumberFormat="1" applyBorder="1" applyProtection="1">
      <protection locked="0"/>
    </xf>
    <xf numFmtId="164" fontId="8" fillId="3" borderId="6" xfId="0" applyNumberFormat="1" applyFont="1" applyFill="1" applyBorder="1" applyProtection="1">
      <protection locked="0"/>
    </xf>
    <xf numFmtId="164" fontId="8" fillId="0" borderId="9" xfId="0" applyNumberFormat="1" applyFont="1" applyBorder="1" applyProtection="1">
      <protection locked="0"/>
    </xf>
    <xf numFmtId="164" fontId="8" fillId="3" borderId="9" xfId="0" applyNumberFormat="1" applyFont="1" applyFill="1" applyBorder="1" applyProtection="1">
      <protection locked="0"/>
    </xf>
    <xf numFmtId="164" fontId="8" fillId="0" borderId="3" xfId="0" applyNumberFormat="1" applyFont="1" applyBorder="1" applyAlignment="1" applyProtection="1">
      <alignment horizontal="right"/>
      <protection locked="0"/>
    </xf>
    <xf numFmtId="164" fontId="8" fillId="0" borderId="6" xfId="0" applyNumberFormat="1" applyFont="1" applyBorder="1" applyAlignment="1" applyProtection="1">
      <alignment horizontal="right"/>
      <protection locked="0"/>
    </xf>
    <xf numFmtId="164" fontId="8" fillId="0" borderId="9" xfId="0" applyNumberFormat="1" applyFont="1" applyFill="1" applyBorder="1" applyAlignment="1" applyProtection="1">
      <alignment horizontal="right"/>
      <protection locked="0"/>
    </xf>
    <xf numFmtId="164" fontId="8" fillId="0" borderId="153" xfId="0" applyNumberFormat="1" applyFont="1" applyFill="1" applyBorder="1" applyProtection="1">
      <protection locked="0"/>
    </xf>
    <xf numFmtId="164" fontId="8" fillId="0" borderId="154" xfId="0" applyNumberFormat="1" applyFont="1" applyFill="1" applyBorder="1" applyProtection="1">
      <protection locked="0"/>
    </xf>
    <xf numFmtId="164" fontId="0" fillId="0" borderId="154" xfId="0" applyNumberFormat="1" applyBorder="1" applyProtection="1">
      <protection locked="0"/>
    </xf>
    <xf numFmtId="164" fontId="0" fillId="3" borderId="154" xfId="0" applyNumberFormat="1" applyFill="1" applyBorder="1" applyProtection="1">
      <protection locked="0"/>
    </xf>
    <xf numFmtId="164" fontId="0" fillId="0" borderId="154" xfId="0" applyNumberFormat="1" applyFill="1" applyBorder="1" applyProtection="1">
      <protection locked="0"/>
    </xf>
    <xf numFmtId="164" fontId="0" fillId="0" borderId="153" xfId="0" applyNumberFormat="1" applyFill="1" applyBorder="1" applyProtection="1">
      <protection locked="0"/>
    </xf>
    <xf numFmtId="164" fontId="0" fillId="3" borderId="154" xfId="0" applyNumberFormat="1" applyFill="1" applyBorder="1" applyAlignment="1" applyProtection="1">
      <alignment horizontal="left"/>
      <protection locked="0"/>
    </xf>
    <xf numFmtId="164" fontId="0" fillId="0" borderId="3" xfId="0" applyNumberFormat="1" applyFill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164" fontId="0" fillId="3" borderId="0" xfId="0" applyNumberForma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164" fontId="0" fillId="0" borderId="8" xfId="0" applyNumberFormat="1" applyFill="1" applyBorder="1" applyProtection="1">
      <protection locked="0"/>
    </xf>
    <xf numFmtId="164" fontId="0" fillId="0" borderId="9" xfId="0" applyNumberFormat="1" applyFill="1" applyBorder="1" applyProtection="1">
      <protection locked="0"/>
    </xf>
    <xf numFmtId="164" fontId="8" fillId="0" borderId="0" xfId="0" applyNumberFormat="1" applyFont="1" applyFill="1" applyBorder="1" applyProtection="1">
      <protection locked="0"/>
    </xf>
    <xf numFmtId="164" fontId="8" fillId="4" borderId="6" xfId="0" applyNumberFormat="1" applyFont="1" applyFill="1" applyBorder="1" applyProtection="1">
      <protection locked="0"/>
    </xf>
    <xf numFmtId="164" fontId="0" fillId="4" borderId="6" xfId="0" applyNumberFormat="1" applyFill="1" applyBorder="1" applyProtection="1">
      <protection locked="0"/>
    </xf>
    <xf numFmtId="164" fontId="0" fillId="0" borderId="6" xfId="0" applyNumberFormat="1" applyBorder="1" applyAlignment="1" applyProtection="1">
      <protection locked="0"/>
    </xf>
    <xf numFmtId="0" fontId="1" fillId="13" borderId="1" xfId="0" applyFont="1" applyFill="1" applyBorder="1" applyAlignment="1" applyProtection="1">
      <alignment horizontal="center" vertical="center"/>
    </xf>
    <xf numFmtId="0" fontId="1" fillId="13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 wrapText="1"/>
    </xf>
    <xf numFmtId="0" fontId="8" fillId="14" borderId="5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59" xfId="0" applyFont="1" applyFill="1" applyBorder="1" applyAlignment="1" applyProtection="1">
      <alignment horizontal="center" vertical="center" wrapText="1"/>
    </xf>
    <xf numFmtId="0" fontId="8" fillId="0" borderId="156" xfId="0" applyFont="1" applyFill="1" applyBorder="1" applyProtection="1"/>
    <xf numFmtId="0" fontId="8" fillId="10" borderId="157" xfId="0" applyFont="1" applyFill="1" applyBorder="1" applyProtection="1"/>
    <xf numFmtId="0" fontId="8" fillId="0" borderId="5" xfId="0" applyFont="1" applyBorder="1" applyAlignment="1" applyProtection="1"/>
    <xf numFmtId="0" fontId="8" fillId="10" borderId="7" xfId="0" applyFont="1" applyFill="1" applyBorder="1" applyAlignment="1" applyProtection="1"/>
    <xf numFmtId="0" fontId="1" fillId="8" borderId="162" xfId="0" applyFont="1" applyFill="1" applyBorder="1" applyAlignment="1" applyProtection="1">
      <alignment horizontal="center"/>
    </xf>
    <xf numFmtId="0" fontId="8" fillId="0" borderId="4" xfId="0" applyFont="1" applyBorder="1" applyAlignment="1" applyProtection="1"/>
    <xf numFmtId="0" fontId="8" fillId="0" borderId="16" xfId="0" applyFont="1" applyFill="1" applyBorder="1" applyProtection="1"/>
    <xf numFmtId="0" fontId="8" fillId="0" borderId="18" xfId="0" applyFont="1" applyBorder="1" applyProtection="1">
      <protection locked="0"/>
    </xf>
    <xf numFmtId="0" fontId="0" fillId="0" borderId="186" xfId="0" applyFill="1" applyBorder="1" applyAlignment="1" applyProtection="1">
      <alignment horizontal="right" vertical="center" wrapText="1"/>
      <protection locked="0"/>
    </xf>
    <xf numFmtId="0" fontId="0" fillId="0" borderId="18" xfId="0" applyBorder="1" applyProtection="1">
      <protection locked="0"/>
    </xf>
    <xf numFmtId="164" fontId="0" fillId="11" borderId="18" xfId="0" applyNumberFormat="1" applyFill="1" applyBorder="1" applyProtection="1"/>
    <xf numFmtId="0" fontId="3" fillId="0" borderId="5" xfId="0" applyFont="1" applyBorder="1" applyAlignment="1" applyProtection="1"/>
    <xf numFmtId="0" fontId="3" fillId="14" borderId="7" xfId="0" applyFont="1" applyFill="1" applyBorder="1" applyAlignment="1" applyProtection="1"/>
    <xf numFmtId="0" fontId="17" fillId="0" borderId="0" xfId="1" applyFont="1" applyFill="1" applyBorder="1" applyProtection="1">
      <protection locked="0"/>
    </xf>
    <xf numFmtId="164" fontId="8" fillId="0" borderId="6" xfId="0" applyNumberFormat="1" applyFont="1" applyBorder="1" applyAlignment="1" applyProtection="1">
      <alignment horizontal="center"/>
      <protection locked="0"/>
    </xf>
    <xf numFmtId="1" fontId="0" fillId="14" borderId="6" xfId="0" applyNumberFormat="1" applyFill="1" applyBorder="1" applyProtection="1">
      <protection locked="0"/>
    </xf>
    <xf numFmtId="164" fontId="8" fillId="0" borderId="8" xfId="0" applyNumberFormat="1" applyFont="1" applyFill="1" applyBorder="1" applyAlignment="1" applyProtection="1">
      <alignment horizontal="center"/>
      <protection locked="0"/>
    </xf>
    <xf numFmtId="164" fontId="8" fillId="3" borderId="0" xfId="0" applyNumberFormat="1" applyFont="1" applyFill="1" applyBorder="1" applyAlignment="1" applyProtection="1">
      <alignment horizontal="right"/>
    </xf>
    <xf numFmtId="164" fontId="0" fillId="0" borderId="4" xfId="0" applyNumberFormat="1" applyFill="1" applyBorder="1" applyAlignment="1" applyProtection="1">
      <alignment horizontal="right"/>
      <protection locked="0"/>
    </xf>
    <xf numFmtId="164" fontId="8" fillId="0" borderId="153" xfId="0" applyNumberFormat="1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164" fontId="8" fillId="0" borderId="154" xfId="0" applyNumberFormat="1" applyFont="1" applyFill="1" applyBorder="1" applyProtection="1"/>
    <xf numFmtId="0" fontId="1" fillId="2" borderId="16" xfId="0" applyFont="1" applyFill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right"/>
      <protection locked="0"/>
    </xf>
    <xf numFmtId="164" fontId="8" fillId="0" borderId="4" xfId="0" applyNumberFormat="1" applyFont="1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3" fillId="0" borderId="8" xfId="0" applyFont="1" applyFill="1" applyBorder="1" applyAlignment="1" applyProtection="1">
      <alignment horizontal="right" vertical="center"/>
    </xf>
    <xf numFmtId="0" fontId="0" fillId="11" borderId="19" xfId="0" applyFill="1" applyBorder="1" applyProtection="1"/>
    <xf numFmtId="0" fontId="1" fillId="8" borderId="1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8" borderId="17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right" vertical="center"/>
      <protection locked="0"/>
    </xf>
    <xf numFmtId="0" fontId="1" fillId="8" borderId="19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right" vertical="center" wrapText="1"/>
      <protection locked="0"/>
    </xf>
    <xf numFmtId="0" fontId="1" fillId="13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152" xfId="0" applyFont="1" applyFill="1" applyBorder="1" applyAlignment="1" applyProtection="1">
      <alignment horizontal="center" vertical="center" wrapText="1"/>
    </xf>
    <xf numFmtId="0" fontId="0" fillId="10" borderId="0" xfId="0" applyFill="1" applyBorder="1" applyProtection="1"/>
    <xf numFmtId="49" fontId="8" fillId="0" borderId="8" xfId="0" applyNumberFormat="1" applyFont="1" applyFill="1" applyBorder="1" applyAlignment="1" applyProtection="1">
      <alignment horizontal="center"/>
    </xf>
    <xf numFmtId="164" fontId="8" fillId="0" borderId="155" xfId="0" applyNumberFormat="1" applyFont="1" applyFill="1" applyBorder="1" applyAlignment="1" applyProtection="1">
      <alignment horizontal="center"/>
    </xf>
    <xf numFmtId="0" fontId="0" fillId="0" borderId="9" xfId="0" applyFill="1" applyBorder="1" applyProtection="1"/>
    <xf numFmtId="164" fontId="8" fillId="0" borderId="155" xfId="0" applyNumberFormat="1" applyFont="1" applyFill="1" applyBorder="1" applyProtection="1">
      <protection locked="0"/>
    </xf>
    <xf numFmtId="0" fontId="0" fillId="0" borderId="158" xfId="0" applyFill="1" applyBorder="1" applyProtection="1"/>
    <xf numFmtId="8" fontId="0" fillId="3" borderId="6" xfId="0" applyNumberFormat="1" applyFill="1" applyBorder="1" applyProtection="1">
      <protection locked="0"/>
    </xf>
    <xf numFmtId="8" fontId="0" fillId="0" borderId="0" xfId="0" applyNumberFormat="1" applyProtection="1"/>
    <xf numFmtId="0" fontId="0" fillId="0" borderId="0" xfId="0" quotePrefix="1" applyBorder="1" applyAlignment="1" applyProtection="1">
      <alignment horizontal="center"/>
    </xf>
    <xf numFmtId="0" fontId="0" fillId="10" borderId="0" xfId="0" quotePrefix="1" applyFill="1" applyBorder="1" applyAlignment="1" applyProtection="1">
      <alignment horizontal="center"/>
    </xf>
    <xf numFmtId="164" fontId="8" fillId="0" borderId="155" xfId="0" applyNumberFormat="1" applyFont="1" applyFill="1" applyBorder="1" applyProtection="1"/>
    <xf numFmtId="8" fontId="0" fillId="0" borderId="9" xfId="0" applyNumberFormat="1" applyFill="1" applyBorder="1" applyProtection="1"/>
    <xf numFmtId="164" fontId="0" fillId="0" borderId="8" xfId="0" applyNumberFormat="1" applyFill="1" applyBorder="1" applyProtection="1"/>
    <xf numFmtId="164" fontId="0" fillId="0" borderId="9" xfId="0" applyNumberFormat="1" applyFill="1" applyBorder="1" applyProtection="1"/>
    <xf numFmtId="0" fontId="0" fillId="0" borderId="7" xfId="0" applyFill="1" applyBorder="1" applyAlignment="1" applyProtection="1"/>
    <xf numFmtId="0" fontId="0" fillId="0" borderId="155" xfId="0" applyFill="1" applyBorder="1" applyAlignment="1" applyProtection="1"/>
    <xf numFmtId="0" fontId="0" fillId="0" borderId="0" xfId="0" applyProtection="1"/>
    <xf numFmtId="0" fontId="32" fillId="0" borderId="0" xfId="1" applyFont="1" applyAlignment="1" applyProtection="1">
      <alignment horizontal="center"/>
    </xf>
    <xf numFmtId="0" fontId="17" fillId="0" borderId="0" xfId="1" applyFont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right" vertical="center"/>
    </xf>
    <xf numFmtId="0" fontId="8" fillId="0" borderId="3" xfId="0" applyFont="1" applyBorder="1" applyAlignment="1" applyProtection="1">
      <alignment horizontal="right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right" vertical="center" wrapText="1"/>
      <protection locked="0"/>
    </xf>
    <xf numFmtId="0" fontId="8" fillId="0" borderId="3" xfId="0" applyFont="1" applyFill="1" applyBorder="1" applyAlignment="1" applyProtection="1">
      <alignment horizontal="right" vertical="center" wrapText="1"/>
      <protection locked="0"/>
    </xf>
    <xf numFmtId="0" fontId="0" fillId="0" borderId="18" xfId="0" applyNumberFormat="1" applyBorder="1" applyProtection="1">
      <protection locked="0"/>
    </xf>
    <xf numFmtId="10" fontId="8" fillId="11" borderId="18" xfId="0" applyNumberFormat="1" applyFont="1" applyFill="1" applyBorder="1" applyProtection="1">
      <protection locked="0"/>
    </xf>
    <xf numFmtId="164" fontId="8" fillId="11" borderId="19" xfId="0" applyNumberFormat="1" applyFont="1" applyFill="1" applyBorder="1" applyProtection="1">
      <protection locked="0"/>
    </xf>
    <xf numFmtId="10" fontId="0" fillId="11" borderId="18" xfId="0" applyNumberFormat="1" applyFill="1" applyBorder="1" applyProtection="1">
      <protection locked="0"/>
    </xf>
    <xf numFmtId="164" fontId="0" fillId="11" borderId="19" xfId="0" applyNumberFormat="1" applyFill="1" applyBorder="1" applyProtection="1">
      <protection locked="0"/>
    </xf>
    <xf numFmtId="0" fontId="0" fillId="0" borderId="18" xfId="0" applyBorder="1" applyAlignment="1" applyProtection="1">
      <alignment horizontal="right"/>
      <protection locked="0"/>
    </xf>
    <xf numFmtId="0" fontId="0" fillId="0" borderId="5" xfId="0" applyBorder="1" applyAlignment="1" applyProtection="1"/>
    <xf numFmtId="0" fontId="8" fillId="4" borderId="5" xfId="0" applyFont="1" applyFill="1" applyBorder="1" applyAlignment="1" applyProtection="1"/>
    <xf numFmtId="0" fontId="0" fillId="4" borderId="5" xfId="0" applyFill="1" applyBorder="1" applyAlignment="1" applyProtection="1"/>
    <xf numFmtId="0" fontId="1" fillId="8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164" fontId="0" fillId="0" borderId="8" xfId="0" applyNumberFormat="1" applyFill="1" applyBorder="1" applyAlignment="1" applyProtection="1">
      <alignment horizontal="center"/>
    </xf>
    <xf numFmtId="0" fontId="1" fillId="8" borderId="20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8" fillId="0" borderId="8" xfId="0" applyFont="1" applyFill="1" applyBorder="1" applyAlignment="1" applyProtection="1">
      <alignment horizontal="right"/>
    </xf>
    <xf numFmtId="0" fontId="14" fillId="0" borderId="0" xfId="0" applyFont="1" applyFill="1" applyAlignment="1" applyProtection="1">
      <alignment vertical="center"/>
    </xf>
    <xf numFmtId="2" fontId="8" fillId="0" borderId="0" xfId="0" applyNumberFormat="1" applyFont="1" applyFill="1" applyProtection="1"/>
    <xf numFmtId="0" fontId="26" fillId="0" borderId="0" xfId="1" applyFont="1" applyFill="1" applyProtection="1"/>
    <xf numFmtId="0" fontId="15" fillId="0" borderId="0" xfId="0" applyFont="1" applyFill="1" applyAlignment="1" applyProtection="1"/>
    <xf numFmtId="0" fontId="16" fillId="0" borderId="0" xfId="0" applyFont="1" applyFill="1" applyBorder="1" applyAlignment="1" applyProtection="1">
      <alignment vertical="center"/>
    </xf>
    <xf numFmtId="0" fontId="16" fillId="0" borderId="4" xfId="0" applyFont="1" applyFill="1" applyBorder="1" applyAlignment="1" applyProtection="1">
      <alignment vertical="center"/>
    </xf>
    <xf numFmtId="0" fontId="8" fillId="0" borderId="4" xfId="0" quotePrefix="1" applyFont="1" applyFill="1" applyBorder="1" applyProtection="1"/>
    <xf numFmtId="0" fontId="16" fillId="0" borderId="4" xfId="0" applyFont="1" applyFill="1" applyBorder="1" applyAlignment="1" applyProtection="1"/>
    <xf numFmtId="0" fontId="16" fillId="0" borderId="3" xfId="0" applyFont="1" applyFill="1" applyBorder="1" applyAlignment="1" applyProtection="1"/>
    <xf numFmtId="167" fontId="8" fillId="0" borderId="5" xfId="0" applyNumberFormat="1" applyFont="1" applyFill="1" applyBorder="1" applyProtection="1"/>
    <xf numFmtId="167" fontId="8" fillId="0" borderId="0" xfId="0" applyNumberFormat="1" applyFont="1" applyFill="1" applyBorder="1" applyProtection="1"/>
    <xf numFmtId="164" fontId="8" fillId="0" borderId="0" xfId="0" applyNumberFormat="1" applyFont="1" applyFill="1" applyBorder="1" applyAlignment="1" applyProtection="1">
      <alignment horizontal="right"/>
    </xf>
    <xf numFmtId="165" fontId="8" fillId="0" borderId="0" xfId="0" applyNumberFormat="1" applyFont="1" applyFill="1" applyBorder="1" applyAlignment="1" applyProtection="1">
      <alignment horizontal="right"/>
    </xf>
    <xf numFmtId="168" fontId="8" fillId="0" borderId="0" xfId="0" quotePrefix="1" applyNumberFormat="1" applyFont="1" applyFill="1" applyBorder="1" applyProtection="1"/>
    <xf numFmtId="0" fontId="8" fillId="0" borderId="0" xfId="0" quotePrefix="1" applyFont="1" applyFill="1" applyBorder="1" applyProtection="1"/>
    <xf numFmtId="164" fontId="8" fillId="0" borderId="5" xfId="0" applyNumberFormat="1" applyFont="1" applyFill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right"/>
    </xf>
    <xf numFmtId="164" fontId="8" fillId="0" borderId="7" xfId="0" applyNumberFormat="1" applyFont="1" applyFill="1" applyBorder="1" applyAlignment="1" applyProtection="1">
      <alignment horizontal="left"/>
    </xf>
    <xf numFmtId="164" fontId="8" fillId="0" borderId="8" xfId="0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8" fillId="0" borderId="5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wrapText="1"/>
    </xf>
    <xf numFmtId="164" fontId="8" fillId="0" borderId="0" xfId="0" quotePrefix="1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168" fontId="8" fillId="0" borderId="0" xfId="0" applyNumberFormat="1" applyFont="1" applyFill="1" applyBorder="1" applyAlignment="1" applyProtection="1"/>
    <xf numFmtId="164" fontId="8" fillId="0" borderId="5" xfId="0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/>
    <xf numFmtId="0" fontId="8" fillId="0" borderId="3" xfId="0" applyFont="1" applyFill="1" applyBorder="1" applyProtection="1"/>
    <xf numFmtId="10" fontId="8" fillId="0" borderId="0" xfId="0" applyNumberFormat="1" applyFont="1" applyFill="1" applyProtection="1"/>
    <xf numFmtId="166" fontId="8" fillId="0" borderId="5" xfId="0" applyNumberFormat="1" applyFont="1" applyFill="1" applyBorder="1" applyProtection="1"/>
    <xf numFmtId="166" fontId="8" fillId="0" borderId="0" xfId="0" applyNumberFormat="1" applyFont="1" applyFill="1" applyBorder="1" applyAlignment="1" applyProtection="1"/>
    <xf numFmtId="3" fontId="8" fillId="0" borderId="0" xfId="0" quotePrefix="1" applyNumberFormat="1" applyFont="1" applyFill="1" applyProtection="1"/>
    <xf numFmtId="168" fontId="8" fillId="0" borderId="8" xfId="0" applyNumberFormat="1" applyFont="1" applyFill="1" applyBorder="1" applyAlignment="1" applyProtection="1"/>
    <xf numFmtId="167" fontId="8" fillId="0" borderId="0" xfId="0" quotePrefix="1" applyNumberFormat="1" applyFont="1" applyFill="1" applyBorder="1" applyProtection="1"/>
    <xf numFmtId="0" fontId="26" fillId="0" borderId="0" xfId="1" quotePrefix="1" applyFont="1" applyFill="1" applyProtection="1"/>
    <xf numFmtId="164" fontId="8" fillId="0" borderId="0" xfId="0" quotePrefix="1" applyNumberFormat="1" applyFont="1" applyFill="1" applyBorder="1" applyAlignment="1" applyProtection="1">
      <alignment horizontal="left"/>
    </xf>
    <xf numFmtId="0" fontId="0" fillId="0" borderId="0" xfId="0" quotePrefix="1" applyFill="1"/>
    <xf numFmtId="164" fontId="8" fillId="0" borderId="0" xfId="0" quotePrefix="1" applyNumberFormat="1" applyFont="1" applyFill="1" applyBorder="1" applyAlignment="1" applyProtection="1">
      <alignment horizontal="right"/>
    </xf>
    <xf numFmtId="0" fontId="0" fillId="0" borderId="0" xfId="0" quotePrefix="1" applyFill="1" applyProtection="1"/>
    <xf numFmtId="0" fontId="8" fillId="0" borderId="6" xfId="0" quotePrefix="1" applyFont="1" applyFill="1" applyBorder="1" applyProtection="1"/>
    <xf numFmtId="164" fontId="8" fillId="0" borderId="6" xfId="0" applyNumberFormat="1" applyFont="1" applyFill="1" applyBorder="1" applyAlignment="1" applyProtection="1"/>
    <xf numFmtId="168" fontId="8" fillId="0" borderId="6" xfId="0" applyNumberFormat="1" applyFont="1" applyFill="1" applyBorder="1" applyAlignment="1" applyProtection="1"/>
    <xf numFmtId="164" fontId="8" fillId="0" borderId="0" xfId="0" quotePrefix="1" applyNumberFormat="1" applyFont="1" applyFill="1" applyBorder="1" applyProtection="1"/>
    <xf numFmtId="168" fontId="8" fillId="0" borderId="6" xfId="0" applyNumberFormat="1" applyFont="1" applyFill="1" applyBorder="1" applyProtection="1"/>
    <xf numFmtId="168" fontId="8" fillId="0" borderId="0" xfId="0" applyNumberFormat="1" applyFont="1" applyFill="1" applyBorder="1" applyProtection="1"/>
    <xf numFmtId="168" fontId="8" fillId="0" borderId="8" xfId="0" quotePrefix="1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Protection="1"/>
    <xf numFmtId="167" fontId="8" fillId="0" borderId="6" xfId="0" applyNumberFormat="1" applyFont="1" applyFill="1" applyBorder="1" applyProtection="1"/>
    <xf numFmtId="168" fontId="8" fillId="0" borderId="8" xfId="0" quotePrefix="1" applyNumberFormat="1" applyFont="1" applyFill="1" applyBorder="1" applyProtection="1"/>
    <xf numFmtId="164" fontId="8" fillId="0" borderId="4" xfId="0" applyNumberFormat="1" applyFont="1" applyFill="1" applyBorder="1" applyProtection="1"/>
    <xf numFmtId="0" fontId="8" fillId="0" borderId="5" xfId="0" quotePrefix="1" applyFont="1" applyFill="1" applyBorder="1" applyAlignment="1" applyProtection="1">
      <alignment horizontal="right"/>
    </xf>
    <xf numFmtId="164" fontId="8" fillId="0" borderId="5" xfId="0" applyNumberFormat="1" applyFont="1" applyFill="1" applyBorder="1" applyProtection="1"/>
    <xf numFmtId="0" fontId="8" fillId="0" borderId="0" xfId="0" quotePrefix="1" applyFont="1" applyFill="1" applyBorder="1" applyAlignment="1" applyProtection="1">
      <alignment horizontal="right"/>
    </xf>
    <xf numFmtId="167" fontId="8" fillId="0" borderId="0" xfId="0" applyNumberFormat="1" applyFont="1" applyFill="1" applyBorder="1" applyAlignment="1" applyProtection="1">
      <alignment horizontal="right"/>
    </xf>
    <xf numFmtId="164" fontId="8" fillId="0" borderId="6" xfId="0" quotePrefix="1" applyNumberFormat="1" applyFont="1" applyFill="1" applyBorder="1" applyProtection="1"/>
    <xf numFmtId="0" fontId="8" fillId="0" borderId="0" xfId="0" applyFont="1" applyFill="1" applyAlignment="1" applyProtection="1">
      <alignment horizontal="right"/>
    </xf>
    <xf numFmtId="0" fontId="8" fillId="0" borderId="6" xfId="0" applyFont="1" applyFill="1" applyBorder="1" applyAlignment="1" applyProtection="1">
      <alignment horizontal="right"/>
    </xf>
    <xf numFmtId="0" fontId="8" fillId="0" borderId="5" xfId="0" applyFont="1" applyFill="1" applyBorder="1" applyAlignment="1" applyProtection="1">
      <alignment vertical="center"/>
    </xf>
    <xf numFmtId="0" fontId="8" fillId="0" borderId="6" xfId="0" applyFont="1" applyFill="1" applyBorder="1" applyAlignment="1" applyProtection="1"/>
    <xf numFmtId="0" fontId="8" fillId="0" borderId="6" xfId="0" applyFont="1" applyFill="1" applyBorder="1" applyAlignment="1" applyProtection="1">
      <alignment vertical="center"/>
    </xf>
    <xf numFmtId="0" fontId="1" fillId="13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Protection="1"/>
    <xf numFmtId="0" fontId="0" fillId="0" borderId="0" xfId="0" applyProtection="1"/>
    <xf numFmtId="7" fontId="0" fillId="0" borderId="0" xfId="0" applyNumberFormat="1" applyProtection="1"/>
    <xf numFmtId="0" fontId="0" fillId="0" borderId="0" xfId="0" applyAlignment="1">
      <alignment horizontal="center"/>
    </xf>
    <xf numFmtId="0" fontId="8" fillId="0" borderId="2" xfId="0" applyNumberFormat="1" applyFont="1" applyFill="1" applyBorder="1" applyProtection="1"/>
    <xf numFmtId="0" fontId="8" fillId="10" borderId="5" xfId="0" applyNumberFormat="1" applyFont="1" applyFill="1" applyBorder="1" applyProtection="1"/>
    <xf numFmtId="0" fontId="8" fillId="0" borderId="5" xfId="0" applyNumberFormat="1" applyFont="1" applyFill="1" applyBorder="1" applyProtection="1"/>
    <xf numFmtId="0" fontId="8" fillId="10" borderId="7" xfId="0" applyNumberFormat="1" applyFont="1" applyFill="1" applyBorder="1" applyProtection="1"/>
    <xf numFmtId="0" fontId="0" fillId="0" borderId="0" xfId="0" applyProtection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NumberFormat="1" applyFont="1" applyAlignment="1" applyProtection="1">
      <alignment horizontal="center" vertical="center"/>
    </xf>
    <xf numFmtId="8" fontId="0" fillId="0" borderId="0" xfId="0" applyNumberFormat="1" applyAlignment="1">
      <alignment horizontal="center"/>
    </xf>
    <xf numFmtId="0" fontId="1" fillId="15" borderId="187" xfId="0" applyNumberFormat="1" applyFont="1" applyFill="1" applyBorder="1" applyAlignment="1">
      <alignment horizontal="center"/>
    </xf>
    <xf numFmtId="0" fontId="1" fillId="15" borderId="159" xfId="0" applyNumberFormat="1" applyFont="1" applyFill="1" applyBorder="1" applyAlignment="1">
      <alignment horizontal="center"/>
    </xf>
    <xf numFmtId="0" fontId="0" fillId="0" borderId="0" xfId="0" applyFill="1" applyBorder="1"/>
    <xf numFmtId="0" fontId="36" fillId="0" borderId="0" xfId="0" applyNumberFormat="1" applyFont="1" applyAlignment="1" applyProtection="1">
      <alignment vertical="center"/>
    </xf>
    <xf numFmtId="0" fontId="36" fillId="0" borderId="0" xfId="0" applyFont="1" applyAlignment="1" applyProtection="1">
      <alignment horizontal="center" vertical="center"/>
    </xf>
    <xf numFmtId="164" fontId="8" fillId="0" borderId="5" xfId="2" applyNumberFormat="1" applyFont="1" applyFill="1" applyBorder="1" applyAlignment="1" applyProtection="1">
      <alignment horizontal="right"/>
    </xf>
    <xf numFmtId="8" fontId="8" fillId="0" borderId="8" xfId="0" applyNumberFormat="1" applyFont="1" applyFill="1" applyBorder="1" applyProtection="1"/>
    <xf numFmtId="0" fontId="1" fillId="15" borderId="1" xfId="0" applyNumberFormat="1" applyFont="1" applyFill="1" applyBorder="1" applyAlignment="1" applyProtection="1">
      <alignment vertical="center"/>
    </xf>
    <xf numFmtId="164" fontId="8" fillId="0" borderId="3" xfId="0" applyNumberFormat="1" applyFont="1" applyBorder="1" applyAlignment="1" applyProtection="1">
      <alignment vertical="center"/>
    </xf>
    <xf numFmtId="164" fontId="8" fillId="0" borderId="9" xfId="0" applyNumberFormat="1" applyFont="1" applyBorder="1" applyAlignment="1" applyProtection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0" xfId="0" applyFont="1" applyAlignment="1" applyProtection="1">
      <alignment horizontal="center" vertical="center"/>
    </xf>
    <xf numFmtId="0" fontId="6" fillId="0" borderId="0" xfId="1" applyProtection="1"/>
    <xf numFmtId="164" fontId="8" fillId="0" borderId="4" xfId="1" applyNumberFormat="1" applyFont="1" applyFill="1" applyBorder="1" applyAlignment="1" applyProtection="1">
      <alignment horizontal="center"/>
    </xf>
    <xf numFmtId="164" fontId="8" fillId="1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Alignment="1" applyProtection="1">
      <alignment horizontal="center"/>
    </xf>
    <xf numFmtId="4" fontId="0" fillId="0" borderId="0" xfId="0" applyNumberFormat="1" applyAlignment="1">
      <alignment horizontal="center"/>
    </xf>
    <xf numFmtId="0" fontId="8" fillId="10" borderId="158" xfId="0" applyFont="1" applyFill="1" applyBorder="1" applyProtection="1"/>
    <xf numFmtId="164" fontId="8" fillId="0" borderId="3" xfId="1" applyNumberFormat="1" applyFont="1" applyFill="1" applyBorder="1" applyAlignment="1" applyProtection="1">
      <alignment horizontal="center"/>
    </xf>
    <xf numFmtId="164" fontId="8" fillId="10" borderId="6" xfId="1" applyNumberFormat="1" applyFont="1" applyFill="1" applyBorder="1" applyAlignment="1" applyProtection="1">
      <alignment horizontal="center"/>
    </xf>
    <xf numFmtId="164" fontId="8" fillId="0" borderId="6" xfId="1" applyNumberFormat="1" applyFont="1" applyFill="1" applyBorder="1" applyAlignment="1" applyProtection="1">
      <alignment horizontal="center"/>
    </xf>
    <xf numFmtId="164" fontId="8" fillId="10" borderId="8" xfId="1" applyNumberFormat="1" applyFont="1" applyFill="1" applyBorder="1" applyAlignment="1" applyProtection="1">
      <alignment horizontal="center"/>
    </xf>
    <xf numFmtId="164" fontId="8" fillId="10" borderId="9" xfId="1" applyNumberFormat="1" applyFont="1" applyFill="1" applyBorder="1" applyAlignment="1" applyProtection="1">
      <alignment horizontal="center"/>
    </xf>
    <xf numFmtId="164" fontId="8" fillId="0" borderId="0" xfId="0" applyNumberFormat="1" applyFont="1" applyProtection="1"/>
    <xf numFmtId="0" fontId="16" fillId="0" borderId="5" xfId="0" applyNumberFormat="1" applyFont="1" applyBorder="1" applyAlignment="1" applyProtection="1">
      <alignment horizontal="right"/>
    </xf>
    <xf numFmtId="0" fontId="8" fillId="0" borderId="6" xfId="0" applyNumberFormat="1" applyFont="1" applyBorder="1" applyAlignment="1" applyProtection="1">
      <alignment horizontal="right"/>
      <protection locked="0"/>
    </xf>
    <xf numFmtId="0" fontId="8" fillId="0" borderId="3" xfId="0" applyNumberFormat="1" applyFont="1" applyFill="1" applyBorder="1" applyProtection="1">
      <protection locked="0"/>
    </xf>
    <xf numFmtId="0" fontId="16" fillId="0" borderId="4" xfId="0" applyNumberFormat="1" applyFont="1" applyBorder="1" applyAlignment="1" applyProtection="1">
      <alignment horizontal="right"/>
    </xf>
    <xf numFmtId="0" fontId="16" fillId="0" borderId="4" xfId="0" applyNumberFormat="1" applyFont="1" applyFill="1" applyBorder="1" applyAlignment="1" applyProtection="1">
      <alignment horizontal="right"/>
    </xf>
    <xf numFmtId="0" fontId="8" fillId="0" borderId="9" xfId="0" applyNumberFormat="1" applyFont="1" applyFill="1" applyBorder="1" applyProtection="1">
      <protection locked="0"/>
    </xf>
    <xf numFmtId="0" fontId="16" fillId="0" borderId="8" xfId="0" applyNumberFormat="1" applyFont="1" applyBorder="1" applyAlignment="1" applyProtection="1">
      <alignment horizontal="right"/>
    </xf>
    <xf numFmtId="0" fontId="8" fillId="0" borderId="9" xfId="0" quotePrefix="1" applyNumberFormat="1" applyFont="1" applyFill="1" applyBorder="1" applyProtection="1">
      <protection locked="0"/>
    </xf>
    <xf numFmtId="0" fontId="16" fillId="0" borderId="8" xfId="0" applyNumberFormat="1" applyFont="1" applyFill="1" applyBorder="1" applyAlignment="1" applyProtection="1">
      <alignment horizontal="right"/>
    </xf>
    <xf numFmtId="0" fontId="8" fillId="0" borderId="4" xfId="0" applyNumberFormat="1" applyFont="1" applyBorder="1" applyAlignment="1" applyProtection="1">
      <alignment horizontal="right"/>
      <protection locked="0"/>
    </xf>
    <xf numFmtId="0" fontId="16" fillId="0" borderId="2" xfId="0" applyNumberFormat="1" applyFont="1" applyFill="1" applyBorder="1" applyAlignment="1" applyProtection="1">
      <alignment horizontal="right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0" fontId="8" fillId="0" borderId="3" xfId="0" applyNumberFormat="1" applyFont="1" applyBorder="1" applyProtection="1">
      <protection locked="0"/>
    </xf>
    <xf numFmtId="0" fontId="8" fillId="0" borderId="6" xfId="0" applyNumberFormat="1" applyFont="1" applyBorder="1" applyProtection="1">
      <protection locked="0"/>
    </xf>
    <xf numFmtId="0" fontId="8" fillId="0" borderId="9" xfId="0" applyNumberFormat="1" applyFont="1" applyBorder="1" applyAlignment="1" applyProtection="1">
      <alignment horizontal="right"/>
      <protection locked="0"/>
    </xf>
    <xf numFmtId="0" fontId="16" fillId="0" borderId="7" xfId="0" applyNumberFormat="1" applyFont="1" applyBorder="1" applyAlignment="1" applyProtection="1">
      <alignment horizontal="right"/>
    </xf>
    <xf numFmtId="0" fontId="8" fillId="0" borderId="9" xfId="0" applyNumberFormat="1" applyFont="1" applyBorder="1" applyProtection="1">
      <protection locked="0"/>
    </xf>
    <xf numFmtId="10" fontId="8" fillId="0" borderId="9" xfId="0" applyNumberFormat="1" applyFont="1" applyBorder="1" applyAlignment="1" applyProtection="1">
      <alignment horizontal="center"/>
    </xf>
    <xf numFmtId="164" fontId="8" fillId="0" borderId="19" xfId="1" applyNumberFormat="1" applyFont="1" applyBorder="1" applyAlignment="1" applyProtection="1">
      <alignment horizontal="center"/>
    </xf>
    <xf numFmtId="0" fontId="0" fillId="0" borderId="0" xfId="0" applyFill="1"/>
    <xf numFmtId="0" fontId="30" fillId="0" borderId="0" xfId="0" applyFont="1" applyAlignment="1" applyProtection="1"/>
    <xf numFmtId="0" fontId="29" fillId="0" borderId="0" xfId="0" applyFont="1" applyAlignment="1" applyProtection="1"/>
    <xf numFmtId="0" fontId="0" fillId="0" borderId="0" xfId="0" applyProtection="1"/>
    <xf numFmtId="164" fontId="8" fillId="0" borderId="16" xfId="1" applyNumberFormat="1" applyFont="1" applyFill="1" applyBorder="1" applyAlignment="1" applyProtection="1">
      <alignment horizontal="center"/>
    </xf>
    <xf numFmtId="164" fontId="8" fillId="0" borderId="159" xfId="1" applyNumberFormat="1" applyFont="1" applyFill="1" applyBorder="1" applyAlignment="1" applyProtection="1">
      <alignment horizontal="center"/>
    </xf>
    <xf numFmtId="164" fontId="8" fillId="12" borderId="6" xfId="1" applyNumberFormat="1" applyFont="1" applyFill="1" applyBorder="1" applyAlignment="1" applyProtection="1">
      <alignment horizontal="center"/>
    </xf>
    <xf numFmtId="164" fontId="8" fillId="12" borderId="21" xfId="1" applyNumberFormat="1" applyFont="1" applyFill="1" applyBorder="1" applyAlignment="1" applyProtection="1">
      <alignment horizontal="center"/>
    </xf>
    <xf numFmtId="164" fontId="8" fillId="12" borderId="161" xfId="1" applyNumberFormat="1" applyFont="1" applyFill="1" applyBorder="1" applyAlignment="1" applyProtection="1">
      <alignment horizontal="center"/>
    </xf>
    <xf numFmtId="164" fontId="8" fillId="0" borderId="21" xfId="1" applyNumberFormat="1" applyFont="1" applyFill="1" applyBorder="1" applyAlignment="1" applyProtection="1">
      <alignment horizontal="center"/>
    </xf>
    <xf numFmtId="164" fontId="8" fillId="0" borderId="161" xfId="1" applyNumberFormat="1" applyFont="1" applyFill="1" applyBorder="1" applyAlignment="1" applyProtection="1">
      <alignment horizontal="center"/>
    </xf>
    <xf numFmtId="164" fontId="8" fillId="0" borderId="9" xfId="1" applyNumberFormat="1" applyFont="1" applyFill="1" applyBorder="1" applyAlignment="1" applyProtection="1">
      <alignment horizontal="center"/>
    </xf>
    <xf numFmtId="164" fontId="8" fillId="0" borderId="20" xfId="1" applyNumberFormat="1" applyFont="1" applyFill="1" applyBorder="1" applyAlignment="1" applyProtection="1">
      <alignment horizontal="center"/>
    </xf>
    <xf numFmtId="164" fontId="8" fillId="0" borderId="160" xfId="1" applyNumberFormat="1" applyFont="1" applyFill="1" applyBorder="1" applyAlignment="1" applyProtection="1">
      <alignment horizontal="center"/>
    </xf>
    <xf numFmtId="164" fontId="8" fillId="12" borderId="9" xfId="1" applyNumberFormat="1" applyFont="1" applyFill="1" applyBorder="1" applyAlignment="1" applyProtection="1">
      <alignment horizontal="center"/>
    </xf>
    <xf numFmtId="164" fontId="8" fillId="12" borderId="20" xfId="1" applyNumberFormat="1" applyFont="1" applyFill="1" applyBorder="1" applyAlignment="1" applyProtection="1">
      <alignment horizontal="center"/>
    </xf>
    <xf numFmtId="164" fontId="8" fillId="12" borderId="160" xfId="1" applyNumberFormat="1" applyFont="1" applyFill="1" applyBorder="1" applyAlignment="1" applyProtection="1">
      <alignment horizontal="center"/>
    </xf>
    <xf numFmtId="0" fontId="11" fillId="5" borderId="12" xfId="1" applyFont="1" applyFill="1" applyBorder="1" applyAlignment="1" applyProtection="1">
      <alignment horizontal="center" vertical="center" wrapText="1"/>
    </xf>
    <xf numFmtId="0" fontId="11" fillId="5" borderId="13" xfId="1" applyFont="1" applyFill="1" applyBorder="1" applyAlignment="1" applyProtection="1">
      <alignment horizontal="center" vertical="center" wrapText="1"/>
    </xf>
    <xf numFmtId="0" fontId="11" fillId="5" borderId="14" xfId="1" applyFont="1" applyFill="1" applyBorder="1" applyAlignment="1" applyProtection="1">
      <alignment horizontal="center" vertical="center" wrapText="1"/>
    </xf>
    <xf numFmtId="0" fontId="11" fillId="5" borderId="15" xfId="1" applyFont="1" applyFill="1" applyBorder="1" applyAlignment="1" applyProtection="1">
      <alignment horizontal="center" vertical="center" wrapText="1"/>
    </xf>
    <xf numFmtId="0" fontId="11" fillId="5" borderId="10" xfId="1" applyFont="1" applyFill="1" applyBorder="1" applyAlignment="1" applyProtection="1">
      <alignment horizontal="center" vertical="center" wrapText="1"/>
    </xf>
    <xf numFmtId="0" fontId="11" fillId="5" borderId="11" xfId="1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/>
    </xf>
    <xf numFmtId="0" fontId="11" fillId="6" borderId="10" xfId="1" applyFont="1" applyFill="1" applyBorder="1" applyAlignment="1" applyProtection="1">
      <alignment horizontal="center" vertical="center" wrapText="1"/>
    </xf>
    <xf numFmtId="0" fontId="11" fillId="6" borderId="11" xfId="1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0" fontId="12" fillId="7" borderId="10" xfId="1" applyFont="1" applyFill="1" applyBorder="1" applyAlignment="1" applyProtection="1">
      <alignment horizontal="center" vertical="center"/>
    </xf>
    <xf numFmtId="0" fontId="12" fillId="7" borderId="11" xfId="1" applyFont="1" applyFill="1" applyBorder="1" applyAlignment="1" applyProtection="1">
      <alignment horizontal="center" vertical="center"/>
    </xf>
    <xf numFmtId="0" fontId="37" fillId="7" borderId="10" xfId="1" applyFont="1" applyFill="1" applyBorder="1" applyAlignment="1" applyProtection="1">
      <alignment horizontal="center" vertical="center" wrapText="1"/>
    </xf>
    <xf numFmtId="0" fontId="37" fillId="7" borderId="11" xfId="1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8" borderId="17" xfId="0" applyFont="1" applyFill="1" applyBorder="1" applyAlignment="1" applyProtection="1">
      <alignment horizontal="center"/>
    </xf>
    <xf numFmtId="0" fontId="1" fillId="8" borderId="19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center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16" borderId="17" xfId="1" applyFont="1" applyFill="1" applyBorder="1" applyAlignment="1" applyProtection="1">
      <alignment horizontal="center"/>
    </xf>
    <xf numFmtId="0" fontId="1" fillId="16" borderId="19" xfId="1" applyFont="1" applyFill="1" applyBorder="1" applyAlignment="1" applyProtection="1">
      <alignment horizontal="center"/>
    </xf>
    <xf numFmtId="0" fontId="1" fillId="8" borderId="18" xfId="0" applyFont="1" applyFill="1" applyBorder="1" applyAlignment="1" applyProtection="1">
      <alignment horizontal="center"/>
    </xf>
    <xf numFmtId="0" fontId="16" fillId="0" borderId="4" xfId="0" applyNumberFormat="1" applyFont="1" applyBorder="1" applyAlignment="1" applyProtection="1">
      <alignment horizontal="right" vertical="center"/>
    </xf>
    <xf numFmtId="0" fontId="16" fillId="0" borderId="8" xfId="0" applyNumberFormat="1" applyFont="1" applyBorder="1" applyAlignment="1" applyProtection="1">
      <alignment horizontal="right" vertical="center"/>
    </xf>
    <xf numFmtId="0" fontId="0" fillId="0" borderId="3" xfId="0" applyNumberFormat="1" applyBorder="1" applyAlignment="1" applyProtection="1">
      <alignment horizontal="right" vertical="center" wrapText="1"/>
      <protection locked="0"/>
    </xf>
    <xf numFmtId="0" fontId="0" fillId="0" borderId="9" xfId="0" applyNumberFormat="1" applyBorder="1" applyAlignment="1" applyProtection="1">
      <alignment horizontal="right" vertical="center" wrapText="1"/>
      <protection locked="0"/>
    </xf>
    <xf numFmtId="0" fontId="8" fillId="0" borderId="3" xfId="0" applyNumberFormat="1" applyFont="1" applyBorder="1" applyAlignment="1" applyProtection="1">
      <alignment horizontal="right" vertical="center" wrapText="1"/>
      <protection locked="0"/>
    </xf>
    <xf numFmtId="0" fontId="8" fillId="0" borderId="9" xfId="0" applyNumberFormat="1" applyFont="1" applyBorder="1" applyAlignment="1" applyProtection="1">
      <alignment horizontal="right" vertical="center" wrapText="1"/>
      <protection locked="0"/>
    </xf>
    <xf numFmtId="0" fontId="16" fillId="0" borderId="4" xfId="0" applyFont="1" applyBorder="1" applyAlignment="1" applyProtection="1">
      <alignment horizontal="right" vertical="center"/>
    </xf>
    <xf numFmtId="0" fontId="16" fillId="0" borderId="8" xfId="0" applyFont="1" applyBorder="1" applyAlignment="1" applyProtection="1">
      <alignment horizontal="right" vertical="center"/>
    </xf>
    <xf numFmtId="0" fontId="8" fillId="0" borderId="3" xfId="0" applyNumberFormat="1" applyFont="1" applyBorder="1" applyAlignment="1" applyProtection="1">
      <alignment horizontal="right" vertical="center"/>
      <protection locked="0"/>
    </xf>
    <xf numFmtId="0" fontId="8" fillId="0" borderId="9" xfId="0" applyNumberFormat="1" applyFont="1" applyBorder="1" applyAlignment="1" applyProtection="1">
      <alignment horizontal="right" vertical="center"/>
      <protection locked="0"/>
    </xf>
    <xf numFmtId="0" fontId="1" fillId="15" borderId="17" xfId="1" applyFont="1" applyFill="1" applyBorder="1" applyAlignment="1" applyProtection="1">
      <alignment horizontal="center"/>
    </xf>
    <xf numFmtId="0" fontId="1" fillId="15" borderId="19" xfId="1" applyFont="1" applyFill="1" applyBorder="1" applyAlignment="1" applyProtection="1">
      <alignment horizontal="center"/>
    </xf>
    <xf numFmtId="0" fontId="1" fillId="8" borderId="16" xfId="0" applyFont="1" applyFill="1" applyBorder="1" applyAlignment="1" applyProtection="1">
      <alignment horizontal="center" vertical="center"/>
    </xf>
    <xf numFmtId="0" fontId="1" fillId="8" borderId="20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wrapText="1"/>
    </xf>
    <xf numFmtId="0" fontId="1" fillId="8" borderId="19" xfId="0" applyFont="1" applyFill="1" applyBorder="1" applyAlignment="1" applyProtection="1">
      <alignment horizontal="center" vertical="center" wrapText="1"/>
    </xf>
    <xf numFmtId="0" fontId="33" fillId="0" borderId="0" xfId="0" applyFont="1" applyAlignment="1" applyProtection="1">
      <alignment horizontal="left" vertical="center"/>
    </xf>
    <xf numFmtId="0" fontId="1" fillId="15" borderId="5" xfId="0" applyFont="1" applyFill="1" applyBorder="1" applyAlignment="1" applyProtection="1">
      <alignment horizontal="center" vertical="center"/>
    </xf>
    <xf numFmtId="8" fontId="38" fillId="0" borderId="16" xfId="0" applyNumberFormat="1" applyFont="1" applyBorder="1" applyAlignment="1" applyProtection="1">
      <alignment horizontal="center" vertical="center"/>
    </xf>
    <xf numFmtId="0" fontId="38" fillId="0" borderId="20" xfId="0" applyFont="1" applyBorder="1" applyAlignment="1" applyProtection="1">
      <alignment horizontal="center" vertical="center"/>
    </xf>
    <xf numFmtId="0" fontId="1" fillId="15" borderId="15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57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162" xfId="0" applyNumberFormat="1" applyFont="1" applyFill="1" applyBorder="1" applyAlignment="1">
      <alignment horizontal="center"/>
    </xf>
    <xf numFmtId="0" fontId="1" fillId="15" borderId="152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0" fontId="1" fillId="15" borderId="17" xfId="0" applyNumberFormat="1" applyFont="1" applyFill="1" applyBorder="1" applyAlignment="1">
      <alignment horizontal="center" vertical="center"/>
    </xf>
    <xf numFmtId="0" fontId="1" fillId="15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left" vertical="center" wrapText="1"/>
    </xf>
    <xf numFmtId="164" fontId="8" fillId="0" borderId="3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left" vertical="center" wrapText="1"/>
    </xf>
    <xf numFmtId="164" fontId="8" fillId="10" borderId="6" xfId="0" applyNumberFormat="1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/>
    </xf>
    <xf numFmtId="0" fontId="18" fillId="8" borderId="18" xfId="0" applyFont="1" applyFill="1" applyBorder="1" applyAlignment="1" applyProtection="1">
      <alignment horizontal="center"/>
    </xf>
    <xf numFmtId="0" fontId="18" fillId="8" borderId="19" xfId="0" applyFont="1" applyFill="1" applyBorder="1" applyAlignment="1" applyProtection="1">
      <alignment horizontal="center"/>
    </xf>
    <xf numFmtId="0" fontId="18" fillId="8" borderId="1" xfId="0" applyFont="1" applyFill="1" applyBorder="1" applyAlignment="1" applyProtection="1">
      <alignment horizontal="center" wrapText="1"/>
    </xf>
    <xf numFmtId="0" fontId="1" fillId="13" borderId="17" xfId="0" applyFont="1" applyFill="1" applyBorder="1" applyAlignment="1" applyProtection="1">
      <alignment horizontal="center"/>
    </xf>
    <xf numFmtId="0" fontId="1" fillId="13" borderId="19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29" fillId="0" borderId="0" xfId="0" applyFont="1" applyAlignment="1" applyProtection="1">
      <alignment horizontal="left"/>
    </xf>
    <xf numFmtId="0" fontId="1" fillId="13" borderId="1" xfId="0" applyFont="1" applyFill="1" applyBorder="1" applyAlignment="1" applyProtection="1">
      <alignment horizontal="center" vertical="center"/>
    </xf>
    <xf numFmtId="0" fontId="1" fillId="13" borderId="1" xfId="0" applyFont="1" applyFill="1" applyBorder="1" applyAlignment="1" applyProtection="1">
      <alignment horizontal="center" vertical="center" wrapText="1"/>
    </xf>
    <xf numFmtId="0" fontId="1" fillId="13" borderId="1" xfId="0" applyFont="1" applyFill="1" applyBorder="1" applyAlignment="1" applyProtection="1">
      <alignment horizontal="center" wrapText="1"/>
    </xf>
    <xf numFmtId="0" fontId="30" fillId="0" borderId="0" xfId="0" applyFont="1" applyAlignment="1" applyProtection="1">
      <alignment horizontal="left" vertical="center"/>
    </xf>
    <xf numFmtId="164" fontId="31" fillId="0" borderId="5" xfId="0" applyNumberFormat="1" applyFont="1" applyBorder="1" applyAlignment="1" applyProtection="1">
      <alignment horizontal="center" vertical="center"/>
    </xf>
    <xf numFmtId="164" fontId="31" fillId="0" borderId="6" xfId="0" applyNumberFormat="1" applyFont="1" applyBorder="1" applyAlignment="1" applyProtection="1">
      <alignment horizontal="center" vertical="center"/>
    </xf>
    <xf numFmtId="164" fontId="31" fillId="0" borderId="7" xfId="0" applyNumberFormat="1" applyFont="1" applyBorder="1" applyAlignment="1" applyProtection="1">
      <alignment horizontal="center" vertical="center"/>
    </xf>
    <xf numFmtId="164" fontId="31" fillId="0" borderId="9" xfId="0" applyNumberFormat="1" applyFont="1" applyBorder="1" applyAlignment="1" applyProtection="1">
      <alignment horizontal="center" vertical="center"/>
    </xf>
    <xf numFmtId="0" fontId="29" fillId="0" borderId="0" xfId="0" applyFont="1" applyAlignment="1" applyProtection="1">
      <alignment horizontal="left" vertical="center"/>
    </xf>
    <xf numFmtId="0" fontId="30" fillId="0" borderId="0" xfId="0" applyFont="1" applyAlignment="1" applyProtection="1">
      <alignment horizontal="left"/>
    </xf>
    <xf numFmtId="0" fontId="1" fillId="13" borderId="18" xfId="0" applyFont="1" applyFill="1" applyBorder="1" applyAlignment="1" applyProtection="1">
      <alignment horizontal="center"/>
    </xf>
    <xf numFmtId="0" fontId="3" fillId="0" borderId="5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14" borderId="7" xfId="0" applyFont="1" applyFill="1" applyBorder="1" applyAlignment="1" applyProtection="1">
      <alignment horizontal="right"/>
    </xf>
    <xf numFmtId="0" fontId="3" fillId="14" borderId="8" xfId="0" applyFont="1" applyFill="1" applyBorder="1" applyAlignment="1" applyProtection="1">
      <alignment horizontal="right"/>
    </xf>
    <xf numFmtId="164" fontId="31" fillId="0" borderId="8" xfId="0" applyNumberFormat="1" applyFont="1" applyBorder="1" applyAlignment="1" applyProtection="1">
      <alignment horizontal="center" vertical="center"/>
    </xf>
    <xf numFmtId="164" fontId="31" fillId="0" borderId="17" xfId="0" applyNumberFormat="1" applyFont="1" applyBorder="1" applyAlignment="1" applyProtection="1">
      <alignment horizontal="center" vertical="center"/>
    </xf>
    <xf numFmtId="164" fontId="31" fillId="0" borderId="18" xfId="0" applyNumberFormat="1" applyFont="1" applyBorder="1" applyAlignment="1" applyProtection="1">
      <alignment horizontal="center" vertical="center"/>
    </xf>
    <xf numFmtId="164" fontId="31" fillId="0" borderId="19" xfId="0" applyNumberFormat="1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left"/>
    </xf>
    <xf numFmtId="0" fontId="8" fillId="0" borderId="8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8" fillId="14" borderId="5" xfId="0" applyFont="1" applyFill="1" applyBorder="1" applyAlignment="1" applyProtection="1">
      <alignment horizontal="left"/>
    </xf>
    <xf numFmtId="0" fontId="8" fillId="14" borderId="0" xfId="0" applyFont="1" applyFill="1" applyBorder="1" applyAlignment="1" applyProtection="1">
      <alignment horizontal="left"/>
    </xf>
    <xf numFmtId="0" fontId="29" fillId="0" borderId="0" xfId="0" applyFont="1" applyAlignment="1" applyProtection="1">
      <alignment horizontal="center" vertical="center"/>
    </xf>
    <xf numFmtId="0" fontId="1" fillId="13" borderId="1" xfId="0" applyNumberFormat="1" applyFont="1" applyFill="1" applyBorder="1" applyAlignment="1" applyProtection="1">
      <alignment horizontal="center" wrapText="1"/>
    </xf>
    <xf numFmtId="0" fontId="0" fillId="3" borderId="5" xfId="0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22" fillId="0" borderId="139" xfId="0" applyFont="1" applyBorder="1" applyAlignment="1" applyProtection="1">
      <alignment horizontal="right" wrapText="1"/>
    </xf>
    <xf numFmtId="0" fontId="22" fillId="0" borderId="140" xfId="0" applyFont="1" applyBorder="1" applyAlignment="1" applyProtection="1">
      <alignment horizontal="right" wrapText="1"/>
    </xf>
    <xf numFmtId="0" fontId="22" fillId="0" borderId="144" xfId="0" applyFont="1" applyBorder="1" applyAlignment="1" applyProtection="1">
      <alignment horizontal="right" wrapText="1"/>
    </xf>
    <xf numFmtId="0" fontId="22" fillId="0" borderId="145" xfId="0" applyFont="1" applyBorder="1" applyAlignment="1" applyProtection="1">
      <alignment horizontal="right" wrapText="1"/>
    </xf>
    <xf numFmtId="0" fontId="1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25" fillId="9" borderId="141" xfId="0" applyFont="1" applyFill="1" applyBorder="1" applyAlignment="1" applyProtection="1">
      <alignment horizontal="right"/>
    </xf>
    <xf numFmtId="0" fontId="25" fillId="9" borderId="142" xfId="0" applyFont="1" applyFill="1" applyBorder="1" applyAlignment="1" applyProtection="1">
      <alignment horizontal="right"/>
    </xf>
    <xf numFmtId="0" fontId="25" fillId="9" borderId="143" xfId="0" applyFont="1" applyFill="1" applyBorder="1" applyAlignment="1" applyProtection="1">
      <alignment horizontal="right"/>
    </xf>
    <xf numFmtId="0" fontId="0" fillId="3" borderId="7" xfId="0" applyFill="1" applyBorder="1" applyAlignment="1" applyProtection="1">
      <alignment horizontal="right"/>
    </xf>
    <xf numFmtId="0" fontId="0" fillId="3" borderId="8" xfId="0" applyFill="1" applyBorder="1" applyAlignment="1" applyProtection="1">
      <alignment horizontal="right"/>
    </xf>
    <xf numFmtId="0" fontId="17" fillId="0" borderId="0" xfId="1" applyFont="1" applyAlignment="1" applyProtection="1">
      <alignment horizontal="center"/>
    </xf>
    <xf numFmtId="0" fontId="3" fillId="0" borderId="185" xfId="0" applyFont="1" applyBorder="1" applyAlignment="1" applyProtection="1">
      <alignment horizontal="center" wrapText="1"/>
    </xf>
    <xf numFmtId="0" fontId="3" fillId="0" borderId="178" xfId="0" applyFont="1" applyBorder="1" applyAlignment="1" applyProtection="1">
      <alignment horizontal="center" wrapText="1"/>
    </xf>
    <xf numFmtId="0" fontId="23" fillId="0" borderId="97" xfId="0" applyFont="1" applyBorder="1" applyAlignment="1" applyProtection="1">
      <alignment horizontal="right" wrapText="1"/>
    </xf>
    <xf numFmtId="0" fontId="23" fillId="0" borderId="102" xfId="0" applyFont="1" applyBorder="1" applyAlignment="1" applyProtection="1">
      <alignment horizontal="right" wrapText="1"/>
    </xf>
    <xf numFmtId="0" fontId="21" fillId="0" borderId="100" xfId="0" applyFont="1" applyBorder="1" applyAlignment="1" applyProtection="1">
      <alignment horizontal="center"/>
    </xf>
    <xf numFmtId="0" fontId="21" fillId="0" borderId="101" xfId="0" applyFont="1" applyBorder="1" applyAlignment="1" applyProtection="1">
      <alignment horizontal="center"/>
    </xf>
    <xf numFmtId="0" fontId="3" fillId="0" borderId="76" xfId="0" applyFont="1" applyBorder="1" applyAlignment="1" applyProtection="1">
      <alignment horizontal="center" wrapText="1"/>
    </xf>
    <xf numFmtId="0" fontId="3" fillId="0" borderId="83" xfId="0" applyFont="1" applyBorder="1" applyAlignment="1" applyProtection="1">
      <alignment horizontal="center" wrapText="1"/>
    </xf>
    <xf numFmtId="0" fontId="21" fillId="0" borderId="78" xfId="0" applyFont="1" applyBorder="1" applyAlignment="1" applyProtection="1">
      <alignment horizontal="right" wrapText="1"/>
    </xf>
    <xf numFmtId="0" fontId="21" fillId="0" borderId="84" xfId="0" applyFont="1" applyBorder="1" applyAlignment="1" applyProtection="1">
      <alignment horizontal="right" wrapText="1"/>
    </xf>
    <xf numFmtId="0" fontId="9" fillId="0" borderId="132" xfId="0" applyFont="1" applyBorder="1" applyAlignment="1" applyProtection="1">
      <alignment horizontal="center"/>
    </xf>
    <xf numFmtId="0" fontId="9" fillId="0" borderId="133" xfId="0" applyFont="1" applyBorder="1" applyAlignment="1" applyProtection="1">
      <alignment horizontal="center"/>
    </xf>
    <xf numFmtId="0" fontId="3" fillId="0" borderId="179" xfId="0" applyFont="1" applyBorder="1" applyAlignment="1" applyProtection="1">
      <alignment horizontal="center"/>
    </xf>
    <xf numFmtId="0" fontId="3" fillId="0" borderId="180" xfId="0" applyFont="1" applyBorder="1" applyAlignment="1" applyProtection="1">
      <alignment horizontal="center"/>
    </xf>
    <xf numFmtId="0" fontId="3" fillId="0" borderId="181" xfId="0" applyFont="1" applyBorder="1" applyAlignment="1" applyProtection="1">
      <alignment horizontal="center"/>
    </xf>
    <xf numFmtId="0" fontId="3" fillId="0" borderId="182" xfId="0" applyFont="1" applyBorder="1" applyAlignment="1" applyProtection="1">
      <alignment horizontal="center"/>
    </xf>
    <xf numFmtId="0" fontId="3" fillId="0" borderId="183" xfId="0" applyFont="1" applyBorder="1" applyAlignment="1" applyProtection="1">
      <alignment horizontal="center" wrapText="1"/>
    </xf>
    <xf numFmtId="0" fontId="3" fillId="0" borderId="184" xfId="0" applyFont="1" applyBorder="1" applyAlignment="1" applyProtection="1">
      <alignment horizontal="center" wrapText="1"/>
    </xf>
    <xf numFmtId="0" fontId="0" fillId="0" borderId="5" xfId="0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8" fillId="3" borderId="5" xfId="0" applyFont="1" applyFill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/>
    </xf>
    <xf numFmtId="0" fontId="8" fillId="0" borderId="7" xfId="0" applyFont="1" applyFill="1" applyBorder="1" applyAlignment="1" applyProtection="1">
      <alignment horizontal="right"/>
    </xf>
    <xf numFmtId="0" fontId="8" fillId="0" borderId="8" xfId="0" applyFont="1" applyFill="1" applyBorder="1" applyAlignment="1" applyProtection="1">
      <alignment horizontal="right"/>
    </xf>
    <xf numFmtId="0" fontId="3" fillId="0" borderId="69" xfId="0" applyFont="1" applyBorder="1" applyAlignment="1" applyProtection="1">
      <alignment horizontal="center" wrapText="1"/>
    </xf>
    <xf numFmtId="0" fontId="22" fillId="0" borderId="56" xfId="0" applyFont="1" applyBorder="1" applyAlignment="1" applyProtection="1">
      <alignment horizontal="left"/>
    </xf>
    <xf numFmtId="0" fontId="22" fillId="0" borderId="57" xfId="0" applyFont="1" applyBorder="1" applyAlignment="1" applyProtection="1">
      <alignment horizontal="left"/>
    </xf>
    <xf numFmtId="0" fontId="23" fillId="0" borderId="70" xfId="0" applyFont="1" applyBorder="1" applyAlignment="1" applyProtection="1">
      <alignment horizontal="center"/>
    </xf>
    <xf numFmtId="0" fontId="23" fillId="0" borderId="71" xfId="0" applyFont="1" applyBorder="1" applyAlignment="1" applyProtection="1">
      <alignment horizontal="center"/>
    </xf>
    <xf numFmtId="0" fontId="24" fillId="0" borderId="74" xfId="0" applyFont="1" applyBorder="1" applyAlignment="1" applyProtection="1">
      <alignment horizontal="left" wrapText="1"/>
    </xf>
    <xf numFmtId="0" fontId="24" fillId="0" borderId="82" xfId="0" applyFont="1" applyBorder="1" applyAlignment="1" applyProtection="1">
      <alignment horizontal="left" wrapText="1"/>
    </xf>
    <xf numFmtId="0" fontId="18" fillId="2" borderId="17" xfId="0" applyFont="1" applyFill="1" applyBorder="1" applyAlignment="1" applyProtection="1">
      <alignment horizontal="center"/>
    </xf>
    <xf numFmtId="0" fontId="18" fillId="2" borderId="18" xfId="0" applyFont="1" applyFill="1" applyBorder="1" applyAlignment="1" applyProtection="1">
      <alignment horizontal="center"/>
    </xf>
    <xf numFmtId="0" fontId="18" fillId="2" borderId="19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0" fontId="18" fillId="2" borderId="17" xfId="0" applyFont="1" applyFill="1" applyBorder="1" applyAlignment="1" applyProtection="1">
      <alignment horizontal="center" wrapText="1"/>
    </xf>
    <xf numFmtId="0" fontId="18" fillId="2" borderId="18" xfId="0" applyFont="1" applyFill="1" applyBorder="1" applyAlignment="1" applyProtection="1">
      <alignment horizontal="center" wrapText="1"/>
    </xf>
    <xf numFmtId="0" fontId="18" fillId="2" borderId="19" xfId="0" applyFont="1" applyFill="1" applyBorder="1" applyAlignment="1" applyProtection="1">
      <alignment horizontal="center" wrapText="1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8" fillId="0" borderId="5" xfId="0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8" fillId="3" borderId="7" xfId="0" applyFont="1" applyFill="1" applyBorder="1" applyAlignment="1" applyProtection="1">
      <alignment horizontal="right"/>
    </xf>
    <xf numFmtId="0" fontId="8" fillId="3" borderId="8" xfId="0" applyFont="1" applyFill="1" applyBorder="1" applyAlignment="1" applyProtection="1">
      <alignment horizontal="right"/>
    </xf>
    <xf numFmtId="0" fontId="20" fillId="2" borderId="18" xfId="0" applyFont="1" applyFill="1" applyBorder="1" applyAlignment="1" applyProtection="1">
      <alignment horizontal="center"/>
    </xf>
    <xf numFmtId="0" fontId="20" fillId="2" borderId="19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7" xfId="0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52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horizontal="left"/>
    </xf>
    <xf numFmtId="0" fontId="0" fillId="3" borderId="9" xfId="0" applyFill="1" applyBorder="1" applyAlignment="1" applyProtection="1">
      <alignment horizontal="left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62" xfId="0" applyFont="1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left"/>
    </xf>
    <xf numFmtId="0" fontId="0" fillId="4" borderId="9" xfId="0" applyFill="1" applyBorder="1" applyAlignment="1" applyProtection="1">
      <alignment horizontal="left"/>
    </xf>
    <xf numFmtId="0" fontId="0" fillId="0" borderId="7" xfId="0" applyFill="1" applyBorder="1" applyAlignment="1" applyProtection="1">
      <alignment horizontal="left"/>
    </xf>
    <xf numFmtId="0" fontId="0" fillId="0" borderId="155" xfId="0" applyFill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8" fillId="0" borderId="157" xfId="0" applyFont="1" applyFill="1" applyBorder="1" applyAlignment="1" applyProtection="1">
      <alignment horizontal="left"/>
    </xf>
    <xf numFmtId="0" fontId="8" fillId="0" borderId="6" xfId="0" applyFont="1" applyFill="1" applyBorder="1" applyAlignment="1" applyProtection="1">
      <alignment horizontal="left"/>
    </xf>
    <xf numFmtId="0" fontId="8" fillId="3" borderId="157" xfId="0" applyFont="1" applyFill="1" applyBorder="1" applyAlignment="1" applyProtection="1">
      <alignment horizontal="left"/>
    </xf>
    <xf numFmtId="0" fontId="8" fillId="3" borderId="6" xfId="0" applyFont="1" applyFill="1" applyBorder="1" applyAlignment="1" applyProtection="1">
      <alignment horizontal="left"/>
    </xf>
    <xf numFmtId="0" fontId="0" fillId="0" borderId="9" xfId="0" applyFill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5" fillId="0" borderId="0" xfId="0" applyFont="1" applyFill="1" applyAlignment="1" applyProtection="1">
      <alignment horizontal="left" vertical="center"/>
    </xf>
    <xf numFmtId="0" fontId="7" fillId="0" borderId="0" xfId="1" applyFont="1" applyFill="1" applyAlignment="1" applyProtection="1">
      <alignment horizontal="center" vertical="center"/>
    </xf>
    <xf numFmtId="0" fontId="0" fillId="0" borderId="3" xfId="0" applyFill="1" applyBorder="1" applyProtection="1"/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8" borderId="152" xfId="0" applyFont="1" applyFill="1" applyBorder="1" applyAlignment="1" applyProtection="1">
      <alignment horizontal="center" vertical="center" wrapText="1"/>
    </xf>
    <xf numFmtId="0" fontId="1" fillId="8" borderId="17" xfId="0" applyFont="1" applyFill="1" applyBorder="1" applyAlignment="1" applyProtection="1">
      <alignment horizontal="center" vertical="center" wrapText="1"/>
    </xf>
    <xf numFmtId="164" fontId="8" fillId="0" borderId="2" xfId="1" applyNumberFormat="1" applyFont="1" applyFill="1" applyBorder="1" applyAlignment="1" applyProtection="1">
      <alignment horizontal="center"/>
    </xf>
    <xf numFmtId="164" fontId="8" fillId="12" borderId="5" xfId="1" applyNumberFormat="1" applyFont="1" applyFill="1" applyBorder="1" applyAlignment="1" applyProtection="1">
      <alignment horizontal="center"/>
    </xf>
    <xf numFmtId="164" fontId="8" fillId="0" borderId="5" xfId="1" applyNumberFormat="1" applyFont="1" applyFill="1" applyBorder="1" applyAlignment="1" applyProtection="1">
      <alignment horizontal="center"/>
    </xf>
    <xf numFmtId="164" fontId="8" fillId="0" borderId="7" xfId="1" applyNumberFormat="1" applyFont="1" applyFill="1" applyBorder="1" applyAlignment="1" applyProtection="1">
      <alignment horizontal="center"/>
    </xf>
    <xf numFmtId="164" fontId="8" fillId="12" borderId="7" xfId="1" applyNumberFormat="1" applyFont="1" applyFill="1" applyBorder="1" applyAlignment="1" applyProtection="1">
      <alignment horizontal="center"/>
    </xf>
    <xf numFmtId="164" fontId="8" fillId="0" borderId="0" xfId="0" applyNumberFormat="1" applyFont="1" applyFill="1" applyProtection="1"/>
    <xf numFmtId="0" fontId="18" fillId="8" borderId="17" xfId="0" applyFont="1" applyFill="1" applyBorder="1" applyAlignment="1" applyProtection="1">
      <alignment horizontal="center" vertical="center" wrapText="1"/>
    </xf>
    <xf numFmtId="0" fontId="18" fillId="8" borderId="18" xfId="0" applyFont="1" applyFill="1" applyBorder="1" applyAlignment="1" applyProtection="1">
      <alignment horizontal="center" vertical="center" wrapText="1"/>
    </xf>
    <xf numFmtId="0" fontId="18" fillId="8" borderId="19" xfId="0" applyFont="1" applyFill="1" applyBorder="1" applyAlignment="1" applyProtection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440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3743705557422"/>
        </left>
        <right style="thin">
          <color theme="1"/>
        </right>
        <top style="thin">
          <color theme="1"/>
        </top>
        <bottom style="thin">
          <color theme="0" tint="-0.14993743705557422"/>
        </bottom>
      </border>
    </dxf>
    <dxf>
      <fill>
        <patternFill>
          <bgColor theme="4" tint="0.59996337778862885"/>
        </patternFill>
      </fill>
      <border>
        <left style="thin">
          <color theme="0" tint="-0.14993743705557422"/>
        </left>
        <right style="thin">
          <color auto="1"/>
        </right>
        <top style="thin">
          <color theme="0" tint="-0.14993743705557422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2" tint="-9.9948118533890809E-2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1</xdr:row>
          <xdr:rowOff>0</xdr:rowOff>
        </xdr:from>
        <xdr:to>
          <xdr:col>13</xdr:col>
          <xdr:colOff>0</xdr:colOff>
          <xdr:row>2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1</xdr:row>
          <xdr:rowOff>0</xdr:rowOff>
        </xdr:from>
        <xdr:to>
          <xdr:col>13</xdr:col>
          <xdr:colOff>0</xdr:colOff>
          <xdr:row>2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01"/>
  <dimension ref="A2:M25"/>
  <sheetViews>
    <sheetView tabSelected="1" workbookViewId="0">
      <selection activeCell="C8" sqref="C8:D9"/>
    </sheetView>
  </sheetViews>
  <sheetFormatPr defaultColWidth="9.21875" defaultRowHeight="15" customHeight="1" x14ac:dyDescent="0.3"/>
  <cols>
    <col min="1" max="16384" width="9.21875" style="631"/>
  </cols>
  <sheetData>
    <row r="2" spans="1:11" ht="15" customHeight="1" x14ac:dyDescent="0.3">
      <c r="C2" s="807" t="s">
        <v>215</v>
      </c>
      <c r="D2" s="807"/>
      <c r="E2" s="807"/>
      <c r="F2" s="807"/>
      <c r="G2" s="807"/>
      <c r="H2" s="807"/>
      <c r="I2" s="807"/>
      <c r="J2" s="807"/>
    </row>
    <row r="3" spans="1:11" ht="15" customHeight="1" x14ac:dyDescent="0.3">
      <c r="C3" s="807"/>
      <c r="D3" s="807"/>
      <c r="E3" s="807"/>
      <c r="F3" s="807"/>
      <c r="G3" s="807"/>
      <c r="H3" s="807"/>
      <c r="I3" s="807"/>
      <c r="J3" s="807"/>
    </row>
    <row r="5" spans="1:11" ht="15" customHeight="1" x14ac:dyDescent="0.3">
      <c r="A5" s="28"/>
      <c r="C5" s="810" t="s">
        <v>216</v>
      </c>
      <c r="D5" s="810"/>
      <c r="F5" s="810" t="s">
        <v>162</v>
      </c>
      <c r="G5" s="810"/>
      <c r="I5" s="810" t="s">
        <v>544</v>
      </c>
      <c r="J5" s="810"/>
    </row>
    <row r="6" spans="1:11" ht="15" customHeight="1" x14ac:dyDescent="0.3">
      <c r="C6" s="810"/>
      <c r="D6" s="810"/>
      <c r="F6" s="810"/>
      <c r="G6" s="810"/>
      <c r="H6" s="28"/>
      <c r="I6" s="810"/>
      <c r="J6" s="810"/>
    </row>
    <row r="7" spans="1:11" ht="15" customHeight="1" thickBot="1" x14ac:dyDescent="0.35">
      <c r="C7" s="249"/>
      <c r="D7" s="249"/>
      <c r="F7" s="249"/>
      <c r="G7" s="249"/>
      <c r="H7" s="28"/>
    </row>
    <row r="8" spans="1:11" ht="15" customHeight="1" thickTop="1" thickBot="1" x14ac:dyDescent="0.35">
      <c r="C8" s="805" t="s">
        <v>592</v>
      </c>
      <c r="D8" s="806"/>
      <c r="F8" s="808" t="s">
        <v>217</v>
      </c>
      <c r="G8" s="809"/>
      <c r="H8" s="28"/>
      <c r="I8" s="811" t="s">
        <v>207</v>
      </c>
      <c r="J8" s="812"/>
    </row>
    <row r="9" spans="1:11" ht="15" customHeight="1" thickTop="1" thickBot="1" x14ac:dyDescent="0.35">
      <c r="C9" s="805"/>
      <c r="D9" s="806"/>
      <c r="F9" s="808"/>
      <c r="G9" s="809"/>
      <c r="H9" s="28"/>
      <c r="I9" s="811"/>
      <c r="J9" s="812"/>
    </row>
    <row r="10" spans="1:11" ht="15" customHeight="1" thickTop="1" thickBot="1" x14ac:dyDescent="0.35">
      <c r="C10" s="805" t="s">
        <v>804</v>
      </c>
      <c r="D10" s="806"/>
      <c r="F10" s="808" t="s">
        <v>805</v>
      </c>
      <c r="G10" s="809"/>
      <c r="H10" s="28"/>
      <c r="I10" s="813" t="s">
        <v>218</v>
      </c>
      <c r="J10" s="814"/>
    </row>
    <row r="11" spans="1:11" ht="15" customHeight="1" thickTop="1" thickBot="1" x14ac:dyDescent="0.35">
      <c r="C11" s="805"/>
      <c r="D11" s="806"/>
      <c r="F11" s="808"/>
      <c r="G11" s="809"/>
      <c r="H11" s="28"/>
      <c r="I11" s="813"/>
      <c r="J11" s="814"/>
    </row>
    <row r="12" spans="1:11" ht="15" customHeight="1" thickTop="1" thickBot="1" x14ac:dyDescent="0.35">
      <c r="C12" s="805" t="s">
        <v>607</v>
      </c>
      <c r="D12" s="806"/>
      <c r="F12" s="808" t="s">
        <v>519</v>
      </c>
      <c r="G12" s="809"/>
      <c r="H12" s="28"/>
    </row>
    <row r="13" spans="1:11" ht="15" customHeight="1" thickTop="1" thickBot="1" x14ac:dyDescent="0.35">
      <c r="C13" s="805"/>
      <c r="D13" s="806"/>
      <c r="F13" s="808"/>
      <c r="G13" s="809"/>
      <c r="K13" s="322"/>
    </row>
    <row r="14" spans="1:11" ht="15" customHeight="1" thickTop="1" x14ac:dyDescent="0.3">
      <c r="C14" s="801" t="s">
        <v>611</v>
      </c>
      <c r="D14" s="802"/>
      <c r="F14" s="249"/>
      <c r="G14" s="249"/>
    </row>
    <row r="15" spans="1:11" ht="15" customHeight="1" thickBot="1" x14ac:dyDescent="0.35">
      <c r="C15" s="803"/>
      <c r="D15" s="804"/>
      <c r="F15" s="249"/>
      <c r="G15" s="249"/>
    </row>
    <row r="16" spans="1:11" ht="15" customHeight="1" thickTop="1" thickBot="1" x14ac:dyDescent="0.35">
      <c r="C16" s="805" t="s">
        <v>716</v>
      </c>
      <c r="D16" s="806"/>
      <c r="K16" s="784"/>
    </row>
    <row r="17" spans="3:13" ht="15" customHeight="1" thickTop="1" thickBot="1" x14ac:dyDescent="0.35">
      <c r="C17" s="805"/>
      <c r="D17" s="806"/>
      <c r="M17" s="753"/>
    </row>
    <row r="18" spans="3:13" ht="15" customHeight="1" thickTop="1" x14ac:dyDescent="0.3">
      <c r="C18" s="249"/>
      <c r="D18" s="249"/>
    </row>
    <row r="19" spans="3:13" ht="15" customHeight="1" x14ac:dyDescent="0.3">
      <c r="C19" s="249"/>
      <c r="D19" s="249"/>
    </row>
    <row r="24" spans="3:13" ht="15" customHeight="1" x14ac:dyDescent="0.3">
      <c r="D24" s="29"/>
    </row>
    <row r="25" spans="3:13" ht="15" customHeight="1" x14ac:dyDescent="0.3">
      <c r="D25" s="29"/>
    </row>
  </sheetData>
  <mergeCells count="14">
    <mergeCell ref="C14:D15"/>
    <mergeCell ref="C16:D17"/>
    <mergeCell ref="C2:J3"/>
    <mergeCell ref="F10:G11"/>
    <mergeCell ref="C10:D11"/>
    <mergeCell ref="F12:G13"/>
    <mergeCell ref="C12:D13"/>
    <mergeCell ref="I5:J6"/>
    <mergeCell ref="I8:J9"/>
    <mergeCell ref="I10:J11"/>
    <mergeCell ref="C5:D6"/>
    <mergeCell ref="F5:G6"/>
    <mergeCell ref="C8:D9"/>
    <mergeCell ref="F8:G9"/>
  </mergeCells>
  <hyperlinks>
    <hyperlink ref="C8:D9" location="Fabric!D5" display="Fabric" xr:uid="{00000000-0004-0000-0000-000000000000}"/>
    <hyperlink ref="C10:D11" location="Lambda!D5" display="Lambda" xr:uid="{00000000-0004-0000-0000-000001000000}"/>
    <hyperlink ref="C16:D17" location="'Weed &amp; Tape'!D5" display="Weed &amp; Tape" xr:uid="{00000000-0004-0000-0000-000002000000}"/>
    <hyperlink ref="F10:G11" location="'Custom Snap-Salesmate Kit'!C9" display="Snap/ Salesmate Kits" xr:uid="{00000000-0004-0000-0000-000003000000}"/>
    <hyperlink ref="F12:G13" location="'Custom Table Throw'!D5" display="Table Throw" xr:uid="{00000000-0004-0000-0000-000004000000}"/>
    <hyperlink ref="F8:G9" location="'Custom SEG'!D5" display="SEG" xr:uid="{00000000-0004-0000-0000-000005000000}"/>
    <hyperlink ref="C12:D13" location="Latex!D5" display="Latex" xr:uid="{00000000-0004-0000-0000-00000A000000}"/>
    <hyperlink ref="C14:D15" location="'UV Direct'!D5" display="UV Direct" xr:uid="{00000000-0004-0000-0000-00000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09">
    <tabColor theme="9" tint="0.39997558519241921"/>
  </sheetPr>
  <dimension ref="A1:Q37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21.109375" style="491" bestFit="1" customWidth="1"/>
    <col min="3" max="3" width="20.6640625" style="491" bestFit="1" customWidth="1"/>
    <col min="4" max="4" width="11.88671875" style="491" bestFit="1" customWidth="1"/>
    <col min="5" max="5" width="20.21875" style="491" bestFit="1" customWidth="1"/>
    <col min="6" max="6" width="10.109375" style="491" customWidth="1"/>
    <col min="7" max="7" width="21.88671875" style="491" bestFit="1" customWidth="1"/>
    <col min="8" max="8" width="10.109375" style="491" customWidth="1"/>
    <col min="9" max="13" width="9.109375" style="491" customWidth="1"/>
    <col min="14" max="16384" width="9.109375" style="491"/>
  </cols>
  <sheetData>
    <row r="1" spans="1:17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5" customHeight="1" x14ac:dyDescent="0.3">
      <c r="A2" s="27"/>
      <c r="B2" s="903" t="s">
        <v>514</v>
      </c>
      <c r="C2" s="903"/>
      <c r="D2" s="903"/>
      <c r="E2" s="903"/>
      <c r="F2" s="283"/>
      <c r="G2" s="816" t="s">
        <v>1</v>
      </c>
      <c r="H2" s="816"/>
      <c r="I2" s="320"/>
      <c r="J2" s="283"/>
      <c r="N2" s="27"/>
      <c r="O2" s="27"/>
      <c r="P2" s="27"/>
      <c r="Q2" s="27"/>
    </row>
    <row r="3" spans="1:17" ht="15" customHeight="1" x14ac:dyDescent="0.3">
      <c r="A3" s="27"/>
      <c r="B3" s="903"/>
      <c r="C3" s="903"/>
      <c r="D3" s="903"/>
      <c r="E3" s="903"/>
      <c r="F3" s="283"/>
      <c r="G3" s="816"/>
      <c r="H3" s="816"/>
      <c r="I3" s="320"/>
      <c r="J3" s="283"/>
      <c r="N3" s="27"/>
      <c r="O3" s="27"/>
      <c r="P3" s="27"/>
      <c r="Q3" s="27"/>
    </row>
    <row r="4" spans="1:17" ht="15" customHeight="1" x14ac:dyDescent="0.3">
      <c r="A4" s="27"/>
      <c r="B4" s="284"/>
      <c r="C4" s="284"/>
      <c r="D4" s="284"/>
      <c r="E4" s="284"/>
      <c r="F4" s="284"/>
      <c r="G4" s="27"/>
      <c r="H4" s="27"/>
      <c r="I4" s="27"/>
      <c r="J4" s="27"/>
      <c r="K4" s="27"/>
      <c r="L4" s="27"/>
      <c r="M4" s="27"/>
      <c r="N4" s="26"/>
      <c r="O4" s="220"/>
      <c r="P4" s="26"/>
      <c r="Q4" s="26"/>
    </row>
    <row r="5" spans="1:17" ht="15" customHeight="1" x14ac:dyDescent="0.3">
      <c r="A5" s="27"/>
      <c r="B5" s="878" t="s">
        <v>220</v>
      </c>
      <c r="C5" s="32" t="s">
        <v>221</v>
      </c>
      <c r="D5" s="33"/>
      <c r="E5" s="34" t="s">
        <v>222</v>
      </c>
      <c r="F5" s="33"/>
      <c r="G5" s="35" t="s">
        <v>466</v>
      </c>
      <c r="H5" s="33"/>
      <c r="I5" s="27"/>
      <c r="J5" s="27"/>
      <c r="K5" s="27"/>
      <c r="L5" s="27"/>
      <c r="M5" s="27"/>
      <c r="N5" s="203"/>
      <c r="O5" s="220"/>
      <c r="P5" s="26"/>
      <c r="Q5" s="26"/>
    </row>
    <row r="6" spans="1:17" ht="15" customHeight="1" x14ac:dyDescent="0.3">
      <c r="A6" s="27"/>
      <c r="B6" s="878"/>
      <c r="C6" s="200" t="s">
        <v>223</v>
      </c>
      <c r="D6" s="201"/>
      <c r="E6" s="43" t="s">
        <v>224</v>
      </c>
      <c r="F6" s="202"/>
      <c r="G6" s="59" t="s">
        <v>467</v>
      </c>
      <c r="H6" s="201"/>
      <c r="I6" s="27"/>
      <c r="J6" s="27"/>
      <c r="K6" s="27"/>
      <c r="L6" s="27"/>
      <c r="M6" s="27"/>
      <c r="N6" s="27"/>
      <c r="O6" s="285"/>
      <c r="P6" s="219"/>
      <c r="Q6" s="26"/>
    </row>
    <row r="7" spans="1:17" ht="15" customHeight="1" x14ac:dyDescent="0.3">
      <c r="A7" s="27"/>
      <c r="B7" s="878"/>
      <c r="C7" s="200" t="s">
        <v>370</v>
      </c>
      <c r="D7" s="201"/>
      <c r="E7" s="59" t="s">
        <v>371</v>
      </c>
      <c r="F7" s="201"/>
      <c r="G7" s="59" t="s">
        <v>472</v>
      </c>
      <c r="H7" s="49"/>
      <c r="I7" s="203"/>
      <c r="J7" s="26"/>
      <c r="K7" s="27"/>
      <c r="L7" s="27"/>
      <c r="M7" s="27"/>
      <c r="N7" s="27"/>
      <c r="O7" s="26"/>
      <c r="P7" s="27"/>
      <c r="Q7" s="27"/>
    </row>
    <row r="8" spans="1:17" ht="15" customHeight="1" x14ac:dyDescent="0.3">
      <c r="A8" s="27"/>
      <c r="B8" s="569" t="s">
        <v>493</v>
      </c>
      <c r="C8" s="256" t="s">
        <v>393</v>
      </c>
      <c r="D8" s="584"/>
      <c r="E8" s="499" t="s">
        <v>340</v>
      </c>
      <c r="F8" s="515"/>
      <c r="G8" s="345" t="s">
        <v>341</v>
      </c>
      <c r="H8" s="367"/>
      <c r="I8" s="27"/>
      <c r="J8" s="27"/>
      <c r="K8" s="27"/>
      <c r="L8" s="27"/>
      <c r="M8" s="27"/>
      <c r="N8" s="27"/>
      <c r="O8" s="27"/>
      <c r="P8" s="27"/>
      <c r="Q8" s="27"/>
    </row>
    <row r="9" spans="1:17" ht="15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5" customHeight="1" x14ac:dyDescent="0.3">
      <c r="A10" s="27"/>
      <c r="B10" s="870" t="s">
        <v>372</v>
      </c>
      <c r="C10" s="870"/>
      <c r="D10" s="870"/>
      <c r="E10" s="870"/>
      <c r="F10" s="27"/>
      <c r="N10" s="27"/>
      <c r="O10" s="27"/>
      <c r="P10" s="27"/>
      <c r="Q10" s="27"/>
    </row>
    <row r="11" spans="1:17" ht="15" customHeight="1" x14ac:dyDescent="0.3">
      <c r="A11" s="27"/>
      <c r="B11" s="569" t="s">
        <v>193</v>
      </c>
      <c r="C11" s="570" t="s">
        <v>376</v>
      </c>
      <c r="D11" s="571" t="s">
        <v>377</v>
      </c>
      <c r="E11" s="571" t="s">
        <v>378</v>
      </c>
      <c r="N11" s="27"/>
      <c r="O11" s="27"/>
      <c r="P11" s="12"/>
      <c r="Q11" s="12"/>
    </row>
    <row r="12" spans="1:17" ht="15" customHeight="1" x14ac:dyDescent="0.3">
      <c r="A12" s="27"/>
      <c r="B12" s="287" t="s">
        <v>200</v>
      </c>
      <c r="C12" s="224" t="str">
        <f>Formulas!C312</f>
        <v>0" x 0"</v>
      </c>
      <c r="D12" s="224" t="str">
        <f>Formulas!D312</f>
        <v>0" x 0"</v>
      </c>
      <c r="E12" s="288" t="str">
        <f>Formulas!E312</f>
        <v>0" x 0"</v>
      </c>
      <c r="F12" s="27"/>
      <c r="N12" s="27"/>
      <c r="O12" s="27"/>
      <c r="P12" s="9"/>
    </row>
    <row r="13" spans="1:17" ht="15" customHeight="1" x14ac:dyDescent="0.3">
      <c r="A13" s="27"/>
      <c r="B13" s="279" t="s">
        <v>201</v>
      </c>
      <c r="C13" s="290" t="str">
        <f>Formulas!C313</f>
        <v>0" x 0"</v>
      </c>
      <c r="D13" s="291" t="str">
        <f>Formulas!D313</f>
        <v>0" x 0"</v>
      </c>
      <c r="E13" s="292" t="str">
        <f>Formulas!E313</f>
        <v>0" x 0"</v>
      </c>
      <c r="F13" s="27"/>
      <c r="N13" s="27"/>
      <c r="O13" s="27"/>
      <c r="P13" s="9"/>
    </row>
    <row r="14" spans="1:17" ht="15" customHeight="1" x14ac:dyDescent="0.3">
      <c r="A14" s="27"/>
      <c r="B14" s="228" t="s">
        <v>202</v>
      </c>
      <c r="C14" s="229" t="str">
        <f>Formulas!C314</f>
        <v>0" x 0"</v>
      </c>
      <c r="D14" s="54"/>
      <c r="E14" s="65"/>
      <c r="F14" s="27"/>
      <c r="N14" s="27"/>
      <c r="O14" s="27"/>
      <c r="P14" s="9"/>
    </row>
    <row r="15" spans="1:17" ht="15" customHeight="1" x14ac:dyDescent="0.3">
      <c r="A15" s="27"/>
      <c r="B15" s="294" t="s">
        <v>203</v>
      </c>
      <c r="C15" s="295" t="str">
        <f>Formulas!C315</f>
        <v>0" x 0"</v>
      </c>
      <c r="D15" s="54"/>
      <c r="E15" s="65"/>
      <c r="F15" s="27"/>
      <c r="N15" s="27"/>
      <c r="O15" s="27"/>
      <c r="P15" s="12"/>
    </row>
    <row r="16" spans="1:17" ht="15" customHeight="1" x14ac:dyDescent="0.3">
      <c r="A16" s="27"/>
      <c r="B16" s="570" t="s">
        <v>194</v>
      </c>
      <c r="C16" s="570" t="s">
        <v>376</v>
      </c>
      <c r="D16" s="54"/>
      <c r="E16" s="65"/>
      <c r="F16" s="27"/>
      <c r="N16" s="27"/>
      <c r="O16" s="27"/>
      <c r="P16" s="27"/>
    </row>
    <row r="17" spans="1:16" ht="15" customHeight="1" x14ac:dyDescent="0.3">
      <c r="A17" s="27"/>
      <c r="B17" s="287" t="s">
        <v>204</v>
      </c>
      <c r="C17" s="297" t="str">
        <f>Formulas!C317</f>
        <v>0" x 0"</v>
      </c>
      <c r="D17" s="54"/>
      <c r="E17" s="65"/>
      <c r="F17" s="27"/>
      <c r="N17" s="27"/>
      <c r="O17" s="27"/>
      <c r="P17" s="27"/>
    </row>
    <row r="18" spans="1:16" ht="15" customHeight="1" x14ac:dyDescent="0.3">
      <c r="A18" s="27"/>
      <c r="B18" s="279" t="s">
        <v>202</v>
      </c>
      <c r="C18" s="291" t="str">
        <f>Formulas!C318</f>
        <v>0" x 0"</v>
      </c>
      <c r="D18" s="54"/>
      <c r="E18" s="65"/>
      <c r="F18" s="27"/>
      <c r="N18" s="27"/>
      <c r="O18" s="27"/>
      <c r="P18" s="27"/>
    </row>
    <row r="19" spans="1:16" ht="15" customHeight="1" x14ac:dyDescent="0.3">
      <c r="A19" s="27"/>
      <c r="B19" s="233" t="s">
        <v>203</v>
      </c>
      <c r="C19" s="234" t="str">
        <f>Formulas!C319</f>
        <v>0" x 0"</v>
      </c>
      <c r="D19" s="58"/>
      <c r="E19" s="67"/>
      <c r="F19" s="27"/>
      <c r="N19" s="27"/>
      <c r="O19" s="27"/>
      <c r="P19" s="27"/>
    </row>
    <row r="20" spans="1:16" ht="15" customHeight="1" x14ac:dyDescent="0.3">
      <c r="A20" s="27"/>
      <c r="B20" s="27"/>
      <c r="C20" s="27"/>
      <c r="D20" s="27"/>
      <c r="E20" s="27"/>
      <c r="F20" s="27"/>
      <c r="N20" s="27"/>
      <c r="O20" s="27"/>
      <c r="P20" s="27"/>
    </row>
    <row r="21" spans="1:16" ht="15" customHeight="1" x14ac:dyDescent="0.3">
      <c r="A21" s="27"/>
      <c r="B21" s="870" t="s">
        <v>373</v>
      </c>
      <c r="C21" s="870"/>
      <c r="D21" s="870"/>
      <c r="E21" s="870"/>
      <c r="F21" s="870"/>
      <c r="G21" s="870"/>
      <c r="H21" s="870"/>
      <c r="N21" s="27"/>
      <c r="O21" s="27"/>
      <c r="P21" s="27"/>
    </row>
    <row r="22" spans="1:16" ht="15" customHeight="1" x14ac:dyDescent="0.3">
      <c r="A22" s="27"/>
      <c r="B22" s="878" t="s">
        <v>4</v>
      </c>
      <c r="C22" s="904" t="s">
        <v>193</v>
      </c>
      <c r="D22" s="904"/>
      <c r="E22" s="904"/>
      <c r="F22" s="904"/>
      <c r="G22" s="870" t="s">
        <v>194</v>
      </c>
      <c r="H22" s="870"/>
      <c r="N22" s="27"/>
      <c r="O22" s="27"/>
      <c r="P22" s="27"/>
    </row>
    <row r="23" spans="1:16" ht="15" customHeight="1" x14ac:dyDescent="0.3">
      <c r="A23" s="27"/>
      <c r="B23" s="878"/>
      <c r="C23" s="570"/>
      <c r="D23" s="570" t="s">
        <v>374</v>
      </c>
      <c r="E23" s="570" t="s">
        <v>375</v>
      </c>
      <c r="F23" s="570" t="s">
        <v>199</v>
      </c>
      <c r="G23" s="570" t="s">
        <v>198</v>
      </c>
      <c r="H23" s="570" t="s">
        <v>199</v>
      </c>
      <c r="N23" s="27"/>
      <c r="O23" s="27"/>
      <c r="P23" s="27"/>
    </row>
    <row r="24" spans="1:16" ht="15" customHeight="1" x14ac:dyDescent="0.3">
      <c r="A24" s="27"/>
      <c r="B24" s="286" t="s">
        <v>748</v>
      </c>
      <c r="C24" s="218"/>
      <c r="D24" s="218">
        <f>Formulas!D324</f>
        <v>0</v>
      </c>
      <c r="E24" s="218">
        <f>Formulas!E324</f>
        <v>0</v>
      </c>
      <c r="F24" s="218">
        <f>Formulas!F324</f>
        <v>0</v>
      </c>
      <c r="G24" s="218">
        <f>Formulas!G324</f>
        <v>0</v>
      </c>
      <c r="H24" s="42">
        <f>Formulas!H324</f>
        <v>0</v>
      </c>
      <c r="N24" s="27"/>
      <c r="O24" s="27"/>
      <c r="P24" s="27"/>
    </row>
    <row r="25" spans="1:16" ht="15" customHeight="1" x14ac:dyDescent="0.3">
      <c r="A25" s="27"/>
      <c r="B25" s="572" t="s">
        <v>749</v>
      </c>
      <c r="C25" s="289"/>
      <c r="D25" s="289">
        <f>Formulas!D325</f>
        <v>0</v>
      </c>
      <c r="E25" s="289">
        <f>Formulas!E325</f>
        <v>0</v>
      </c>
      <c r="F25" s="289">
        <f>Formulas!F325</f>
        <v>0</v>
      </c>
      <c r="G25" s="289">
        <f>Formulas!G325</f>
        <v>0</v>
      </c>
      <c r="H25" s="281">
        <f>Formulas!H325</f>
        <v>0</v>
      </c>
      <c r="I25" s="27"/>
      <c r="J25" s="27"/>
      <c r="K25" s="27"/>
      <c r="L25" s="27"/>
      <c r="M25" s="27"/>
      <c r="N25" s="27"/>
      <c r="O25" s="27"/>
      <c r="P25" s="27"/>
    </row>
    <row r="26" spans="1:16" ht="15" customHeight="1" x14ac:dyDescent="0.3">
      <c r="A26" s="27"/>
      <c r="B26" s="286" t="s">
        <v>750</v>
      </c>
      <c r="C26" s="218"/>
      <c r="D26" s="218">
        <f>Formulas!D326</f>
        <v>0</v>
      </c>
      <c r="E26" s="218">
        <f>Formulas!E326</f>
        <v>0</v>
      </c>
      <c r="F26" s="218">
        <f>Formulas!F326</f>
        <v>0</v>
      </c>
      <c r="G26" s="218">
        <f>Formulas!G326</f>
        <v>0</v>
      </c>
      <c r="H26" s="42">
        <f>Formulas!H326</f>
        <v>0</v>
      </c>
      <c r="I26" s="27"/>
      <c r="J26" s="27"/>
      <c r="K26" s="27"/>
      <c r="L26" s="27"/>
      <c r="M26" s="27"/>
      <c r="N26" s="27"/>
      <c r="O26" s="27"/>
      <c r="P26" s="12"/>
    </row>
    <row r="27" spans="1:16" ht="15" customHeight="1" x14ac:dyDescent="0.3">
      <c r="A27" s="27"/>
      <c r="B27" s="293" t="s">
        <v>751</v>
      </c>
      <c r="C27" s="289"/>
      <c r="D27" s="289">
        <f>Formulas!D327</f>
        <v>0</v>
      </c>
      <c r="E27" s="289">
        <f>Formulas!E327</f>
        <v>0</v>
      </c>
      <c r="F27" s="289">
        <f>Formulas!F327</f>
        <v>0</v>
      </c>
      <c r="G27" s="289">
        <f>Formulas!G327</f>
        <v>0</v>
      </c>
      <c r="H27" s="281">
        <f>Formulas!H327</f>
        <v>0</v>
      </c>
      <c r="I27" s="27"/>
      <c r="J27" s="27"/>
      <c r="K27" s="27"/>
      <c r="L27" s="27"/>
      <c r="M27" s="27"/>
      <c r="N27" s="27"/>
      <c r="O27" s="27"/>
      <c r="P27" s="12"/>
    </row>
    <row r="28" spans="1:16" ht="15" customHeight="1" x14ac:dyDescent="0.3">
      <c r="A28" s="27"/>
      <c r="B28" s="286" t="s">
        <v>752</v>
      </c>
      <c r="C28" s="218"/>
      <c r="D28" s="218">
        <f>Formulas!D328</f>
        <v>0</v>
      </c>
      <c r="E28" s="218">
        <f>Formulas!E328</f>
        <v>0</v>
      </c>
      <c r="F28" s="218">
        <f>Formulas!F328</f>
        <v>0</v>
      </c>
      <c r="G28" s="218">
        <f>Formulas!G328</f>
        <v>0</v>
      </c>
      <c r="H28" s="42">
        <f>Formulas!H328</f>
        <v>0</v>
      </c>
      <c r="N28" s="27"/>
      <c r="O28" s="27"/>
      <c r="P28" s="12"/>
    </row>
    <row r="29" spans="1:16" ht="15" customHeight="1" x14ac:dyDescent="0.3">
      <c r="B29" s="296" t="s">
        <v>753</v>
      </c>
      <c r="C29" s="289"/>
      <c r="D29" s="289">
        <f>Formulas!D329</f>
        <v>0</v>
      </c>
      <c r="E29" s="289">
        <f>Formulas!E329</f>
        <v>0</v>
      </c>
      <c r="F29" s="289">
        <f>Formulas!F329</f>
        <v>0</v>
      </c>
      <c r="G29" s="289">
        <f>Formulas!G329</f>
        <v>0</v>
      </c>
      <c r="H29" s="281">
        <f>Formulas!H329</f>
        <v>0</v>
      </c>
    </row>
    <row r="30" spans="1:16" ht="15" customHeight="1" x14ac:dyDescent="0.3">
      <c r="B30" s="286" t="s">
        <v>754</v>
      </c>
      <c r="C30" s="218"/>
      <c r="D30" s="218">
        <f>Formulas!D330</f>
        <v>0</v>
      </c>
      <c r="E30" s="218">
        <f>Formulas!E330</f>
        <v>0</v>
      </c>
      <c r="F30" s="218">
        <f>Formulas!F330</f>
        <v>0</v>
      </c>
      <c r="G30" s="218">
        <f>Formulas!G330</f>
        <v>0</v>
      </c>
      <c r="H30" s="42">
        <f>Formulas!H330</f>
        <v>0</v>
      </c>
    </row>
    <row r="31" spans="1:16" ht="15" customHeight="1" x14ac:dyDescent="0.3">
      <c r="B31" s="293" t="s">
        <v>146</v>
      </c>
      <c r="C31" s="289"/>
      <c r="D31" s="289">
        <f>Formulas!D331</f>
        <v>0</v>
      </c>
      <c r="E31" s="289">
        <f>Formulas!E331</f>
        <v>0</v>
      </c>
      <c r="F31" s="289">
        <f>Formulas!F331</f>
        <v>0</v>
      </c>
      <c r="G31" s="289">
        <f>Formulas!G331</f>
        <v>0</v>
      </c>
      <c r="H31" s="281">
        <f>Formulas!H331</f>
        <v>0</v>
      </c>
    </row>
    <row r="32" spans="1:16" ht="15" customHeight="1" x14ac:dyDescent="0.3">
      <c r="B32" s="298" t="s">
        <v>189</v>
      </c>
      <c r="C32" s="591"/>
      <c r="D32" s="501">
        <f>Formulas!D332</f>
        <v>0</v>
      </c>
      <c r="E32" s="501">
        <f>Formulas!E332</f>
        <v>0</v>
      </c>
      <c r="F32" s="501">
        <f>Formulas!F332</f>
        <v>0</v>
      </c>
      <c r="G32" s="501">
        <f>Formulas!G332</f>
        <v>0</v>
      </c>
      <c r="H32" s="66">
        <f>Formulas!H332</f>
        <v>0</v>
      </c>
    </row>
    <row r="33" spans="2:8" ht="15" customHeight="1" x14ac:dyDescent="0.3">
      <c r="B33" s="27"/>
      <c r="C33" s="27"/>
      <c r="D33" s="27"/>
      <c r="E33" s="27"/>
      <c r="F33" s="27"/>
      <c r="G33" s="27"/>
      <c r="H33" s="27"/>
    </row>
    <row r="34" spans="2:8" ht="15" customHeight="1" x14ac:dyDescent="0.3">
      <c r="B34" s="868" t="s">
        <v>451</v>
      </c>
      <c r="C34" s="869"/>
      <c r="D34" s="27"/>
      <c r="E34" s="27"/>
      <c r="F34" s="27"/>
      <c r="G34" s="27"/>
      <c r="H34" s="27"/>
    </row>
    <row r="35" spans="2:8" ht="15" customHeight="1" x14ac:dyDescent="0.3">
      <c r="B35" s="473" t="s">
        <v>452</v>
      </c>
      <c r="C35" s="300"/>
      <c r="D35" s="27"/>
      <c r="E35" s="27"/>
      <c r="F35" s="27"/>
      <c r="G35" s="68"/>
      <c r="H35" s="27"/>
    </row>
    <row r="36" spans="2:8" ht="15" customHeight="1" x14ac:dyDescent="0.3">
      <c r="B36" s="279" t="s">
        <v>453</v>
      </c>
      <c r="C36" s="475"/>
      <c r="D36" s="27"/>
      <c r="E36" s="27"/>
      <c r="F36" s="27"/>
      <c r="G36" s="27"/>
      <c r="H36" s="27"/>
    </row>
    <row r="37" spans="2:8" ht="15" customHeight="1" x14ac:dyDescent="0.3">
      <c r="B37" s="474" t="s">
        <v>454</v>
      </c>
      <c r="C37" s="477">
        <f>Formulas!D337</f>
        <v>0</v>
      </c>
      <c r="D37" s="27"/>
      <c r="E37" s="27"/>
      <c r="F37" s="27"/>
      <c r="G37" s="27"/>
      <c r="H37" s="27"/>
    </row>
  </sheetData>
  <mergeCells count="9">
    <mergeCell ref="B5:B7"/>
    <mergeCell ref="B22:B23"/>
    <mergeCell ref="B2:E3"/>
    <mergeCell ref="G2:H3"/>
    <mergeCell ref="B34:C34"/>
    <mergeCell ref="B10:E10"/>
    <mergeCell ref="B21:H21"/>
    <mergeCell ref="C22:F22"/>
    <mergeCell ref="G22:H22"/>
  </mergeCells>
  <conditionalFormatting sqref="D8">
    <cfRule type="expression" dxfId="63" priority="3">
      <formula>$D$8&gt;0</formula>
    </cfRule>
  </conditionalFormatting>
  <conditionalFormatting sqref="F8">
    <cfRule type="expression" dxfId="62" priority="2">
      <formula>$F$8&gt;0</formula>
    </cfRule>
  </conditionalFormatting>
  <conditionalFormatting sqref="H8">
    <cfRule type="expression" dxfId="61" priority="1">
      <formula>$H$8&gt;0</formula>
    </cfRule>
  </conditionalFormatting>
  <dataValidations count="3">
    <dataValidation type="decimal" operator="greaterThanOrEqual" allowBlank="1" showInputMessage="1" showErrorMessage="1" sqref="D8 H8 C35:C36" xr:uid="{00000000-0002-0000-0900-000000000000}">
      <formula1>0</formula1>
    </dataValidation>
    <dataValidation type="decimal" allowBlank="1" showInputMessage="1" showErrorMessage="1" sqref="F8" xr:uid="{00000000-0002-0000-0900-000001000000}">
      <formula1>0</formula1>
      <formula2>1</formula2>
    </dataValidation>
    <dataValidation type="decimal" operator="greaterThan" allowBlank="1" showInputMessage="1" showErrorMessage="1" sqref="C32 D5:D7 F5:F7 H5:H7" xr:uid="{00000000-0002-0000-0900-000002000000}">
      <formula1>0</formula1>
    </dataValidation>
  </dataValidations>
  <hyperlinks>
    <hyperlink ref="G2:H3" location="'Main Menu'!C8" display="Back to Main Menu" xr:uid="{00000000-0004-0000-09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theme="5" tint="0.39997558519241921"/>
  </sheetPr>
  <dimension ref="B2:AC119"/>
  <sheetViews>
    <sheetView zoomScaleNormal="100" workbookViewId="0">
      <selection activeCell="F6" sqref="F6"/>
    </sheetView>
  </sheetViews>
  <sheetFormatPr defaultColWidth="9.109375" defaultRowHeight="15" customHeight="1" x14ac:dyDescent="0.3"/>
  <cols>
    <col min="1" max="5" width="9.109375" style="491"/>
    <col min="6" max="6" width="10.77734375" style="491" customWidth="1"/>
    <col min="7" max="7" width="8.33203125" style="491" bestFit="1" customWidth="1"/>
    <col min="8" max="8" width="16.88671875" style="491" customWidth="1"/>
    <col min="9" max="13" width="9.109375" style="491"/>
    <col min="14" max="14" width="10.5546875" style="491" customWidth="1"/>
    <col min="15" max="16" width="16.88671875" style="491" customWidth="1"/>
    <col min="17" max="16384" width="9.109375" style="491"/>
  </cols>
  <sheetData>
    <row r="2" spans="2:24" ht="15" customHeight="1" x14ac:dyDescent="0.65">
      <c r="B2" s="972" t="s">
        <v>207</v>
      </c>
      <c r="C2" s="972"/>
      <c r="D2" s="321"/>
      <c r="E2" s="816" t="s">
        <v>1</v>
      </c>
      <c r="F2" s="816"/>
      <c r="G2" s="320"/>
    </row>
    <row r="3" spans="2:24" ht="15" customHeight="1" x14ac:dyDescent="0.65">
      <c r="B3" s="972"/>
      <c r="C3" s="972"/>
      <c r="D3" s="321"/>
      <c r="E3" s="816"/>
      <c r="F3" s="816"/>
      <c r="G3" s="320"/>
    </row>
    <row r="4" spans="2:24" ht="15" customHeight="1" x14ac:dyDescent="0.3">
      <c r="J4" s="915" t="s">
        <v>455</v>
      </c>
      <c r="K4" s="916"/>
      <c r="L4" s="916"/>
      <c r="M4" s="916"/>
      <c r="N4" s="917"/>
    </row>
    <row r="5" spans="2:24" ht="15" customHeight="1" x14ac:dyDescent="0.3">
      <c r="B5" s="915" t="s">
        <v>270</v>
      </c>
      <c r="C5" s="916"/>
      <c r="D5" s="916"/>
      <c r="E5" s="916"/>
      <c r="F5" s="917"/>
      <c r="J5" s="958" t="s">
        <v>456</v>
      </c>
      <c r="K5" s="959"/>
      <c r="L5" s="959"/>
      <c r="M5" s="959"/>
      <c r="N5" s="479"/>
    </row>
    <row r="6" spans="2:24" ht="15" customHeight="1" x14ac:dyDescent="0.3">
      <c r="B6" s="958" t="s">
        <v>272</v>
      </c>
      <c r="C6" s="959"/>
      <c r="D6" s="959"/>
      <c r="E6" s="959"/>
      <c r="F6" s="333"/>
      <c r="J6" s="905" t="s">
        <v>457</v>
      </c>
      <c r="K6" s="906"/>
      <c r="L6" s="906"/>
      <c r="M6" s="906"/>
      <c r="N6" s="483"/>
      <c r="R6" s="69"/>
    </row>
    <row r="7" spans="2:24" ht="15" customHeight="1" x14ac:dyDescent="0.3">
      <c r="B7" s="905" t="s">
        <v>274</v>
      </c>
      <c r="C7" s="906"/>
      <c r="D7" s="906"/>
      <c r="E7" s="906"/>
      <c r="F7" s="481"/>
      <c r="J7" s="973" t="s">
        <v>458</v>
      </c>
      <c r="K7" s="974"/>
      <c r="L7" s="974"/>
      <c r="M7" s="974"/>
      <c r="N7" s="478">
        <f>Formulas!J347</f>
        <v>0</v>
      </c>
      <c r="R7" s="70"/>
    </row>
    <row r="8" spans="2:24" ht="15" customHeight="1" x14ac:dyDescent="0.3">
      <c r="B8" s="942" t="s">
        <v>275</v>
      </c>
      <c r="C8" s="943"/>
      <c r="D8" s="943"/>
      <c r="E8" s="943"/>
      <c r="F8" s="334"/>
      <c r="J8" s="249"/>
      <c r="K8" s="249"/>
      <c r="L8" s="249"/>
      <c r="M8" s="249"/>
      <c r="N8" s="249"/>
      <c r="O8" s="322"/>
      <c r="R8" s="70"/>
    </row>
    <row r="9" spans="2:24" ht="15" customHeight="1" x14ac:dyDescent="0.3">
      <c r="B9" s="944" t="s">
        <v>276</v>
      </c>
      <c r="C9" s="945"/>
      <c r="D9" s="945"/>
      <c r="E9" s="945"/>
      <c r="F9" s="482" t="str">
        <f>Formulas!B349</f>
        <v>0 sq. in.</v>
      </c>
      <c r="J9" s="915" t="s">
        <v>271</v>
      </c>
      <c r="K9" s="916"/>
      <c r="L9" s="916"/>
      <c r="M9" s="916"/>
      <c r="N9" s="917"/>
      <c r="R9" s="69"/>
    </row>
    <row r="10" spans="2:24" ht="15" customHeight="1" x14ac:dyDescent="0.3">
      <c r="B10" s="966" t="s">
        <v>277</v>
      </c>
      <c r="C10" s="967"/>
      <c r="D10" s="967"/>
      <c r="E10" s="967"/>
      <c r="F10" s="71" t="str">
        <f>Formulas!B350</f>
        <v>0 sq. ft.</v>
      </c>
      <c r="J10" s="955" t="s">
        <v>273</v>
      </c>
      <c r="K10" s="970"/>
      <c r="L10" s="970"/>
      <c r="M10" s="970"/>
      <c r="N10" s="971"/>
      <c r="R10" s="70"/>
    </row>
    <row r="11" spans="2:24" ht="15" customHeight="1" x14ac:dyDescent="0.3">
      <c r="B11" s="968" t="s">
        <v>279</v>
      </c>
      <c r="C11" s="969"/>
      <c r="D11" s="969"/>
      <c r="E11" s="969"/>
      <c r="F11" s="471">
        <f>Formulas!B351</f>
        <v>0</v>
      </c>
      <c r="J11" s="907" t="s">
        <v>272</v>
      </c>
      <c r="K11" s="908"/>
      <c r="L11" s="908"/>
      <c r="M11" s="908"/>
      <c r="N11" s="337"/>
      <c r="R11" s="70"/>
    </row>
    <row r="12" spans="2:24" ht="15" customHeight="1" x14ac:dyDescent="0.3">
      <c r="J12" s="905" t="s">
        <v>274</v>
      </c>
      <c r="K12" s="906"/>
      <c r="L12" s="906"/>
      <c r="M12" s="906"/>
      <c r="N12" s="481"/>
    </row>
    <row r="13" spans="2:24" ht="15" customHeight="1" x14ac:dyDescent="0.3">
      <c r="B13" s="915" t="s">
        <v>476</v>
      </c>
      <c r="C13" s="916"/>
      <c r="D13" s="916"/>
      <c r="E13" s="916"/>
      <c r="F13" s="916"/>
      <c r="G13" s="917"/>
      <c r="J13" s="942" t="s">
        <v>275</v>
      </c>
      <c r="K13" s="943"/>
      <c r="L13" s="943"/>
      <c r="M13" s="943"/>
      <c r="N13" s="334"/>
      <c r="X13" s="95"/>
    </row>
    <row r="14" spans="2:24" ht="15" customHeight="1" x14ac:dyDescent="0.3">
      <c r="B14" s="958" t="s">
        <v>473</v>
      </c>
      <c r="C14" s="959"/>
      <c r="D14" s="959"/>
      <c r="E14" s="959"/>
      <c r="F14" s="959"/>
      <c r="G14" s="333"/>
      <c r="J14" s="905" t="s">
        <v>278</v>
      </c>
      <c r="K14" s="906"/>
      <c r="L14" s="906"/>
      <c r="M14" s="906"/>
      <c r="N14" s="484" t="str">
        <f>Formulas!J354</f>
        <v>0" x 0"</v>
      </c>
      <c r="X14" s="72"/>
    </row>
    <row r="15" spans="2:24" ht="15" customHeight="1" x14ac:dyDescent="0.3">
      <c r="B15" s="905" t="s">
        <v>474</v>
      </c>
      <c r="C15" s="906"/>
      <c r="D15" s="906"/>
      <c r="E15" s="906"/>
      <c r="F15" s="906"/>
      <c r="G15" s="481"/>
      <c r="J15" s="966" t="s">
        <v>276</v>
      </c>
      <c r="K15" s="967"/>
      <c r="L15" s="967"/>
      <c r="M15" s="967"/>
      <c r="N15" s="71" t="str">
        <f>Formulas!J355</f>
        <v>0 sq. in.</v>
      </c>
      <c r="X15" s="74"/>
    </row>
    <row r="16" spans="2:24" ht="15" customHeight="1" x14ac:dyDescent="0.3">
      <c r="B16" s="942" t="s">
        <v>275</v>
      </c>
      <c r="C16" s="943"/>
      <c r="D16" s="943"/>
      <c r="E16" s="943"/>
      <c r="F16" s="943"/>
      <c r="G16" s="334"/>
      <c r="J16" s="944" t="s">
        <v>280</v>
      </c>
      <c r="K16" s="945"/>
      <c r="L16" s="945"/>
      <c r="M16" s="945"/>
      <c r="N16" s="482" t="str">
        <f>Formulas!J356</f>
        <v>0 sq. ft.</v>
      </c>
      <c r="X16" s="72"/>
    </row>
    <row r="17" spans="2:14" ht="15" customHeight="1" x14ac:dyDescent="0.3">
      <c r="B17" s="944" t="s">
        <v>475</v>
      </c>
      <c r="C17" s="945"/>
      <c r="D17" s="945"/>
      <c r="E17" s="945"/>
      <c r="F17" s="945"/>
      <c r="G17" s="482" t="str">
        <f>Formulas!C357</f>
        <v>0 sq. mm</v>
      </c>
      <c r="H17" s="322"/>
      <c r="J17" s="946" t="s">
        <v>279</v>
      </c>
      <c r="K17" s="947"/>
      <c r="L17" s="947"/>
      <c r="M17" s="947"/>
      <c r="N17" s="73">
        <f>Formulas!J357</f>
        <v>0</v>
      </c>
    </row>
    <row r="18" spans="2:14" ht="15" customHeight="1" x14ac:dyDescent="0.3">
      <c r="B18" s="966" t="s">
        <v>478</v>
      </c>
      <c r="C18" s="967"/>
      <c r="D18" s="967"/>
      <c r="E18" s="967"/>
      <c r="F18" s="967"/>
      <c r="G18" s="71" t="str">
        <f>Formulas!C358</f>
        <v>0 sq. ft.</v>
      </c>
      <c r="H18" s="322"/>
    </row>
    <row r="19" spans="2:14" ht="15" customHeight="1" x14ac:dyDescent="0.3">
      <c r="B19" s="968" t="s">
        <v>279</v>
      </c>
      <c r="C19" s="969"/>
      <c r="D19" s="969"/>
      <c r="E19" s="969"/>
      <c r="F19" s="969"/>
      <c r="G19" s="471">
        <f>Formulas!C359</f>
        <v>0</v>
      </c>
      <c r="J19" s="915" t="s">
        <v>281</v>
      </c>
      <c r="K19" s="916"/>
      <c r="L19" s="916"/>
      <c r="M19" s="916"/>
      <c r="N19" s="917"/>
    </row>
    <row r="20" spans="2:14" ht="15" customHeight="1" x14ac:dyDescent="0.3">
      <c r="J20" s="955" t="s">
        <v>273</v>
      </c>
      <c r="K20" s="970"/>
      <c r="L20" s="970"/>
      <c r="M20" s="970"/>
      <c r="N20" s="971"/>
    </row>
    <row r="21" spans="2:14" ht="15" customHeight="1" x14ac:dyDescent="0.3">
      <c r="B21" s="915" t="s">
        <v>283</v>
      </c>
      <c r="C21" s="916"/>
      <c r="D21" s="916"/>
      <c r="E21" s="916"/>
      <c r="F21" s="917"/>
      <c r="J21" s="907" t="s">
        <v>272</v>
      </c>
      <c r="K21" s="908"/>
      <c r="L21" s="908"/>
      <c r="M21" s="908"/>
      <c r="N21" s="335"/>
    </row>
    <row r="22" spans="2:14" ht="15" customHeight="1" x14ac:dyDescent="0.3">
      <c r="B22" s="958" t="s">
        <v>285</v>
      </c>
      <c r="C22" s="959"/>
      <c r="D22" s="959"/>
      <c r="E22" s="959"/>
      <c r="F22" s="333"/>
      <c r="J22" s="905" t="s">
        <v>274</v>
      </c>
      <c r="K22" s="906"/>
      <c r="L22" s="906"/>
      <c r="M22" s="906"/>
      <c r="N22" s="485"/>
    </row>
    <row r="23" spans="2:14" ht="15" customHeight="1" x14ac:dyDescent="0.3">
      <c r="B23" s="905" t="s">
        <v>286</v>
      </c>
      <c r="C23" s="906"/>
      <c r="D23" s="906"/>
      <c r="E23" s="906"/>
      <c r="F23" s="481"/>
      <c r="J23" s="907" t="s">
        <v>282</v>
      </c>
      <c r="K23" s="908"/>
      <c r="L23" s="908"/>
      <c r="M23" s="908"/>
      <c r="N23" s="335"/>
    </row>
    <row r="24" spans="2:14" ht="15" customHeight="1" x14ac:dyDescent="0.3">
      <c r="B24" s="942" t="s">
        <v>287</v>
      </c>
      <c r="C24" s="943"/>
      <c r="D24" s="943"/>
      <c r="E24" s="943"/>
      <c r="F24" s="334"/>
      <c r="J24" s="905" t="s">
        <v>275</v>
      </c>
      <c r="K24" s="906"/>
      <c r="L24" s="906"/>
      <c r="M24" s="906"/>
      <c r="N24" s="486"/>
    </row>
    <row r="25" spans="2:14" ht="15" customHeight="1" x14ac:dyDescent="0.3">
      <c r="B25" s="944" t="s">
        <v>288</v>
      </c>
      <c r="C25" s="945"/>
      <c r="D25" s="945"/>
      <c r="E25" s="945"/>
      <c r="F25" s="482" t="str">
        <f>Formulas!B365</f>
        <v>0 sq. ft.</v>
      </c>
      <c r="J25" s="942" t="s">
        <v>284</v>
      </c>
      <c r="K25" s="943"/>
      <c r="L25" s="943"/>
      <c r="M25" s="943"/>
      <c r="N25" s="324" t="str">
        <f>Formulas!J365</f>
        <v>0" x 0"</v>
      </c>
    </row>
    <row r="26" spans="2:14" ht="15" customHeight="1" x14ac:dyDescent="0.3">
      <c r="B26" s="966" t="s">
        <v>289</v>
      </c>
      <c r="C26" s="967"/>
      <c r="D26" s="967"/>
      <c r="E26" s="967"/>
      <c r="F26" s="71" t="str">
        <f>Formulas!B366</f>
        <v>0 sq. in.</v>
      </c>
      <c r="J26" s="944" t="s">
        <v>276</v>
      </c>
      <c r="K26" s="945"/>
      <c r="L26" s="945"/>
      <c r="M26" s="945"/>
      <c r="N26" s="487" t="str">
        <f>Formulas!J366</f>
        <v>0 sq. in.</v>
      </c>
    </row>
    <row r="27" spans="2:14" ht="15" customHeight="1" x14ac:dyDescent="0.3">
      <c r="B27" s="968" t="s">
        <v>291</v>
      </c>
      <c r="C27" s="969"/>
      <c r="D27" s="969"/>
      <c r="E27" s="969"/>
      <c r="F27" s="471">
        <f>Formulas!B367</f>
        <v>0</v>
      </c>
      <c r="J27" s="966" t="s">
        <v>277</v>
      </c>
      <c r="K27" s="967"/>
      <c r="L27" s="967"/>
      <c r="M27" s="967"/>
      <c r="N27" s="324" t="str">
        <f>Formulas!J367</f>
        <v>0 sq. ft.</v>
      </c>
    </row>
    <row r="28" spans="2:14" ht="15" customHeight="1" x14ac:dyDescent="0.3">
      <c r="J28" s="968" t="s">
        <v>279</v>
      </c>
      <c r="K28" s="969"/>
      <c r="L28" s="969"/>
      <c r="M28" s="969"/>
      <c r="N28" s="488">
        <f>Formulas!J368</f>
        <v>0</v>
      </c>
    </row>
    <row r="29" spans="2:14" ht="15" customHeight="1" x14ac:dyDescent="0.3">
      <c r="B29" s="915" t="s">
        <v>477</v>
      </c>
      <c r="C29" s="916"/>
      <c r="D29" s="916"/>
      <c r="E29" s="916"/>
      <c r="F29" s="916"/>
      <c r="G29" s="917"/>
    </row>
    <row r="30" spans="2:14" ht="15" customHeight="1" x14ac:dyDescent="0.3">
      <c r="B30" s="958" t="s">
        <v>473</v>
      </c>
      <c r="C30" s="959"/>
      <c r="D30" s="959"/>
      <c r="E30" s="959"/>
      <c r="F30" s="959"/>
      <c r="G30" s="333"/>
      <c r="J30" s="915" t="s">
        <v>290</v>
      </c>
      <c r="K30" s="916"/>
      <c r="L30" s="916"/>
      <c r="M30" s="916"/>
      <c r="N30" s="917"/>
    </row>
    <row r="31" spans="2:14" ht="15" customHeight="1" x14ac:dyDescent="0.3">
      <c r="B31" s="905" t="s">
        <v>474</v>
      </c>
      <c r="C31" s="906"/>
      <c r="D31" s="906"/>
      <c r="E31" s="906"/>
      <c r="F31" s="906"/>
      <c r="G31" s="481"/>
      <c r="J31" s="955" t="s">
        <v>273</v>
      </c>
      <c r="K31" s="956"/>
      <c r="L31" s="956"/>
      <c r="M31" s="956"/>
      <c r="N31" s="957"/>
    </row>
    <row r="32" spans="2:14" ht="15" customHeight="1" x14ac:dyDescent="0.3">
      <c r="B32" s="942" t="s">
        <v>287</v>
      </c>
      <c r="C32" s="943"/>
      <c r="D32" s="943"/>
      <c r="E32" s="943"/>
      <c r="F32" s="943"/>
      <c r="G32" s="334"/>
      <c r="J32" s="958" t="s">
        <v>272</v>
      </c>
      <c r="K32" s="959"/>
      <c r="L32" s="959"/>
      <c r="M32" s="959"/>
      <c r="N32" s="335"/>
    </row>
    <row r="33" spans="2:23" ht="15" customHeight="1" x14ac:dyDescent="0.3">
      <c r="B33" s="944" t="s">
        <v>475</v>
      </c>
      <c r="C33" s="945"/>
      <c r="D33" s="945"/>
      <c r="E33" s="945"/>
      <c r="F33" s="945"/>
      <c r="G33" s="482" t="str">
        <f>Formulas!C373</f>
        <v>0 sq. mm</v>
      </c>
      <c r="H33" s="322"/>
      <c r="J33" s="905" t="s">
        <v>274</v>
      </c>
      <c r="K33" s="906"/>
      <c r="L33" s="906"/>
      <c r="M33" s="906"/>
      <c r="N33" s="485"/>
    </row>
    <row r="34" spans="2:23" ht="15" customHeight="1" x14ac:dyDescent="0.3">
      <c r="B34" s="966" t="s">
        <v>479</v>
      </c>
      <c r="C34" s="967"/>
      <c r="D34" s="967"/>
      <c r="E34" s="967"/>
      <c r="F34" s="967"/>
      <c r="G34" s="71" t="str">
        <f>Formulas!C374</f>
        <v>0 sq. in.</v>
      </c>
      <c r="H34" s="322"/>
      <c r="J34" s="907" t="s">
        <v>292</v>
      </c>
      <c r="K34" s="908"/>
      <c r="L34" s="908"/>
      <c r="M34" s="908"/>
      <c r="N34" s="335"/>
    </row>
    <row r="35" spans="2:23" ht="15" customHeight="1" x14ac:dyDescent="0.3">
      <c r="B35" s="968" t="s">
        <v>291</v>
      </c>
      <c r="C35" s="969"/>
      <c r="D35" s="969"/>
      <c r="E35" s="969"/>
      <c r="F35" s="969"/>
      <c r="G35" s="471">
        <f>Formulas!C375</f>
        <v>0</v>
      </c>
      <c r="J35" s="905" t="s">
        <v>275</v>
      </c>
      <c r="K35" s="906"/>
      <c r="L35" s="906"/>
      <c r="M35" s="906"/>
      <c r="N35" s="486"/>
    </row>
    <row r="36" spans="2:23" ht="15" customHeight="1" x14ac:dyDescent="0.3">
      <c r="J36" s="942" t="s">
        <v>293</v>
      </c>
      <c r="K36" s="943"/>
      <c r="L36" s="943"/>
      <c r="M36" s="943"/>
      <c r="N36" s="324" t="str">
        <f>Formulas!J376</f>
        <v>0" x 0"</v>
      </c>
      <c r="R36" s="69"/>
      <c r="S36" s="72"/>
      <c r="T36" s="72"/>
    </row>
    <row r="37" spans="2:23" ht="15" customHeight="1" x14ac:dyDescent="0.3">
      <c r="B37" s="915" t="s">
        <v>299</v>
      </c>
      <c r="C37" s="916"/>
      <c r="D37" s="916"/>
      <c r="E37" s="916"/>
      <c r="F37" s="916"/>
      <c r="G37" s="917"/>
      <c r="J37" s="944" t="s">
        <v>276</v>
      </c>
      <c r="K37" s="945"/>
      <c r="L37" s="945"/>
      <c r="M37" s="945"/>
      <c r="N37" s="487" t="str">
        <f>Formulas!J377</f>
        <v>0 sq. in.</v>
      </c>
    </row>
    <row r="38" spans="2:23" ht="15" customHeight="1" x14ac:dyDescent="0.3">
      <c r="B38" s="960" t="s">
        <v>728</v>
      </c>
      <c r="C38" s="961"/>
      <c r="D38" s="961"/>
      <c r="E38" s="961"/>
      <c r="F38" s="961"/>
      <c r="G38" s="962"/>
      <c r="J38" s="966" t="s">
        <v>277</v>
      </c>
      <c r="K38" s="967"/>
      <c r="L38" s="967"/>
      <c r="M38" s="967"/>
      <c r="N38" s="324" t="str">
        <f>Formulas!J378</f>
        <v>0 sq. ft.</v>
      </c>
    </row>
    <row r="39" spans="2:23" ht="15" customHeight="1" x14ac:dyDescent="0.3">
      <c r="B39" s="907" t="s">
        <v>302</v>
      </c>
      <c r="C39" s="908"/>
      <c r="D39" s="908"/>
      <c r="E39" s="908"/>
      <c r="F39" s="908"/>
      <c r="G39" s="335"/>
      <c r="J39" s="968" t="s">
        <v>279</v>
      </c>
      <c r="K39" s="969"/>
      <c r="L39" s="969"/>
      <c r="M39" s="969"/>
      <c r="N39" s="488">
        <f>Formulas!J379</f>
        <v>0</v>
      </c>
    </row>
    <row r="40" spans="2:23" ht="15" customHeight="1" x14ac:dyDescent="0.3">
      <c r="B40" s="905" t="s">
        <v>305</v>
      </c>
      <c r="C40" s="906"/>
      <c r="D40" s="906"/>
      <c r="E40" s="906"/>
      <c r="F40" s="906"/>
      <c r="G40" s="485"/>
    </row>
    <row r="41" spans="2:23" ht="15" customHeight="1" x14ac:dyDescent="0.3">
      <c r="B41" s="909" t="s">
        <v>306</v>
      </c>
      <c r="C41" s="910"/>
      <c r="D41" s="910"/>
      <c r="E41" s="910"/>
      <c r="F41" s="910"/>
      <c r="G41" s="327" t="str">
        <f>Formulas!C381</f>
        <v>0" x 0"</v>
      </c>
      <c r="J41" s="915" t="s">
        <v>294</v>
      </c>
      <c r="K41" s="916"/>
      <c r="L41" s="916"/>
      <c r="M41" s="916"/>
      <c r="N41" s="916"/>
      <c r="O41" s="916"/>
      <c r="P41" s="917"/>
      <c r="R41" s="915" t="s">
        <v>295</v>
      </c>
      <c r="S41" s="916"/>
      <c r="T41" s="916"/>
      <c r="U41" s="916"/>
      <c r="V41" s="916"/>
      <c r="W41" s="917"/>
    </row>
    <row r="42" spans="2:23" ht="15" customHeight="1" x14ac:dyDescent="0.3">
      <c r="J42" s="955" t="s">
        <v>273</v>
      </c>
      <c r="K42" s="956"/>
      <c r="L42" s="956"/>
      <c r="M42" s="956"/>
      <c r="N42" s="956"/>
      <c r="O42" s="956"/>
      <c r="P42" s="957"/>
      <c r="R42" s="325"/>
      <c r="S42" s="75"/>
      <c r="T42" s="75"/>
      <c r="U42" s="75"/>
      <c r="V42" s="76"/>
      <c r="W42" s="77"/>
    </row>
    <row r="43" spans="2:23" ht="15" customHeight="1" x14ac:dyDescent="0.3">
      <c r="B43" s="915" t="s">
        <v>307</v>
      </c>
      <c r="C43" s="916"/>
      <c r="D43" s="916"/>
      <c r="E43" s="916"/>
      <c r="F43" s="916"/>
      <c r="G43" s="917"/>
      <c r="J43" s="958" t="s">
        <v>272</v>
      </c>
      <c r="K43" s="959"/>
      <c r="L43" s="959"/>
      <c r="M43" s="959"/>
      <c r="N43" s="959"/>
      <c r="O43" s="959"/>
      <c r="P43" s="335"/>
      <c r="R43" s="326"/>
      <c r="S43" s="78"/>
      <c r="T43" s="79"/>
      <c r="U43" s="79"/>
      <c r="V43" s="80"/>
      <c r="W43" s="81"/>
    </row>
    <row r="44" spans="2:23" ht="15" customHeight="1" x14ac:dyDescent="0.3">
      <c r="B44" s="960" t="s">
        <v>728</v>
      </c>
      <c r="C44" s="961"/>
      <c r="D44" s="961"/>
      <c r="E44" s="961"/>
      <c r="F44" s="961"/>
      <c r="G44" s="962"/>
      <c r="J44" s="905" t="s">
        <v>274</v>
      </c>
      <c r="K44" s="906"/>
      <c r="L44" s="906"/>
      <c r="M44" s="906"/>
      <c r="N44" s="906"/>
      <c r="O44" s="906"/>
      <c r="P44" s="485"/>
      <c r="R44" s="326"/>
      <c r="S44" s="82"/>
      <c r="T44" s="83"/>
      <c r="U44" s="84" t="s">
        <v>296</v>
      </c>
      <c r="V44" s="81"/>
      <c r="W44" s="85"/>
    </row>
    <row r="45" spans="2:23" ht="15" customHeight="1" x14ac:dyDescent="0.3">
      <c r="B45" s="907" t="s">
        <v>308</v>
      </c>
      <c r="C45" s="908"/>
      <c r="D45" s="908"/>
      <c r="E45" s="908"/>
      <c r="F45" s="908"/>
      <c r="G45" s="335"/>
      <c r="J45" s="942" t="s">
        <v>297</v>
      </c>
      <c r="K45" s="943"/>
      <c r="L45" s="943"/>
      <c r="M45" s="943"/>
      <c r="N45" s="943"/>
      <c r="O45" s="943"/>
      <c r="P45" s="338"/>
      <c r="R45" s="326" t="s">
        <v>298</v>
      </c>
      <c r="S45" s="82"/>
      <c r="T45" s="84"/>
      <c r="U45" s="83"/>
      <c r="V45" s="81"/>
      <c r="W45" s="81"/>
    </row>
    <row r="46" spans="2:23" ht="15" customHeight="1" thickBot="1" x14ac:dyDescent="0.35">
      <c r="B46" s="905" t="s">
        <v>309</v>
      </c>
      <c r="C46" s="906"/>
      <c r="D46" s="906"/>
      <c r="E46" s="906"/>
      <c r="F46" s="906"/>
      <c r="G46" s="485"/>
      <c r="J46" s="905" t="s">
        <v>300</v>
      </c>
      <c r="K46" s="906"/>
      <c r="L46" s="906"/>
      <c r="M46" s="906"/>
      <c r="N46" s="906"/>
      <c r="O46" s="906"/>
      <c r="P46" s="485"/>
      <c r="R46" s="326"/>
      <c r="S46" s="86"/>
      <c r="T46" s="87" t="s">
        <v>301</v>
      </c>
      <c r="U46" s="88"/>
      <c r="V46" s="89"/>
      <c r="W46" s="90"/>
    </row>
    <row r="47" spans="2:23" ht="15" customHeight="1" thickTop="1" x14ac:dyDescent="0.3">
      <c r="B47" s="909" t="s">
        <v>310</v>
      </c>
      <c r="C47" s="910"/>
      <c r="D47" s="910"/>
      <c r="E47" s="910"/>
      <c r="F47" s="910"/>
      <c r="G47" s="327" t="str">
        <f>Formulas!C387</f>
        <v>0" x 0"</v>
      </c>
      <c r="J47" s="942" t="s">
        <v>275</v>
      </c>
      <c r="K47" s="943"/>
      <c r="L47" s="943"/>
      <c r="M47" s="943"/>
      <c r="N47" s="943"/>
      <c r="O47" s="943"/>
      <c r="P47" s="339"/>
      <c r="R47" s="328"/>
      <c r="S47" s="91"/>
      <c r="T47" s="91"/>
      <c r="U47" s="91"/>
      <c r="V47" s="92"/>
      <c r="W47" s="93"/>
    </row>
    <row r="48" spans="2:23" ht="15" customHeight="1" x14ac:dyDescent="0.3">
      <c r="J48" s="905" t="s">
        <v>303</v>
      </c>
      <c r="K48" s="906"/>
      <c r="L48" s="906"/>
      <c r="M48" s="906"/>
      <c r="N48" s="906"/>
      <c r="O48" s="906"/>
      <c r="P48" s="487" t="str">
        <f>Formulas!L388</f>
        <v>0" x 0"</v>
      </c>
      <c r="R48" s="963" t="s">
        <v>304</v>
      </c>
      <c r="S48" s="964"/>
      <c r="T48" s="964"/>
      <c r="U48" s="964"/>
      <c r="V48" s="964"/>
      <c r="W48" s="965"/>
    </row>
    <row r="49" spans="2:29" ht="15" customHeight="1" x14ac:dyDescent="0.3">
      <c r="B49" s="915" t="s">
        <v>311</v>
      </c>
      <c r="C49" s="916"/>
      <c r="D49" s="916"/>
      <c r="E49" s="916"/>
      <c r="F49" s="916"/>
      <c r="G49" s="916"/>
      <c r="H49" s="917"/>
      <c r="J49" s="966" t="s">
        <v>276</v>
      </c>
      <c r="K49" s="967"/>
      <c r="L49" s="967"/>
      <c r="M49" s="967"/>
      <c r="N49" s="967"/>
      <c r="O49" s="967"/>
      <c r="P49" s="324" t="str">
        <f>Formulas!L389</f>
        <v>0 sq. in.</v>
      </c>
    </row>
    <row r="50" spans="2:29" ht="15" customHeight="1" x14ac:dyDescent="0.3">
      <c r="B50" s="907" t="s">
        <v>314</v>
      </c>
      <c r="C50" s="908"/>
      <c r="D50" s="908"/>
      <c r="E50" s="908"/>
      <c r="F50" s="908"/>
      <c r="G50" s="908"/>
      <c r="H50" s="336"/>
      <c r="J50" s="944" t="s">
        <v>277</v>
      </c>
      <c r="K50" s="945"/>
      <c r="L50" s="945"/>
      <c r="M50" s="945"/>
      <c r="N50" s="945"/>
      <c r="O50" s="945"/>
      <c r="P50" s="487" t="str">
        <f>Formulas!L390</f>
        <v>0 sq. ft.</v>
      </c>
    </row>
    <row r="51" spans="2:29" ht="15" customHeight="1" x14ac:dyDescent="0.3">
      <c r="B51" s="905" t="s">
        <v>315</v>
      </c>
      <c r="C51" s="906"/>
      <c r="D51" s="906"/>
      <c r="E51" s="906"/>
      <c r="F51" s="906"/>
      <c r="G51" s="906"/>
      <c r="H51" s="489"/>
      <c r="J51" s="946" t="s">
        <v>279</v>
      </c>
      <c r="K51" s="947"/>
      <c r="L51" s="947"/>
      <c r="M51" s="947"/>
      <c r="N51" s="947"/>
      <c r="O51" s="947"/>
      <c r="P51" s="329">
        <f>Formulas!L391</f>
        <v>0</v>
      </c>
    </row>
    <row r="52" spans="2:29" ht="15" customHeight="1" x14ac:dyDescent="0.3">
      <c r="B52" s="907" t="s">
        <v>316</v>
      </c>
      <c r="C52" s="908"/>
      <c r="D52" s="908"/>
      <c r="E52" s="908"/>
      <c r="F52" s="908"/>
      <c r="G52" s="908"/>
      <c r="H52" s="336"/>
    </row>
    <row r="53" spans="2:29" ht="15" customHeight="1" x14ac:dyDescent="0.3">
      <c r="B53" s="905" t="s">
        <v>275</v>
      </c>
      <c r="C53" s="906"/>
      <c r="D53" s="906"/>
      <c r="E53" s="906"/>
      <c r="F53" s="906"/>
      <c r="G53" s="906"/>
      <c r="H53" s="489"/>
      <c r="J53" s="915" t="s">
        <v>319</v>
      </c>
      <c r="K53" s="916"/>
      <c r="L53" s="916"/>
      <c r="M53" s="916"/>
      <c r="N53" s="916"/>
      <c r="O53" s="916"/>
      <c r="P53" s="917"/>
      <c r="R53" s="915" t="s">
        <v>313</v>
      </c>
      <c r="S53" s="916"/>
      <c r="T53" s="916"/>
      <c r="U53" s="916"/>
      <c r="V53" s="916"/>
      <c r="W53" s="916"/>
      <c r="X53" s="916"/>
      <c r="Y53" s="916"/>
      <c r="Z53" s="916"/>
      <c r="AA53" s="916"/>
      <c r="AB53" s="916"/>
      <c r="AC53" s="917"/>
    </row>
    <row r="54" spans="2:29" ht="15" customHeight="1" thickBot="1" x14ac:dyDescent="0.35">
      <c r="B54" s="942" t="s">
        <v>425</v>
      </c>
      <c r="C54" s="943"/>
      <c r="D54" s="943"/>
      <c r="E54" s="943"/>
      <c r="F54" s="943"/>
      <c r="G54" s="943"/>
      <c r="H54" s="324" t="str">
        <f>Formulas!D394</f>
        <v>0" x 0"</v>
      </c>
      <c r="J54" s="907" t="s">
        <v>320</v>
      </c>
      <c r="K54" s="908"/>
      <c r="L54" s="908"/>
      <c r="M54" s="908"/>
      <c r="N54" s="908"/>
      <c r="O54" s="908"/>
      <c r="P54" s="336"/>
      <c r="R54" s="385"/>
      <c r="S54" s="386"/>
      <c r="T54" s="386"/>
      <c r="U54" s="399"/>
      <c r="V54" s="399"/>
      <c r="W54" s="938" t="s">
        <v>423</v>
      </c>
      <c r="X54" s="939"/>
      <c r="Y54" s="399"/>
      <c r="Z54" s="399"/>
      <c r="AA54" s="399"/>
      <c r="AB54" s="399"/>
      <c r="AC54" s="323"/>
    </row>
    <row r="55" spans="2:29" ht="15" customHeight="1" thickTop="1" thickBot="1" x14ac:dyDescent="0.35">
      <c r="B55" s="905" t="s">
        <v>318</v>
      </c>
      <c r="C55" s="906"/>
      <c r="D55" s="906"/>
      <c r="E55" s="906"/>
      <c r="F55" s="906"/>
      <c r="G55" s="906"/>
      <c r="H55" s="447">
        <f>Formulas!D395</f>
        <v>0</v>
      </c>
      <c r="J55" s="905" t="s">
        <v>315</v>
      </c>
      <c r="K55" s="906"/>
      <c r="L55" s="906"/>
      <c r="M55" s="906"/>
      <c r="N55" s="906"/>
      <c r="O55" s="906"/>
      <c r="P55" s="489"/>
      <c r="R55" s="387"/>
      <c r="S55" s="388"/>
      <c r="T55" s="389"/>
      <c r="U55" s="96"/>
      <c r="V55" s="97"/>
      <c r="W55" s="97"/>
      <c r="X55" s="98"/>
      <c r="Y55" s="97"/>
      <c r="Z55" s="99"/>
      <c r="AA55" s="100"/>
      <c r="AB55" s="101"/>
      <c r="AC55" s="406"/>
    </row>
    <row r="56" spans="2:29" ht="15" customHeight="1" thickTop="1" thickBot="1" x14ac:dyDescent="0.35">
      <c r="B56" s="331"/>
      <c r="C56" s="331"/>
      <c r="D56" s="331"/>
      <c r="E56" s="331"/>
      <c r="F56" s="331"/>
      <c r="G56" s="304"/>
      <c r="H56" s="304"/>
      <c r="J56" s="909" t="s">
        <v>426</v>
      </c>
      <c r="K56" s="910"/>
      <c r="L56" s="910"/>
      <c r="M56" s="910"/>
      <c r="N56" s="910"/>
      <c r="O56" s="910"/>
      <c r="P56" s="327" t="str">
        <f>Formulas!L396</f>
        <v>0" x 0"</v>
      </c>
      <c r="R56" s="387"/>
      <c r="S56" s="388"/>
      <c r="T56" s="389"/>
      <c r="U56" s="100"/>
      <c r="V56" s="101"/>
      <c r="W56" s="101"/>
      <c r="X56" s="102"/>
      <c r="Y56" s="101"/>
      <c r="Z56" s="103"/>
      <c r="AA56" s="100"/>
      <c r="AB56" s="101"/>
      <c r="AC56" s="406"/>
    </row>
    <row r="57" spans="2:29" ht="15" customHeight="1" thickTop="1" thickBot="1" x14ac:dyDescent="0.35">
      <c r="B57" s="915" t="s">
        <v>326</v>
      </c>
      <c r="C57" s="916"/>
      <c r="D57" s="916"/>
      <c r="E57" s="916"/>
      <c r="F57" s="916"/>
      <c r="G57" s="916"/>
      <c r="H57" s="917"/>
      <c r="R57" s="387"/>
      <c r="S57" s="388"/>
      <c r="T57" s="389"/>
      <c r="U57" s="104"/>
      <c r="V57" s="105"/>
      <c r="W57" s="105"/>
      <c r="X57" s="106"/>
      <c r="Y57" s="107"/>
      <c r="Z57" s="108"/>
      <c r="AA57" s="100"/>
      <c r="AB57" s="101"/>
      <c r="AC57" s="406"/>
    </row>
    <row r="58" spans="2:29" ht="15" customHeight="1" thickTop="1" thickBot="1" x14ac:dyDescent="0.35">
      <c r="B58" s="907" t="s">
        <v>314</v>
      </c>
      <c r="C58" s="908"/>
      <c r="D58" s="908"/>
      <c r="E58" s="908"/>
      <c r="F58" s="908"/>
      <c r="G58" s="908"/>
      <c r="H58" s="336"/>
      <c r="J58" s="915" t="s">
        <v>327</v>
      </c>
      <c r="K58" s="916"/>
      <c r="L58" s="916"/>
      <c r="M58" s="916"/>
      <c r="N58" s="916"/>
      <c r="O58" s="917"/>
      <c r="R58" s="390"/>
      <c r="S58" s="391"/>
      <c r="T58" s="392"/>
      <c r="U58" s="109"/>
      <c r="V58" s="949" t="s">
        <v>317</v>
      </c>
      <c r="W58" s="950"/>
      <c r="X58" s="110"/>
      <c r="Y58" s="111"/>
      <c r="Z58" s="112"/>
      <c r="AA58" s="131"/>
      <c r="AB58" s="149"/>
      <c r="AC58" s="406"/>
    </row>
    <row r="59" spans="2:29" ht="15" customHeight="1" thickTop="1" thickBot="1" x14ac:dyDescent="0.35">
      <c r="B59" s="905" t="s">
        <v>315</v>
      </c>
      <c r="C59" s="906"/>
      <c r="D59" s="906"/>
      <c r="E59" s="906"/>
      <c r="F59" s="906"/>
      <c r="G59" s="906"/>
      <c r="H59" s="489"/>
      <c r="J59" s="907" t="s">
        <v>320</v>
      </c>
      <c r="K59" s="908"/>
      <c r="L59" s="908"/>
      <c r="M59" s="908"/>
      <c r="N59" s="908"/>
      <c r="O59" s="336"/>
      <c r="R59" s="393"/>
      <c r="S59" s="96"/>
      <c r="T59" s="113"/>
      <c r="U59" s="114"/>
      <c r="V59" s="115"/>
      <c r="W59" s="116"/>
      <c r="X59" s="117"/>
      <c r="Y59" s="117"/>
      <c r="Z59" s="118"/>
      <c r="AA59" s="119"/>
      <c r="AB59" s="120"/>
      <c r="AC59" s="407"/>
    </row>
    <row r="60" spans="2:29" ht="15" customHeight="1" thickTop="1" thickBot="1" x14ac:dyDescent="0.35">
      <c r="B60" s="907" t="s">
        <v>316</v>
      </c>
      <c r="C60" s="908"/>
      <c r="D60" s="908"/>
      <c r="E60" s="908"/>
      <c r="F60" s="908"/>
      <c r="G60" s="908"/>
      <c r="H60" s="336"/>
      <c r="J60" s="905" t="s">
        <v>427</v>
      </c>
      <c r="K60" s="906"/>
      <c r="L60" s="906"/>
      <c r="M60" s="906"/>
      <c r="N60" s="906"/>
      <c r="O60" s="487" t="str">
        <f>Formulas!K400</f>
        <v>0" x 0"</v>
      </c>
      <c r="P60" s="72"/>
      <c r="R60" s="940" t="s">
        <v>325</v>
      </c>
      <c r="S60" s="951" t="s">
        <v>321</v>
      </c>
      <c r="T60" s="952"/>
      <c r="U60" s="121"/>
      <c r="V60" s="122"/>
      <c r="W60" s="953" t="s">
        <v>322</v>
      </c>
      <c r="X60" s="123"/>
      <c r="Y60" s="930" t="s">
        <v>323</v>
      </c>
      <c r="Z60" s="124"/>
      <c r="AA60" s="932" t="s">
        <v>324</v>
      </c>
      <c r="AB60" s="125"/>
      <c r="AC60" s="948" t="s">
        <v>325</v>
      </c>
    </row>
    <row r="61" spans="2:29" ht="15" customHeight="1" thickTop="1" thickBot="1" x14ac:dyDescent="0.35">
      <c r="B61" s="905" t="s">
        <v>275</v>
      </c>
      <c r="C61" s="906"/>
      <c r="D61" s="906"/>
      <c r="E61" s="906"/>
      <c r="F61" s="906"/>
      <c r="G61" s="906"/>
      <c r="H61" s="489"/>
      <c r="J61" s="331"/>
      <c r="K61" s="331"/>
      <c r="L61" s="331"/>
      <c r="M61" s="331"/>
      <c r="N61" s="331"/>
      <c r="O61" s="502"/>
      <c r="R61" s="941"/>
      <c r="S61" s="126"/>
      <c r="T61" s="127"/>
      <c r="U61" s="128"/>
      <c r="V61" s="129"/>
      <c r="W61" s="954"/>
      <c r="X61" s="123"/>
      <c r="Y61" s="931"/>
      <c r="Z61" s="124"/>
      <c r="AA61" s="933"/>
      <c r="AB61" s="130"/>
      <c r="AC61" s="948"/>
    </row>
    <row r="62" spans="2:29" ht="15" customHeight="1" thickTop="1" thickBot="1" x14ac:dyDescent="0.35">
      <c r="B62" s="942" t="s">
        <v>328</v>
      </c>
      <c r="C62" s="943"/>
      <c r="D62" s="943"/>
      <c r="E62" s="943"/>
      <c r="F62" s="943"/>
      <c r="G62" s="943"/>
      <c r="H62" s="324" t="str">
        <f>Formulas!D402</f>
        <v>0" x 0"</v>
      </c>
      <c r="J62" s="915" t="s">
        <v>330</v>
      </c>
      <c r="K62" s="916"/>
      <c r="L62" s="916"/>
      <c r="M62" s="916"/>
      <c r="N62" s="916"/>
      <c r="O62" s="917"/>
      <c r="R62" s="393"/>
      <c r="S62" s="131"/>
      <c r="T62" s="132"/>
      <c r="U62" s="133"/>
      <c r="V62" s="134"/>
      <c r="W62" s="135"/>
      <c r="X62" s="136"/>
      <c r="Y62" s="136"/>
      <c r="Z62" s="137"/>
      <c r="AA62" s="138"/>
      <c r="AB62" s="139"/>
      <c r="AC62" s="407"/>
    </row>
    <row r="63" spans="2:29" ht="15" customHeight="1" thickTop="1" thickBot="1" x14ac:dyDescent="0.35">
      <c r="B63" s="905" t="s">
        <v>318</v>
      </c>
      <c r="C63" s="906"/>
      <c r="D63" s="906"/>
      <c r="E63" s="906"/>
      <c r="F63" s="906"/>
      <c r="G63" s="906"/>
      <c r="H63" s="447">
        <f>Formulas!D403</f>
        <v>0</v>
      </c>
      <c r="J63" s="907" t="s">
        <v>320</v>
      </c>
      <c r="K63" s="908"/>
      <c r="L63" s="908"/>
      <c r="M63" s="908"/>
      <c r="N63" s="908"/>
      <c r="O63" s="336"/>
      <c r="R63" s="393"/>
      <c r="S63" s="97"/>
      <c r="T63" s="394"/>
      <c r="U63" s="140"/>
      <c r="V63" s="141"/>
      <c r="W63" s="141"/>
      <c r="X63" s="141"/>
      <c r="Y63" s="926" t="s">
        <v>321</v>
      </c>
      <c r="Z63" s="142"/>
      <c r="AA63" s="402"/>
      <c r="AB63" s="97"/>
      <c r="AC63" s="406"/>
    </row>
    <row r="64" spans="2:29" ht="15" customHeight="1" thickTop="1" thickBot="1" x14ac:dyDescent="0.35">
      <c r="B64" s="304"/>
      <c r="C64" s="304"/>
      <c r="D64" s="304"/>
      <c r="E64" s="304"/>
      <c r="F64" s="304"/>
      <c r="G64" s="304"/>
      <c r="H64" s="304"/>
      <c r="J64" s="905" t="s">
        <v>315</v>
      </c>
      <c r="K64" s="906"/>
      <c r="L64" s="906"/>
      <c r="M64" s="906"/>
      <c r="N64" s="906"/>
      <c r="O64" s="489"/>
      <c r="R64" s="393"/>
      <c r="S64" s="101"/>
      <c r="T64" s="192"/>
      <c r="U64" s="143"/>
      <c r="V64" s="928" t="s">
        <v>324</v>
      </c>
      <c r="W64" s="929"/>
      <c r="X64" s="95"/>
      <c r="Y64" s="927"/>
      <c r="Z64" s="144"/>
      <c r="AA64" s="403"/>
      <c r="AB64" s="101"/>
      <c r="AC64" s="406"/>
    </row>
    <row r="65" spans="2:29" ht="15" customHeight="1" thickTop="1" thickBot="1" x14ac:dyDescent="0.35">
      <c r="B65" s="915" t="s">
        <v>331</v>
      </c>
      <c r="C65" s="916"/>
      <c r="D65" s="916"/>
      <c r="E65" s="916"/>
      <c r="F65" s="916"/>
      <c r="G65" s="917"/>
      <c r="H65" s="95"/>
      <c r="J65" s="909" t="s">
        <v>508</v>
      </c>
      <c r="K65" s="910"/>
      <c r="L65" s="910"/>
      <c r="M65" s="910"/>
      <c r="N65" s="910"/>
      <c r="O65" s="327" t="str">
        <f>Formulas!K405</f>
        <v>0" x 0"</v>
      </c>
      <c r="R65" s="393"/>
      <c r="S65" s="101"/>
      <c r="T65" s="192"/>
      <c r="U65" s="145"/>
      <c r="V65" s="146"/>
      <c r="W65" s="146"/>
      <c r="X65" s="146"/>
      <c r="Y65" s="147"/>
      <c r="Z65" s="148"/>
      <c r="AA65" s="403"/>
      <c r="AB65" s="101"/>
      <c r="AC65" s="406"/>
    </row>
    <row r="66" spans="2:29" ht="15" customHeight="1" thickTop="1" thickBot="1" x14ac:dyDescent="0.35">
      <c r="B66" s="907" t="s">
        <v>314</v>
      </c>
      <c r="C66" s="908"/>
      <c r="D66" s="908"/>
      <c r="E66" s="908"/>
      <c r="F66" s="908"/>
      <c r="G66" s="336"/>
      <c r="J66" s="249"/>
      <c r="R66" s="393"/>
      <c r="S66" s="101"/>
      <c r="T66" s="192"/>
      <c r="U66" s="131"/>
      <c r="V66" s="149"/>
      <c r="W66" s="149"/>
      <c r="X66" s="149"/>
      <c r="Y66" s="150"/>
      <c r="Z66" s="151"/>
      <c r="AA66" s="404"/>
      <c r="AB66" s="101"/>
      <c r="AC66" s="406"/>
    </row>
    <row r="67" spans="2:29" ht="15" customHeight="1" thickTop="1" x14ac:dyDescent="0.3">
      <c r="B67" s="905" t="s">
        <v>315</v>
      </c>
      <c r="C67" s="906"/>
      <c r="D67" s="906"/>
      <c r="E67" s="906"/>
      <c r="F67" s="906"/>
      <c r="G67" s="489"/>
      <c r="J67" s="915" t="s">
        <v>339</v>
      </c>
      <c r="K67" s="916"/>
      <c r="L67" s="916"/>
      <c r="M67" s="916"/>
      <c r="N67" s="916"/>
      <c r="O67" s="917"/>
      <c r="P67" s="249"/>
      <c r="R67" s="396"/>
      <c r="S67" s="397"/>
      <c r="T67" s="397"/>
      <c r="U67" s="401"/>
      <c r="V67" s="400"/>
      <c r="W67" s="936" t="s">
        <v>329</v>
      </c>
      <c r="X67" s="937"/>
      <c r="Y67" s="397"/>
      <c r="Z67" s="398"/>
      <c r="AA67" s="405"/>
      <c r="AB67" s="397"/>
      <c r="AC67" s="395"/>
    </row>
    <row r="68" spans="2:29" ht="15" customHeight="1" x14ac:dyDescent="0.3">
      <c r="B68" s="907" t="s">
        <v>424</v>
      </c>
      <c r="C68" s="908"/>
      <c r="D68" s="908"/>
      <c r="E68" s="908"/>
      <c r="F68" s="908"/>
      <c r="G68" s="330" t="str">
        <f>Formulas!C408</f>
        <v>0" x 0"</v>
      </c>
      <c r="J68" s="907" t="s">
        <v>314</v>
      </c>
      <c r="K68" s="908"/>
      <c r="L68" s="908"/>
      <c r="M68" s="908"/>
      <c r="N68" s="908"/>
      <c r="O68" s="336"/>
      <c r="P68" s="249"/>
      <c r="R68" s="94"/>
      <c r="X68" s="94"/>
    </row>
    <row r="69" spans="2:29" ht="15" customHeight="1" x14ac:dyDescent="0.3">
      <c r="B69" s="271"/>
      <c r="C69" s="271"/>
      <c r="D69" s="271"/>
      <c r="E69" s="271"/>
      <c r="F69" s="271"/>
      <c r="G69" s="332"/>
      <c r="J69" s="905" t="s">
        <v>316</v>
      </c>
      <c r="K69" s="906"/>
      <c r="L69" s="906"/>
      <c r="M69" s="906"/>
      <c r="N69" s="906"/>
      <c r="O69" s="489"/>
      <c r="R69" s="915" t="s">
        <v>332</v>
      </c>
      <c r="S69" s="916"/>
      <c r="T69" s="916"/>
      <c r="U69" s="916"/>
      <c r="V69" s="916"/>
      <c r="W69" s="916"/>
      <c r="X69" s="916"/>
      <c r="Y69" s="916"/>
      <c r="Z69" s="916"/>
      <c r="AA69" s="916"/>
      <c r="AB69" s="916"/>
      <c r="AC69" s="917"/>
    </row>
    <row r="70" spans="2:29" ht="15" customHeight="1" thickBot="1" x14ac:dyDescent="0.35">
      <c r="B70" s="915" t="s">
        <v>333</v>
      </c>
      <c r="C70" s="916"/>
      <c r="D70" s="916"/>
      <c r="E70" s="916"/>
      <c r="F70" s="916"/>
      <c r="G70" s="916"/>
      <c r="H70" s="917"/>
      <c r="J70" s="909" t="s">
        <v>505</v>
      </c>
      <c r="K70" s="910"/>
      <c r="L70" s="910"/>
      <c r="M70" s="910"/>
      <c r="N70" s="910"/>
      <c r="O70" s="327" t="str">
        <f>Formulas!K410</f>
        <v>0" x 0"</v>
      </c>
      <c r="R70" s="385"/>
      <c r="S70" s="386"/>
      <c r="T70" s="386"/>
      <c r="U70" s="399"/>
      <c r="V70" s="399"/>
      <c r="W70" s="938" t="s">
        <v>423</v>
      </c>
      <c r="X70" s="939"/>
      <c r="Y70" s="399"/>
      <c r="Z70" s="399"/>
      <c r="AA70" s="399"/>
      <c r="AB70" s="399"/>
      <c r="AC70" s="323"/>
    </row>
    <row r="71" spans="2:29" ht="15" customHeight="1" thickTop="1" thickBot="1" x14ac:dyDescent="0.35">
      <c r="B71" s="907" t="s">
        <v>314</v>
      </c>
      <c r="C71" s="908"/>
      <c r="D71" s="908"/>
      <c r="E71" s="908"/>
      <c r="F71" s="908"/>
      <c r="G71" s="908"/>
      <c r="H71" s="336"/>
      <c r="J71" s="249"/>
      <c r="K71" s="249"/>
      <c r="L71" s="249"/>
      <c r="M71" s="249"/>
      <c r="N71" s="249"/>
      <c r="O71" s="249"/>
      <c r="R71" s="387"/>
      <c r="S71" s="388"/>
      <c r="T71" s="389"/>
      <c r="U71" s="152"/>
      <c r="V71" s="153"/>
      <c r="W71" s="154"/>
      <c r="X71" s="155"/>
      <c r="Y71" s="153"/>
      <c r="Z71" s="156"/>
      <c r="AA71" s="100"/>
      <c r="AB71" s="101"/>
      <c r="AC71" s="406"/>
    </row>
    <row r="72" spans="2:29" ht="15" customHeight="1" thickTop="1" thickBot="1" x14ac:dyDescent="0.35">
      <c r="B72" s="905" t="s">
        <v>315</v>
      </c>
      <c r="C72" s="906"/>
      <c r="D72" s="906"/>
      <c r="E72" s="906"/>
      <c r="F72" s="906"/>
      <c r="G72" s="906"/>
      <c r="H72" s="489"/>
      <c r="J72" s="915" t="s">
        <v>312</v>
      </c>
      <c r="K72" s="916"/>
      <c r="L72" s="916"/>
      <c r="M72" s="916"/>
      <c r="N72" s="916"/>
      <c r="O72" s="917"/>
      <c r="R72" s="387"/>
      <c r="S72" s="388"/>
      <c r="T72" s="389"/>
      <c r="U72" s="157"/>
      <c r="V72" s="158"/>
      <c r="W72" s="159"/>
      <c r="X72" s="160"/>
      <c r="Y72" s="101"/>
      <c r="Z72" s="161"/>
      <c r="AA72" s="100"/>
      <c r="AB72" s="101"/>
      <c r="AC72" s="406"/>
    </row>
    <row r="73" spans="2:29" ht="15" customHeight="1" thickTop="1" thickBot="1" x14ac:dyDescent="0.35">
      <c r="B73" s="907" t="s">
        <v>316</v>
      </c>
      <c r="C73" s="908"/>
      <c r="D73" s="908"/>
      <c r="E73" s="908"/>
      <c r="F73" s="908"/>
      <c r="G73" s="908"/>
      <c r="H73" s="336"/>
      <c r="J73" s="907" t="s">
        <v>314</v>
      </c>
      <c r="K73" s="908"/>
      <c r="L73" s="908"/>
      <c r="M73" s="908"/>
      <c r="N73" s="908"/>
      <c r="O73" s="336"/>
      <c r="R73" s="387"/>
      <c r="S73" s="388"/>
      <c r="T73" s="389"/>
      <c r="U73" s="162"/>
      <c r="V73" s="163"/>
      <c r="W73" s="164"/>
      <c r="X73" s="165"/>
      <c r="Y73" s="166"/>
      <c r="Z73" s="167"/>
      <c r="AA73" s="100"/>
      <c r="AB73" s="101"/>
      <c r="AC73" s="406"/>
    </row>
    <row r="74" spans="2:29" ht="15" customHeight="1" thickTop="1" thickBot="1" x14ac:dyDescent="0.35">
      <c r="B74" s="905" t="s">
        <v>429</v>
      </c>
      <c r="C74" s="906"/>
      <c r="D74" s="906"/>
      <c r="E74" s="906"/>
      <c r="F74" s="906"/>
      <c r="G74" s="906"/>
      <c r="H74" s="487" t="str">
        <f>Formulas!D414</f>
        <v>0" x 0"</v>
      </c>
      <c r="J74" s="905" t="s">
        <v>315</v>
      </c>
      <c r="K74" s="906"/>
      <c r="L74" s="906"/>
      <c r="M74" s="906"/>
      <c r="N74" s="906"/>
      <c r="O74" s="489"/>
      <c r="P74" s="249"/>
      <c r="R74" s="390"/>
      <c r="S74" s="391"/>
      <c r="T74" s="392"/>
      <c r="U74" s="168"/>
      <c r="V74" s="169"/>
      <c r="W74" s="170"/>
      <c r="X74" s="171"/>
      <c r="Y74" s="172"/>
      <c r="Z74" s="173"/>
      <c r="AA74" s="131"/>
      <c r="AB74" s="149"/>
      <c r="AC74" s="406"/>
    </row>
    <row r="75" spans="2:29" ht="15" customHeight="1" thickTop="1" thickBot="1" x14ac:dyDescent="0.35">
      <c r="B75" s="331"/>
      <c r="C75" s="331"/>
      <c r="D75" s="331"/>
      <c r="E75" s="331"/>
      <c r="F75" s="331"/>
      <c r="G75" s="331"/>
      <c r="H75" s="304"/>
      <c r="J75" s="907" t="s">
        <v>316</v>
      </c>
      <c r="K75" s="908"/>
      <c r="L75" s="908"/>
      <c r="M75" s="908"/>
      <c r="N75" s="908"/>
      <c r="O75" s="336"/>
      <c r="P75" s="249"/>
      <c r="R75" s="393"/>
      <c r="S75" s="126"/>
      <c r="T75" s="174"/>
      <c r="U75" s="175"/>
      <c r="V75" s="174"/>
      <c r="W75" s="176"/>
      <c r="X75" s="177"/>
      <c r="Y75" s="178"/>
      <c r="Z75" s="177"/>
      <c r="AA75" s="174"/>
      <c r="AB75" s="179"/>
      <c r="AC75" s="407"/>
    </row>
    <row r="76" spans="2:29" ht="15" customHeight="1" thickTop="1" thickBot="1" x14ac:dyDescent="0.35">
      <c r="B76" s="915" t="s">
        <v>336</v>
      </c>
      <c r="C76" s="916"/>
      <c r="D76" s="916"/>
      <c r="E76" s="916"/>
      <c r="F76" s="916"/>
      <c r="G76" s="917"/>
      <c r="J76" s="921" t="s">
        <v>428</v>
      </c>
      <c r="K76" s="922"/>
      <c r="L76" s="922"/>
      <c r="M76" s="922"/>
      <c r="N76" s="922"/>
      <c r="O76" s="490" t="str">
        <f>Formulas!K417</f>
        <v>0" x 0"</v>
      </c>
      <c r="R76" s="940" t="s">
        <v>325</v>
      </c>
      <c r="S76" s="180"/>
      <c r="T76" s="181"/>
      <c r="U76" s="934" t="s">
        <v>334</v>
      </c>
      <c r="V76" s="935"/>
      <c r="W76" s="182"/>
      <c r="X76" s="183"/>
      <c r="Y76" s="184"/>
      <c r="Z76" s="183"/>
      <c r="AA76" s="181"/>
      <c r="AB76" s="185"/>
      <c r="AC76" s="924" t="s">
        <v>325</v>
      </c>
    </row>
    <row r="77" spans="2:29" ht="15" customHeight="1" thickTop="1" thickBot="1" x14ac:dyDescent="0.35">
      <c r="B77" s="907" t="s">
        <v>314</v>
      </c>
      <c r="C77" s="908"/>
      <c r="D77" s="908"/>
      <c r="E77" s="908"/>
      <c r="F77" s="908"/>
      <c r="G77" s="336"/>
      <c r="R77" s="941"/>
      <c r="S77" s="126"/>
      <c r="T77" s="174"/>
      <c r="U77" s="175"/>
      <c r="V77" s="174"/>
      <c r="W77" s="176"/>
      <c r="X77" s="177"/>
      <c r="Y77" s="178"/>
      <c r="Z77" s="177"/>
      <c r="AA77" s="174"/>
      <c r="AB77" s="179"/>
      <c r="AC77" s="925"/>
    </row>
    <row r="78" spans="2:29" ht="15" customHeight="1" thickTop="1" thickBot="1" x14ac:dyDescent="0.35">
      <c r="B78" s="905" t="s">
        <v>315</v>
      </c>
      <c r="C78" s="906"/>
      <c r="D78" s="906"/>
      <c r="E78" s="906"/>
      <c r="F78" s="906"/>
      <c r="G78" s="489"/>
      <c r="Q78" s="72"/>
      <c r="R78" s="393"/>
      <c r="S78" s="104"/>
      <c r="T78" s="166"/>
      <c r="U78" s="186"/>
      <c r="V78" s="166"/>
      <c r="W78" s="187"/>
      <c r="X78" s="188"/>
      <c r="Y78" s="189"/>
      <c r="Z78" s="188"/>
      <c r="AA78" s="166"/>
      <c r="AB78" s="190"/>
      <c r="AC78" s="407"/>
    </row>
    <row r="79" spans="2:29" ht="15" customHeight="1" thickTop="1" thickBot="1" x14ac:dyDescent="0.35">
      <c r="B79" s="907" t="s">
        <v>424</v>
      </c>
      <c r="C79" s="908"/>
      <c r="D79" s="908"/>
      <c r="E79" s="908"/>
      <c r="F79" s="908"/>
      <c r="G79" s="330" t="str">
        <f>Formulas!C419</f>
        <v>0" x 0"</v>
      </c>
      <c r="Q79" s="72"/>
      <c r="R79" s="393"/>
      <c r="S79" s="97"/>
      <c r="T79" s="394"/>
      <c r="U79" s="100"/>
      <c r="V79" s="101"/>
      <c r="W79" s="191"/>
      <c r="X79" s="911" t="s">
        <v>335</v>
      </c>
      <c r="Y79" s="912"/>
      <c r="Z79" s="192"/>
      <c r="AA79" s="402"/>
      <c r="AB79" s="97"/>
      <c r="AC79" s="406"/>
    </row>
    <row r="80" spans="2:29" ht="15" customHeight="1" thickTop="1" thickBot="1" x14ac:dyDescent="0.35">
      <c r="B80" s="271"/>
      <c r="C80" s="271"/>
      <c r="D80" s="271"/>
      <c r="E80" s="271"/>
      <c r="F80" s="271"/>
      <c r="G80" s="332"/>
      <c r="Q80" s="72"/>
      <c r="R80" s="393"/>
      <c r="S80" s="101"/>
      <c r="T80" s="192"/>
      <c r="U80" s="918" t="s">
        <v>337</v>
      </c>
      <c r="V80" s="919"/>
      <c r="W80" s="920"/>
      <c r="X80" s="913"/>
      <c r="Y80" s="914"/>
      <c r="Z80" s="192"/>
      <c r="AA80" s="403"/>
      <c r="AB80" s="101"/>
      <c r="AC80" s="406"/>
    </row>
    <row r="81" spans="2:29" ht="15" customHeight="1" thickTop="1" thickBot="1" x14ac:dyDescent="0.35">
      <c r="B81" s="915" t="s">
        <v>338</v>
      </c>
      <c r="C81" s="916"/>
      <c r="D81" s="916"/>
      <c r="E81" s="916"/>
      <c r="F81" s="916"/>
      <c r="G81" s="917"/>
      <c r="Q81" s="72"/>
      <c r="R81" s="393"/>
      <c r="S81" s="101"/>
      <c r="T81" s="192"/>
      <c r="U81" s="100"/>
      <c r="V81" s="101"/>
      <c r="W81" s="191"/>
      <c r="X81" s="193"/>
      <c r="Y81" s="194"/>
      <c r="Z81" s="192"/>
      <c r="AA81" s="403"/>
      <c r="AB81" s="101"/>
      <c r="AC81" s="406"/>
    </row>
    <row r="82" spans="2:29" ht="15" customHeight="1" thickTop="1" thickBot="1" x14ac:dyDescent="0.35">
      <c r="B82" s="907" t="s">
        <v>314</v>
      </c>
      <c r="C82" s="908"/>
      <c r="D82" s="908"/>
      <c r="E82" s="908"/>
      <c r="F82" s="908"/>
      <c r="G82" s="336"/>
      <c r="Q82" s="72"/>
      <c r="R82" s="393"/>
      <c r="S82" s="101"/>
      <c r="T82" s="192"/>
      <c r="U82" s="131"/>
      <c r="V82" s="149"/>
      <c r="W82" s="195"/>
      <c r="X82" s="196"/>
      <c r="Y82" s="197"/>
      <c r="Z82" s="198"/>
      <c r="AA82" s="404"/>
      <c r="AB82" s="101"/>
      <c r="AC82" s="406"/>
    </row>
    <row r="83" spans="2:29" ht="15" customHeight="1" thickTop="1" x14ac:dyDescent="0.3">
      <c r="B83" s="905" t="s">
        <v>315</v>
      </c>
      <c r="C83" s="906"/>
      <c r="D83" s="906"/>
      <c r="E83" s="906"/>
      <c r="F83" s="906"/>
      <c r="G83" s="489"/>
      <c r="Q83" s="72"/>
      <c r="R83" s="396"/>
      <c r="S83" s="397"/>
      <c r="T83" s="397"/>
      <c r="U83" s="408"/>
      <c r="V83" s="408"/>
      <c r="W83" s="936" t="s">
        <v>329</v>
      </c>
      <c r="X83" s="937"/>
      <c r="Y83" s="408"/>
      <c r="Z83" s="408"/>
      <c r="AA83" s="405"/>
      <c r="AB83" s="397"/>
      <c r="AC83" s="395"/>
    </row>
    <row r="84" spans="2:29" ht="15" customHeight="1" x14ac:dyDescent="0.3">
      <c r="B84" s="907" t="s">
        <v>316</v>
      </c>
      <c r="C84" s="908"/>
      <c r="D84" s="908"/>
      <c r="E84" s="908"/>
      <c r="F84" s="908"/>
      <c r="G84" s="336"/>
      <c r="J84" s="249"/>
      <c r="K84" s="249"/>
      <c r="L84" s="249"/>
      <c r="M84" s="249"/>
      <c r="N84" s="249"/>
      <c r="O84" s="249"/>
      <c r="Q84" s="72"/>
    </row>
    <row r="85" spans="2:29" ht="15" customHeight="1" x14ac:dyDescent="0.3">
      <c r="B85" s="905" t="s">
        <v>430</v>
      </c>
      <c r="C85" s="906"/>
      <c r="D85" s="906"/>
      <c r="E85" s="906"/>
      <c r="F85" s="906"/>
      <c r="G85" s="487" t="str">
        <f>Formulas!C425</f>
        <v>0" x 0"</v>
      </c>
      <c r="Q85" s="72"/>
    </row>
    <row r="86" spans="2:29" ht="15" customHeight="1" x14ac:dyDescent="0.3">
      <c r="B86" s="331"/>
      <c r="C86" s="331"/>
      <c r="D86" s="331"/>
      <c r="E86" s="331"/>
      <c r="F86" s="331"/>
      <c r="G86" s="304"/>
      <c r="Q86" s="72"/>
    </row>
    <row r="87" spans="2:29" ht="15" customHeight="1" x14ac:dyDescent="0.35">
      <c r="B87" s="923" t="s">
        <v>422</v>
      </c>
      <c r="C87" s="923"/>
      <c r="Q87" s="72"/>
    </row>
    <row r="119" spans="19:28" ht="15" customHeight="1" x14ac:dyDescent="0.3"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</sheetData>
  <mergeCells count="159">
    <mergeCell ref="B8:E8"/>
    <mergeCell ref="J12:M12"/>
    <mergeCell ref="B9:E9"/>
    <mergeCell ref="J13:M13"/>
    <mergeCell ref="B10:E10"/>
    <mergeCell ref="J14:M14"/>
    <mergeCell ref="B15:F15"/>
    <mergeCell ref="B2:C3"/>
    <mergeCell ref="B5:F5"/>
    <mergeCell ref="J9:N9"/>
    <mergeCell ref="B6:E6"/>
    <mergeCell ref="J10:N10"/>
    <mergeCell ref="B7:E7"/>
    <mergeCell ref="J11:M11"/>
    <mergeCell ref="E2:F3"/>
    <mergeCell ref="J7:M7"/>
    <mergeCell ref="J6:M6"/>
    <mergeCell ref="J5:M5"/>
    <mergeCell ref="J4:N4"/>
    <mergeCell ref="B11:E11"/>
    <mergeCell ref="B16:F16"/>
    <mergeCell ref="J20:N20"/>
    <mergeCell ref="B17:F17"/>
    <mergeCell ref="J21:M21"/>
    <mergeCell ref="B25:E25"/>
    <mergeCell ref="J15:M15"/>
    <mergeCell ref="J16:M16"/>
    <mergeCell ref="B22:E22"/>
    <mergeCell ref="B13:G13"/>
    <mergeCell ref="J17:M17"/>
    <mergeCell ref="B14:F14"/>
    <mergeCell ref="B23:E23"/>
    <mergeCell ref="B24:E24"/>
    <mergeCell ref="B18:F18"/>
    <mergeCell ref="J22:M22"/>
    <mergeCell ref="B19:F19"/>
    <mergeCell ref="J23:M23"/>
    <mergeCell ref="J24:M24"/>
    <mergeCell ref="B21:F21"/>
    <mergeCell ref="J25:M25"/>
    <mergeCell ref="B29:G29"/>
    <mergeCell ref="J19:N19"/>
    <mergeCell ref="B26:E26"/>
    <mergeCell ref="J30:N30"/>
    <mergeCell ref="B27:E27"/>
    <mergeCell ref="J31:N31"/>
    <mergeCell ref="J32:M32"/>
    <mergeCell ref="B35:F35"/>
    <mergeCell ref="J26:M26"/>
    <mergeCell ref="J27:M27"/>
    <mergeCell ref="J28:M28"/>
    <mergeCell ref="B32:F32"/>
    <mergeCell ref="B30:F30"/>
    <mergeCell ref="B31:F31"/>
    <mergeCell ref="J36:M36"/>
    <mergeCell ref="B33:F33"/>
    <mergeCell ref="J37:M37"/>
    <mergeCell ref="B34:F34"/>
    <mergeCell ref="J38:M38"/>
    <mergeCell ref="B43:G43"/>
    <mergeCell ref="B38:G38"/>
    <mergeCell ref="J33:M33"/>
    <mergeCell ref="B39:F39"/>
    <mergeCell ref="J34:M34"/>
    <mergeCell ref="J35:M35"/>
    <mergeCell ref="B40:F40"/>
    <mergeCell ref="B37:G37"/>
    <mergeCell ref="J39:M39"/>
    <mergeCell ref="J47:O47"/>
    <mergeCell ref="B54:G54"/>
    <mergeCell ref="J48:O48"/>
    <mergeCell ref="B51:G51"/>
    <mergeCell ref="B55:G55"/>
    <mergeCell ref="R41:W41"/>
    <mergeCell ref="J42:P42"/>
    <mergeCell ref="B41:F41"/>
    <mergeCell ref="B53:G53"/>
    <mergeCell ref="B46:F46"/>
    <mergeCell ref="B47:F47"/>
    <mergeCell ref="B49:H49"/>
    <mergeCell ref="B50:G50"/>
    <mergeCell ref="J43:O43"/>
    <mergeCell ref="J44:O44"/>
    <mergeCell ref="J45:O45"/>
    <mergeCell ref="B52:G52"/>
    <mergeCell ref="J46:O46"/>
    <mergeCell ref="J41:P41"/>
    <mergeCell ref="B44:G44"/>
    <mergeCell ref="B45:F45"/>
    <mergeCell ref="W54:X54"/>
    <mergeCell ref="R48:W48"/>
    <mergeCell ref="J49:O49"/>
    <mergeCell ref="J50:O50"/>
    <mergeCell ref="J51:O51"/>
    <mergeCell ref="B58:G58"/>
    <mergeCell ref="R60:R61"/>
    <mergeCell ref="AC60:AC61"/>
    <mergeCell ref="W67:X67"/>
    <mergeCell ref="J62:O62"/>
    <mergeCell ref="J63:N63"/>
    <mergeCell ref="R69:AC69"/>
    <mergeCell ref="V58:W58"/>
    <mergeCell ref="J53:P53"/>
    <mergeCell ref="J54:O54"/>
    <mergeCell ref="S60:T60"/>
    <mergeCell ref="W60:W61"/>
    <mergeCell ref="B59:G59"/>
    <mergeCell ref="R53:AC53"/>
    <mergeCell ref="B60:G60"/>
    <mergeCell ref="J58:O58"/>
    <mergeCell ref="J59:N59"/>
    <mergeCell ref="J60:N60"/>
    <mergeCell ref="J55:O55"/>
    <mergeCell ref="J56:O56"/>
    <mergeCell ref="B57:H57"/>
    <mergeCell ref="B87:C87"/>
    <mergeCell ref="AC76:AC77"/>
    <mergeCell ref="Y63:Y64"/>
    <mergeCell ref="V64:W64"/>
    <mergeCell ref="B61:G61"/>
    <mergeCell ref="Y60:Y61"/>
    <mergeCell ref="AA60:AA61"/>
    <mergeCell ref="U76:V76"/>
    <mergeCell ref="B73:G73"/>
    <mergeCell ref="B74:G74"/>
    <mergeCell ref="B70:H70"/>
    <mergeCell ref="B66:F66"/>
    <mergeCell ref="B63:G63"/>
    <mergeCell ref="B68:F68"/>
    <mergeCell ref="W83:X83"/>
    <mergeCell ref="W70:X70"/>
    <mergeCell ref="R76:R77"/>
    <mergeCell ref="B85:F85"/>
    <mergeCell ref="B62:G62"/>
    <mergeCell ref="B81:G81"/>
    <mergeCell ref="B82:F82"/>
    <mergeCell ref="B83:F83"/>
    <mergeCell ref="B84:F84"/>
    <mergeCell ref="B77:F77"/>
    <mergeCell ref="B78:F78"/>
    <mergeCell ref="B79:F79"/>
    <mergeCell ref="B71:G71"/>
    <mergeCell ref="B72:G72"/>
    <mergeCell ref="J64:N64"/>
    <mergeCell ref="J65:N65"/>
    <mergeCell ref="X79:Y80"/>
    <mergeCell ref="B76:G76"/>
    <mergeCell ref="U80:W80"/>
    <mergeCell ref="J67:O67"/>
    <mergeCell ref="J68:N68"/>
    <mergeCell ref="J69:N69"/>
    <mergeCell ref="J70:N70"/>
    <mergeCell ref="J74:N74"/>
    <mergeCell ref="J76:N76"/>
    <mergeCell ref="J72:O72"/>
    <mergeCell ref="J73:N73"/>
    <mergeCell ref="J75:N75"/>
    <mergeCell ref="B65:G65"/>
    <mergeCell ref="B67:F67"/>
  </mergeCells>
  <dataValidations count="3">
    <dataValidation type="decimal" operator="greaterThan" allowBlank="1" showInputMessage="1" showErrorMessage="1" sqref="F6:F8 G14:G16 F22:F24 N21:N24 N11:N13 G30:G32 G39:G40 G45:G46 H50:H53 H58:H61 N32:N35 P43:P47 P54:P55 O59 O63:O64 G66:G67 H71:H73 G77:G78 G82:G84 O68:O69 O73:O75" xr:uid="{00000000-0002-0000-0D00-000000000000}">
      <formula1>0</formula1>
    </dataValidation>
    <dataValidation type="decimal" operator="greaterThanOrEqual" allowBlank="1" showInputMessage="1" showErrorMessage="1" sqref="N5" xr:uid="{00000000-0002-0000-0D00-000001000000}">
      <formula1>N6</formula1>
    </dataValidation>
    <dataValidation type="decimal" allowBlank="1" showInputMessage="1" showErrorMessage="1" sqref="N6" xr:uid="{00000000-0002-0000-0D00-000002000000}">
      <formula1>0</formula1>
      <formula2>N5</formula2>
    </dataValidation>
  </dataValidations>
  <hyperlinks>
    <hyperlink ref="B87:C87" location="Training!E2" display="Back to Top" xr:uid="{00000000-0004-0000-0D00-000000000000}"/>
    <hyperlink ref="E2:F3" location="'Main Menu'!C8" display="Back to Main Menu" xr:uid="{00000000-0004-0000-0D00-000001000000}"/>
  </hyperlinks>
  <pageMargins left="0.7" right="0.7" top="0.75" bottom="0.75" header="0.3" footer="0.3"/>
  <pageSetup orientation="portrait" r:id="rId1"/>
  <ignoredErrors>
    <ignoredError sqref="G17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theme="5" tint="0.39997558519241921"/>
  </sheetPr>
  <dimension ref="B2:V359"/>
  <sheetViews>
    <sheetView topLeftCell="G227" zoomScaleNormal="100" workbookViewId="0">
      <selection activeCell="F58" sqref="F58"/>
    </sheetView>
  </sheetViews>
  <sheetFormatPr defaultColWidth="9.109375" defaultRowHeight="15" customHeight="1" x14ac:dyDescent="0.3"/>
  <cols>
    <col min="1" max="1" width="9.109375" style="491"/>
    <col min="2" max="2" width="23.109375" style="491" bestFit="1" customWidth="1"/>
    <col min="3" max="3" width="17.6640625" style="491" bestFit="1" customWidth="1"/>
    <col min="4" max="4" width="21.109375" style="491" bestFit="1" customWidth="1"/>
    <col min="5" max="5" width="18.33203125" style="491" bestFit="1" customWidth="1"/>
    <col min="6" max="6" width="19.77734375" style="491" bestFit="1" customWidth="1"/>
    <col min="7" max="7" width="19.88671875" style="491" bestFit="1" customWidth="1"/>
    <col min="8" max="8" width="21" style="491" bestFit="1" customWidth="1"/>
    <col min="9" max="9" width="25.109375" style="491" bestFit="1" customWidth="1"/>
    <col min="10" max="10" width="22" style="491" bestFit="1" customWidth="1"/>
    <col min="11" max="11" width="25" style="491" bestFit="1" customWidth="1"/>
    <col min="12" max="12" width="12.33203125" style="491" bestFit="1" customWidth="1"/>
    <col min="13" max="13" width="16.33203125" style="491" customWidth="1"/>
    <col min="14" max="14" width="19.77734375" style="491" bestFit="1" customWidth="1"/>
    <col min="15" max="15" width="15.88671875" style="491" bestFit="1" customWidth="1"/>
    <col min="16" max="16" width="12.33203125" style="491" bestFit="1" customWidth="1"/>
    <col min="17" max="17" width="9.21875" style="491" bestFit="1" customWidth="1"/>
    <col min="18" max="18" width="9.109375" style="491" customWidth="1"/>
    <col min="19" max="19" width="9.21875" style="491" bestFit="1" customWidth="1"/>
    <col min="20" max="22" width="9.109375" style="491" customWidth="1"/>
    <col min="23" max="23" width="9.109375" style="491"/>
    <col min="24" max="27" width="9.109375" style="491" customWidth="1"/>
    <col min="28" max="16384" width="9.109375" style="491"/>
  </cols>
  <sheetData>
    <row r="2" spans="2:11" ht="15" customHeight="1" x14ac:dyDescent="0.65">
      <c r="B2" s="988" t="s">
        <v>0</v>
      </c>
      <c r="C2" s="988"/>
      <c r="D2" s="988"/>
      <c r="E2" s="438"/>
      <c r="F2" s="816" t="s">
        <v>1</v>
      </c>
      <c r="G2" s="816"/>
      <c r="H2" s="320"/>
    </row>
    <row r="3" spans="2:11" ht="15" customHeight="1" x14ac:dyDescent="0.65">
      <c r="B3" s="988"/>
      <c r="C3" s="988"/>
      <c r="D3" s="988"/>
      <c r="E3" s="438"/>
      <c r="F3" s="816"/>
      <c r="G3" s="816"/>
      <c r="H3" s="320"/>
    </row>
    <row r="5" spans="2:11" ht="15" customHeight="1" x14ac:dyDescent="0.35">
      <c r="B5" s="633" t="s">
        <v>432</v>
      </c>
      <c r="C5" s="633"/>
    </row>
    <row r="7" spans="2:11" ht="15" customHeight="1" x14ac:dyDescent="0.3">
      <c r="B7" s="976" t="s">
        <v>2</v>
      </c>
      <c r="C7" s="976"/>
      <c r="D7" s="976"/>
      <c r="E7" s="976"/>
      <c r="F7" s="976"/>
      <c r="G7" s="976"/>
      <c r="H7" s="976"/>
      <c r="I7" s="976"/>
    </row>
    <row r="8" spans="2:11" ht="15" customHeight="1" x14ac:dyDescent="0.3">
      <c r="B8" s="612" t="s">
        <v>4</v>
      </c>
      <c r="C8" s="612" t="s">
        <v>583</v>
      </c>
      <c r="D8" s="614" t="s">
        <v>585</v>
      </c>
      <c r="E8" s="613" t="s">
        <v>4</v>
      </c>
      <c r="F8" s="612" t="s">
        <v>583</v>
      </c>
      <c r="G8" s="614" t="s">
        <v>585</v>
      </c>
      <c r="H8" s="613" t="s">
        <v>4</v>
      </c>
      <c r="I8" s="612" t="s">
        <v>5</v>
      </c>
      <c r="J8" s="95"/>
      <c r="K8" s="95"/>
    </row>
    <row r="9" spans="2:11" ht="15" customHeight="1" x14ac:dyDescent="0.3">
      <c r="B9" s="305" t="s">
        <v>546</v>
      </c>
      <c r="C9" s="593">
        <v>8</v>
      </c>
      <c r="D9" s="519">
        <v>9</v>
      </c>
      <c r="E9" s="19" t="s">
        <v>567</v>
      </c>
      <c r="F9" s="527">
        <v>8</v>
      </c>
      <c r="G9" s="594" t="s">
        <v>25</v>
      </c>
      <c r="H9" s="332" t="s">
        <v>30</v>
      </c>
      <c r="I9" s="516">
        <f>Fabric!$K$6</f>
        <v>0</v>
      </c>
      <c r="J9" s="95"/>
      <c r="K9" s="95"/>
    </row>
    <row r="10" spans="2:11" ht="15" customHeight="1" x14ac:dyDescent="0.3">
      <c r="B10" s="3" t="s">
        <v>9</v>
      </c>
      <c r="C10" s="528">
        <v>1</v>
      </c>
      <c r="D10" s="520" t="s">
        <v>25</v>
      </c>
      <c r="E10" s="5" t="s">
        <v>568</v>
      </c>
      <c r="F10" s="528">
        <v>8</v>
      </c>
      <c r="G10" s="520" t="s">
        <v>25</v>
      </c>
      <c r="H10" s="5" t="s">
        <v>13</v>
      </c>
      <c r="I10" s="525">
        <v>12</v>
      </c>
      <c r="J10" s="95"/>
      <c r="K10" s="95"/>
    </row>
    <row r="11" spans="2:11" ht="15" customHeight="1" x14ac:dyDescent="0.3">
      <c r="B11" s="7" t="s">
        <v>594</v>
      </c>
      <c r="C11" s="529">
        <v>8.5</v>
      </c>
      <c r="D11" s="521">
        <v>9.5</v>
      </c>
      <c r="E11" s="9" t="s">
        <v>569</v>
      </c>
      <c r="F11" s="529">
        <v>8</v>
      </c>
      <c r="G11" s="521" t="s">
        <v>25</v>
      </c>
      <c r="H11" s="9" t="s">
        <v>17</v>
      </c>
      <c r="I11" s="526">
        <v>13</v>
      </c>
      <c r="J11" s="95"/>
      <c r="K11" s="95"/>
    </row>
    <row r="12" spans="2:11" ht="15" customHeight="1" x14ac:dyDescent="0.3">
      <c r="B12" s="3" t="s">
        <v>547</v>
      </c>
      <c r="C12" s="528">
        <v>8</v>
      </c>
      <c r="D12" s="520">
        <v>9</v>
      </c>
      <c r="E12" s="5" t="s">
        <v>570</v>
      </c>
      <c r="F12" s="528">
        <v>9</v>
      </c>
      <c r="G12" s="520">
        <v>9</v>
      </c>
      <c r="H12" s="5" t="s">
        <v>21</v>
      </c>
      <c r="I12" s="525">
        <v>16</v>
      </c>
      <c r="J12" s="95"/>
      <c r="K12" s="95"/>
    </row>
    <row r="13" spans="2:11" ht="15" customHeight="1" x14ac:dyDescent="0.3">
      <c r="B13" s="7" t="s">
        <v>548</v>
      </c>
      <c r="C13" s="529">
        <v>9.5</v>
      </c>
      <c r="D13" s="521">
        <v>10.5</v>
      </c>
      <c r="E13" s="9" t="s">
        <v>549</v>
      </c>
      <c r="F13" s="529">
        <v>9</v>
      </c>
      <c r="G13" s="521">
        <v>10</v>
      </c>
      <c r="H13" s="9" t="s">
        <v>26</v>
      </c>
      <c r="I13" s="526">
        <v>17</v>
      </c>
      <c r="J13" s="95"/>
      <c r="K13" s="95"/>
    </row>
    <row r="14" spans="2:11" ht="15" customHeight="1" x14ac:dyDescent="0.3">
      <c r="B14" s="3" t="s">
        <v>550</v>
      </c>
      <c r="C14" s="528">
        <v>8</v>
      </c>
      <c r="D14" s="520" t="s">
        <v>25</v>
      </c>
      <c r="E14" s="5" t="s">
        <v>561</v>
      </c>
      <c r="F14" s="528">
        <v>9</v>
      </c>
      <c r="G14" s="520">
        <v>10</v>
      </c>
      <c r="H14" s="5" t="s">
        <v>509</v>
      </c>
      <c r="I14" s="525">
        <v>20</v>
      </c>
      <c r="J14" s="95"/>
      <c r="K14" s="95"/>
    </row>
    <row r="15" spans="2:11" ht="15" customHeight="1" x14ac:dyDescent="0.3">
      <c r="B15" s="7" t="s">
        <v>551</v>
      </c>
      <c r="C15" s="530" t="s">
        <v>25</v>
      </c>
      <c r="D15" s="522">
        <v>9.5</v>
      </c>
      <c r="E15" s="9" t="s">
        <v>571</v>
      </c>
      <c r="F15" s="529">
        <v>10</v>
      </c>
      <c r="G15" s="521" t="s">
        <v>25</v>
      </c>
      <c r="H15" s="992" t="s">
        <v>34</v>
      </c>
      <c r="I15" s="993"/>
      <c r="J15" s="95"/>
      <c r="K15" s="95"/>
    </row>
    <row r="16" spans="2:11" ht="15" customHeight="1" x14ac:dyDescent="0.3">
      <c r="B16" s="3" t="s">
        <v>552</v>
      </c>
      <c r="C16" s="531" t="s">
        <v>25</v>
      </c>
      <c r="D16" s="523">
        <v>10</v>
      </c>
      <c r="E16" s="5" t="s">
        <v>572</v>
      </c>
      <c r="F16" s="528">
        <v>16.5</v>
      </c>
      <c r="G16" s="520">
        <v>16.5</v>
      </c>
      <c r="H16" s="994" t="s">
        <v>584</v>
      </c>
      <c r="I16" s="995"/>
      <c r="J16" s="95"/>
      <c r="K16" s="95"/>
    </row>
    <row r="17" spans="2:11" ht="15" customHeight="1" x14ac:dyDescent="0.3">
      <c r="B17" s="7" t="s">
        <v>555</v>
      </c>
      <c r="C17" s="529">
        <v>9</v>
      </c>
      <c r="D17" s="521">
        <v>9</v>
      </c>
      <c r="E17" s="9" t="s">
        <v>574</v>
      </c>
      <c r="F17" s="530" t="s">
        <v>25</v>
      </c>
      <c r="G17" s="522">
        <v>9</v>
      </c>
      <c r="H17" s="9"/>
      <c r="I17" s="342"/>
      <c r="J17" s="95"/>
      <c r="K17" s="95"/>
    </row>
    <row r="18" spans="2:11" ht="15" customHeight="1" x14ac:dyDescent="0.3">
      <c r="B18" s="3" t="s">
        <v>556</v>
      </c>
      <c r="C18" s="528">
        <v>8</v>
      </c>
      <c r="D18" s="520">
        <v>9</v>
      </c>
      <c r="E18" s="5" t="s">
        <v>575</v>
      </c>
      <c r="F18" s="528">
        <v>8.5</v>
      </c>
      <c r="G18" s="520">
        <v>9.5</v>
      </c>
      <c r="H18" s="5"/>
      <c r="I18" s="20"/>
      <c r="J18" s="95"/>
      <c r="K18" s="95"/>
    </row>
    <row r="19" spans="2:11" ht="15" customHeight="1" x14ac:dyDescent="0.3">
      <c r="B19" s="7" t="s">
        <v>558</v>
      </c>
      <c r="C19" s="529">
        <v>8.5</v>
      </c>
      <c r="D19" s="521" t="s">
        <v>25</v>
      </c>
      <c r="E19" s="9" t="s">
        <v>576</v>
      </c>
      <c r="F19" s="529">
        <v>8</v>
      </c>
      <c r="G19" s="521" t="s">
        <v>25</v>
      </c>
      <c r="H19" s="9"/>
      <c r="I19" s="342"/>
      <c r="J19" s="95"/>
      <c r="K19" s="95"/>
    </row>
    <row r="20" spans="2:11" ht="15" customHeight="1" x14ac:dyDescent="0.3">
      <c r="B20" s="3" t="s">
        <v>559</v>
      </c>
      <c r="C20" s="528">
        <v>10</v>
      </c>
      <c r="D20" s="520">
        <v>10</v>
      </c>
      <c r="E20" s="5" t="s">
        <v>577</v>
      </c>
      <c r="F20" s="531">
        <v>15</v>
      </c>
      <c r="G20" s="523">
        <v>15</v>
      </c>
      <c r="H20" s="5"/>
      <c r="I20" s="20"/>
      <c r="J20" s="95"/>
      <c r="K20" s="95"/>
    </row>
    <row r="21" spans="2:11" ht="15" customHeight="1" x14ac:dyDescent="0.3">
      <c r="B21" s="7" t="s">
        <v>560</v>
      </c>
      <c r="C21" s="529">
        <v>8</v>
      </c>
      <c r="D21" s="521">
        <v>9</v>
      </c>
      <c r="E21" s="9" t="s">
        <v>578</v>
      </c>
      <c r="F21" s="529">
        <v>15</v>
      </c>
      <c r="G21" s="521">
        <v>15</v>
      </c>
      <c r="H21" s="9"/>
      <c r="I21" s="342"/>
      <c r="J21" s="95"/>
      <c r="K21" s="95"/>
    </row>
    <row r="22" spans="2:11" ht="15" customHeight="1" x14ac:dyDescent="0.3">
      <c r="B22" s="3" t="s">
        <v>562</v>
      </c>
      <c r="C22" s="528">
        <v>8</v>
      </c>
      <c r="D22" s="520">
        <v>9</v>
      </c>
      <c r="E22" s="5" t="s">
        <v>579</v>
      </c>
      <c r="F22" s="528">
        <v>8</v>
      </c>
      <c r="G22" s="520">
        <v>9</v>
      </c>
      <c r="H22" s="5"/>
      <c r="I22" s="20"/>
      <c r="J22" s="95"/>
    </row>
    <row r="23" spans="2:11" ht="15" customHeight="1" x14ac:dyDescent="0.3">
      <c r="B23" s="7" t="s">
        <v>563</v>
      </c>
      <c r="C23" s="529">
        <v>8</v>
      </c>
      <c r="D23" s="521" t="s">
        <v>25</v>
      </c>
      <c r="E23" s="9" t="s">
        <v>580</v>
      </c>
      <c r="F23" s="529">
        <v>8</v>
      </c>
      <c r="G23" s="521">
        <v>9</v>
      </c>
      <c r="H23" s="9"/>
      <c r="I23" s="342"/>
      <c r="J23" s="95"/>
    </row>
    <row r="24" spans="2:11" ht="15" customHeight="1" x14ac:dyDescent="0.3">
      <c r="B24" s="3" t="s">
        <v>564</v>
      </c>
      <c r="C24" s="528">
        <v>8</v>
      </c>
      <c r="D24" s="520">
        <v>9</v>
      </c>
      <c r="E24" s="5" t="s">
        <v>581</v>
      </c>
      <c r="F24" s="528">
        <v>8</v>
      </c>
      <c r="G24" s="520">
        <v>9</v>
      </c>
      <c r="H24" s="5"/>
      <c r="I24" s="20"/>
      <c r="J24" s="95"/>
    </row>
    <row r="25" spans="2:11" ht="15" customHeight="1" x14ac:dyDescent="0.3">
      <c r="B25" s="7" t="s">
        <v>565</v>
      </c>
      <c r="C25" s="529">
        <v>8</v>
      </c>
      <c r="D25" s="521">
        <v>9</v>
      </c>
      <c r="E25" s="9" t="s">
        <v>582</v>
      </c>
      <c r="F25" s="530">
        <v>15</v>
      </c>
      <c r="G25" s="522">
        <v>15</v>
      </c>
      <c r="H25" s="9"/>
      <c r="I25" s="342"/>
      <c r="J25" s="95"/>
    </row>
    <row r="26" spans="2:11" ht="15" customHeight="1" x14ac:dyDescent="0.3">
      <c r="B26" s="15" t="s">
        <v>566</v>
      </c>
      <c r="C26" s="532">
        <v>8</v>
      </c>
      <c r="D26" s="524">
        <v>9</v>
      </c>
      <c r="E26" s="16" t="s">
        <v>573</v>
      </c>
      <c r="F26" s="532">
        <v>15</v>
      </c>
      <c r="G26" s="524">
        <v>15</v>
      </c>
      <c r="H26" s="16"/>
      <c r="I26" s="471"/>
      <c r="J26" s="95"/>
    </row>
    <row r="28" spans="2:11" ht="15" customHeight="1" x14ac:dyDescent="0.3">
      <c r="E28" s="493"/>
    </row>
    <row r="31" spans="2:11" ht="15" customHeight="1" x14ac:dyDescent="0.3">
      <c r="B31" s="990" t="s">
        <v>411</v>
      </c>
      <c r="C31" s="991"/>
      <c r="D31" s="991"/>
      <c r="E31" s="991"/>
      <c r="F31" s="991"/>
      <c r="G31" s="991"/>
      <c r="H31" s="249"/>
      <c r="I31" s="249"/>
    </row>
    <row r="32" spans="2:11" ht="15" customHeight="1" x14ac:dyDescent="0.3">
      <c r="B32" s="573" t="s">
        <v>4</v>
      </c>
      <c r="C32" s="595" t="s">
        <v>412</v>
      </c>
      <c r="D32" s="574" t="s">
        <v>515</v>
      </c>
      <c r="E32" s="439" t="s">
        <v>4</v>
      </c>
      <c r="F32" s="595" t="s">
        <v>412</v>
      </c>
      <c r="G32" s="595" t="s">
        <v>515</v>
      </c>
    </row>
    <row r="33" spans="2:7" ht="15" customHeight="1" x14ac:dyDescent="0.3">
      <c r="B33" s="305" t="s">
        <v>546</v>
      </c>
      <c r="C33" s="593" t="s">
        <v>410</v>
      </c>
      <c r="D33" s="445" t="str">
        <f t="shared" ref="D33:D50" si="0">C33</f>
        <v>No Restrictions</v>
      </c>
      <c r="E33" s="19" t="s">
        <v>567</v>
      </c>
      <c r="F33" s="527" t="s">
        <v>410</v>
      </c>
      <c r="G33" s="382" t="str">
        <f t="shared" ref="G33:G50" si="1">F33</f>
        <v>No Restrictions</v>
      </c>
    </row>
    <row r="34" spans="2:7" ht="15" customHeight="1" x14ac:dyDescent="0.3">
      <c r="B34" s="3" t="s">
        <v>9</v>
      </c>
      <c r="C34" s="528" t="s">
        <v>413</v>
      </c>
      <c r="D34" s="369" t="str">
        <f t="shared" si="0"/>
        <v>Blocker</v>
      </c>
      <c r="E34" s="5" t="s">
        <v>568</v>
      </c>
      <c r="F34" s="528" t="s">
        <v>410</v>
      </c>
      <c r="G34" s="20" t="str">
        <f t="shared" si="1"/>
        <v>No Restrictions</v>
      </c>
    </row>
    <row r="35" spans="2:7" ht="15" customHeight="1" x14ac:dyDescent="0.3">
      <c r="B35" s="7" t="s">
        <v>594</v>
      </c>
      <c r="C35" s="529" t="s">
        <v>410</v>
      </c>
      <c r="D35" s="368" t="str">
        <f t="shared" si="0"/>
        <v>No Restrictions</v>
      </c>
      <c r="E35" s="9" t="s">
        <v>569</v>
      </c>
      <c r="F35" s="529" t="s">
        <v>410</v>
      </c>
      <c r="G35" s="342" t="str">
        <f t="shared" si="1"/>
        <v>No Restrictions</v>
      </c>
    </row>
    <row r="36" spans="2:7" ht="15" customHeight="1" x14ac:dyDescent="0.3">
      <c r="B36" s="3" t="s">
        <v>547</v>
      </c>
      <c r="C36" s="528" t="s">
        <v>410</v>
      </c>
      <c r="D36" s="369" t="str">
        <f t="shared" si="0"/>
        <v>No Restrictions</v>
      </c>
      <c r="E36" s="5" t="s">
        <v>570</v>
      </c>
      <c r="F36" s="528" t="s">
        <v>410</v>
      </c>
      <c r="G36" s="20" t="str">
        <f t="shared" si="1"/>
        <v>No Restrictions</v>
      </c>
    </row>
    <row r="37" spans="2:7" ht="15" customHeight="1" x14ac:dyDescent="0.3">
      <c r="B37" s="7" t="s">
        <v>548</v>
      </c>
      <c r="C37" s="529" t="s">
        <v>409</v>
      </c>
      <c r="D37" s="368" t="str">
        <f t="shared" si="0"/>
        <v>No Edges</v>
      </c>
      <c r="E37" s="9" t="s">
        <v>549</v>
      </c>
      <c r="F37" s="529" t="s">
        <v>410</v>
      </c>
      <c r="G37" s="342" t="str">
        <f t="shared" si="1"/>
        <v>No Restrictions</v>
      </c>
    </row>
    <row r="38" spans="2:7" ht="15" customHeight="1" x14ac:dyDescent="0.3">
      <c r="B38" s="3" t="s">
        <v>550</v>
      </c>
      <c r="C38" s="528" t="s">
        <v>410</v>
      </c>
      <c r="D38" s="369" t="str">
        <f t="shared" si="0"/>
        <v>No Restrictions</v>
      </c>
      <c r="E38" s="5" t="s">
        <v>561</v>
      </c>
      <c r="F38" s="528" t="s">
        <v>410</v>
      </c>
      <c r="G38" s="20" t="str">
        <f t="shared" si="1"/>
        <v>No Restrictions</v>
      </c>
    </row>
    <row r="39" spans="2:7" ht="15" customHeight="1" x14ac:dyDescent="0.3">
      <c r="B39" s="7" t="s">
        <v>551</v>
      </c>
      <c r="C39" s="530" t="s">
        <v>410</v>
      </c>
      <c r="D39" s="440" t="str">
        <f t="shared" si="0"/>
        <v>No Restrictions</v>
      </c>
      <c r="E39" s="9" t="s">
        <v>571</v>
      </c>
      <c r="F39" s="529" t="s">
        <v>410</v>
      </c>
      <c r="G39" s="342" t="str">
        <f t="shared" si="1"/>
        <v>No Restrictions</v>
      </c>
    </row>
    <row r="40" spans="2:7" ht="15" customHeight="1" x14ac:dyDescent="0.3">
      <c r="B40" s="3" t="s">
        <v>552</v>
      </c>
      <c r="C40" s="531" t="s">
        <v>410</v>
      </c>
      <c r="D40" s="441" t="str">
        <f t="shared" si="0"/>
        <v>No Restrictions</v>
      </c>
      <c r="E40" s="5" t="s">
        <v>572</v>
      </c>
      <c r="F40" s="528" t="s">
        <v>74</v>
      </c>
      <c r="G40" s="20" t="str">
        <f t="shared" si="1"/>
        <v>Single Sided</v>
      </c>
    </row>
    <row r="41" spans="2:7" ht="15" customHeight="1" x14ac:dyDescent="0.3">
      <c r="B41" s="7" t="s">
        <v>555</v>
      </c>
      <c r="C41" s="529" t="s">
        <v>410</v>
      </c>
      <c r="D41" s="368" t="str">
        <f t="shared" si="0"/>
        <v>No Restrictions</v>
      </c>
      <c r="E41" s="9" t="s">
        <v>574</v>
      </c>
      <c r="F41" s="530" t="s">
        <v>410</v>
      </c>
      <c r="G41" s="446" t="str">
        <f t="shared" si="1"/>
        <v>No Restrictions</v>
      </c>
    </row>
    <row r="42" spans="2:7" ht="15" customHeight="1" x14ac:dyDescent="0.3">
      <c r="B42" s="3" t="s">
        <v>556</v>
      </c>
      <c r="C42" s="528" t="s">
        <v>74</v>
      </c>
      <c r="D42" s="369" t="str">
        <f t="shared" si="0"/>
        <v>Single Sided</v>
      </c>
      <c r="E42" s="5" t="s">
        <v>575</v>
      </c>
      <c r="F42" s="528" t="s">
        <v>410</v>
      </c>
      <c r="G42" s="20" t="str">
        <f t="shared" si="1"/>
        <v>No Restrictions</v>
      </c>
    </row>
    <row r="43" spans="2:7" ht="15" customHeight="1" x14ac:dyDescent="0.3">
      <c r="B43" s="7" t="s">
        <v>558</v>
      </c>
      <c r="C43" s="529" t="s">
        <v>410</v>
      </c>
      <c r="D43" s="368" t="str">
        <f t="shared" si="0"/>
        <v>No Restrictions</v>
      </c>
      <c r="E43" s="9" t="s">
        <v>576</v>
      </c>
      <c r="F43" s="529" t="s">
        <v>74</v>
      </c>
      <c r="G43" s="342" t="str">
        <f t="shared" si="1"/>
        <v>Single Sided</v>
      </c>
    </row>
    <row r="44" spans="2:7" ht="15" customHeight="1" x14ac:dyDescent="0.3">
      <c r="B44" s="3" t="s">
        <v>559</v>
      </c>
      <c r="C44" s="528" t="s">
        <v>409</v>
      </c>
      <c r="D44" s="369" t="str">
        <f t="shared" si="0"/>
        <v>No Edges</v>
      </c>
      <c r="E44" s="5" t="s">
        <v>577</v>
      </c>
      <c r="F44" s="531" t="s">
        <v>74</v>
      </c>
      <c r="G44" s="447" t="str">
        <f t="shared" si="1"/>
        <v>Single Sided</v>
      </c>
    </row>
    <row r="45" spans="2:7" ht="15" customHeight="1" x14ac:dyDescent="0.3">
      <c r="B45" s="7" t="s">
        <v>560</v>
      </c>
      <c r="C45" s="529" t="s">
        <v>74</v>
      </c>
      <c r="D45" s="368" t="str">
        <f t="shared" si="0"/>
        <v>Single Sided</v>
      </c>
      <c r="E45" s="9" t="s">
        <v>578</v>
      </c>
      <c r="F45" s="529" t="s">
        <v>74</v>
      </c>
      <c r="G45" s="342" t="str">
        <f t="shared" si="1"/>
        <v>Single Sided</v>
      </c>
    </row>
    <row r="46" spans="2:7" ht="15" customHeight="1" x14ac:dyDescent="0.3">
      <c r="B46" s="3" t="s">
        <v>562</v>
      </c>
      <c r="C46" s="528" t="s">
        <v>410</v>
      </c>
      <c r="D46" s="369" t="str">
        <f t="shared" si="0"/>
        <v>No Restrictions</v>
      </c>
      <c r="E46" s="5" t="s">
        <v>579</v>
      </c>
      <c r="F46" s="528" t="s">
        <v>410</v>
      </c>
      <c r="G46" s="20" t="str">
        <f t="shared" si="1"/>
        <v>No Restrictions</v>
      </c>
    </row>
    <row r="47" spans="2:7" ht="15" customHeight="1" x14ac:dyDescent="0.3">
      <c r="B47" s="7" t="s">
        <v>563</v>
      </c>
      <c r="C47" s="529" t="s">
        <v>410</v>
      </c>
      <c r="D47" s="368" t="str">
        <f t="shared" si="0"/>
        <v>No Restrictions</v>
      </c>
      <c r="E47" s="9" t="s">
        <v>580</v>
      </c>
      <c r="F47" s="529" t="s">
        <v>410</v>
      </c>
      <c r="G47" s="342" t="str">
        <f t="shared" si="1"/>
        <v>No Restrictions</v>
      </c>
    </row>
    <row r="48" spans="2:7" ht="15" customHeight="1" x14ac:dyDescent="0.3">
      <c r="B48" s="3" t="s">
        <v>564</v>
      </c>
      <c r="C48" s="528" t="s">
        <v>410</v>
      </c>
      <c r="D48" s="369" t="str">
        <f t="shared" si="0"/>
        <v>No Restrictions</v>
      </c>
      <c r="E48" s="5" t="s">
        <v>581</v>
      </c>
      <c r="F48" s="528" t="s">
        <v>410</v>
      </c>
      <c r="G48" s="20" t="str">
        <f t="shared" si="1"/>
        <v>No Restrictions</v>
      </c>
    </row>
    <row r="49" spans="2:16" ht="15" customHeight="1" x14ac:dyDescent="0.3">
      <c r="B49" s="7" t="s">
        <v>565</v>
      </c>
      <c r="C49" s="529" t="s">
        <v>410</v>
      </c>
      <c r="D49" s="368" t="str">
        <f t="shared" si="0"/>
        <v>No Restrictions</v>
      </c>
      <c r="E49" s="9" t="s">
        <v>582</v>
      </c>
      <c r="F49" s="530" t="s">
        <v>74</v>
      </c>
      <c r="G49" s="446" t="str">
        <f t="shared" si="1"/>
        <v>Single Sided</v>
      </c>
    </row>
    <row r="50" spans="2:16" ht="15" customHeight="1" x14ac:dyDescent="0.3">
      <c r="B50" s="15" t="s">
        <v>566</v>
      </c>
      <c r="C50" s="532" t="s">
        <v>74</v>
      </c>
      <c r="D50" s="381" t="str">
        <f t="shared" si="0"/>
        <v>Single Sided</v>
      </c>
      <c r="E50" s="16" t="s">
        <v>573</v>
      </c>
      <c r="F50" s="532" t="s">
        <v>74</v>
      </c>
      <c r="G50" s="471" t="str">
        <f t="shared" si="1"/>
        <v>Single Sided</v>
      </c>
    </row>
    <row r="55" spans="2:16" ht="15" customHeight="1" x14ac:dyDescent="0.3">
      <c r="B55" s="915" t="s">
        <v>593</v>
      </c>
      <c r="C55" s="916"/>
      <c r="D55" s="916"/>
      <c r="E55" s="916"/>
      <c r="F55" s="916"/>
      <c r="G55" s="916"/>
      <c r="H55" s="916"/>
      <c r="I55" s="916"/>
      <c r="J55" s="916"/>
      <c r="K55" s="916"/>
      <c r="L55" s="916"/>
      <c r="M55" s="917"/>
    </row>
    <row r="56" spans="2:16" ht="15" customHeight="1" x14ac:dyDescent="0.3">
      <c r="B56" s="1002" t="s">
        <v>3</v>
      </c>
      <c r="C56" s="1003" t="s">
        <v>595</v>
      </c>
      <c r="D56" s="1002" t="s">
        <v>597</v>
      </c>
      <c r="E56" s="1002" t="s">
        <v>596</v>
      </c>
      <c r="F56" s="1004" t="s">
        <v>791</v>
      </c>
      <c r="G56" s="978" t="s">
        <v>792</v>
      </c>
      <c r="H56" s="1005" t="s">
        <v>3</v>
      </c>
      <c r="I56" s="1003" t="s">
        <v>595</v>
      </c>
      <c r="J56" s="1002" t="s">
        <v>597</v>
      </c>
      <c r="K56" s="1002" t="s">
        <v>596</v>
      </c>
      <c r="L56" s="1002" t="s">
        <v>791</v>
      </c>
      <c r="M56" s="1002" t="s">
        <v>792</v>
      </c>
      <c r="N56" s="249"/>
      <c r="O56" s="249"/>
      <c r="P56" s="249"/>
    </row>
    <row r="57" spans="2:16" ht="15" customHeight="1" x14ac:dyDescent="0.3">
      <c r="B57" s="977"/>
      <c r="C57" s="989"/>
      <c r="D57" s="977"/>
      <c r="E57" s="977"/>
      <c r="F57" s="982"/>
      <c r="G57" s="978"/>
      <c r="H57" s="979"/>
      <c r="I57" s="989"/>
      <c r="J57" s="977"/>
      <c r="K57" s="977"/>
      <c r="L57" s="977"/>
      <c r="M57" s="977"/>
      <c r="N57" s="249"/>
      <c r="O57" s="249"/>
    </row>
    <row r="58" spans="2:16" ht="15" customHeight="1" x14ac:dyDescent="0.3">
      <c r="B58" s="1" t="s">
        <v>6</v>
      </c>
      <c r="C58" s="533">
        <v>21</v>
      </c>
      <c r="D58" s="533">
        <v>27</v>
      </c>
      <c r="E58" s="533">
        <v>33</v>
      </c>
      <c r="F58" s="533">
        <v>28</v>
      </c>
      <c r="G58" s="534">
        <v>28</v>
      </c>
      <c r="H58" s="2" t="s">
        <v>45</v>
      </c>
      <c r="I58" s="533">
        <v>287</v>
      </c>
      <c r="J58" s="533">
        <v>318</v>
      </c>
      <c r="K58" s="533">
        <v>387</v>
      </c>
      <c r="L58" s="533">
        <v>325</v>
      </c>
      <c r="M58" s="503">
        <v>325</v>
      </c>
    </row>
    <row r="59" spans="2:16" ht="15" customHeight="1" x14ac:dyDescent="0.3">
      <c r="B59" s="3" t="s">
        <v>10</v>
      </c>
      <c r="C59" s="535">
        <v>30</v>
      </c>
      <c r="D59" s="535">
        <v>34</v>
      </c>
      <c r="E59" s="535">
        <v>41</v>
      </c>
      <c r="F59" s="535">
        <v>35</v>
      </c>
      <c r="G59" s="536">
        <v>35</v>
      </c>
      <c r="H59" s="5" t="s">
        <v>48</v>
      </c>
      <c r="I59" s="535">
        <v>297</v>
      </c>
      <c r="J59" s="535">
        <v>325</v>
      </c>
      <c r="K59" s="535">
        <v>396</v>
      </c>
      <c r="L59" s="535">
        <v>334</v>
      </c>
      <c r="M59" s="544">
        <v>334</v>
      </c>
    </row>
    <row r="60" spans="2:16" ht="15" customHeight="1" x14ac:dyDescent="0.3">
      <c r="B60" s="10" t="s">
        <v>14</v>
      </c>
      <c r="C60" s="537">
        <v>40</v>
      </c>
      <c r="D60" s="537">
        <v>46</v>
      </c>
      <c r="E60" s="537">
        <v>57</v>
      </c>
      <c r="F60" s="537">
        <v>48</v>
      </c>
      <c r="G60" s="538">
        <v>48</v>
      </c>
      <c r="H60" s="12" t="s">
        <v>51</v>
      </c>
      <c r="I60" s="537">
        <v>306</v>
      </c>
      <c r="J60" s="537">
        <v>334</v>
      </c>
      <c r="K60" s="537">
        <v>407</v>
      </c>
      <c r="L60" s="537">
        <v>343</v>
      </c>
      <c r="M60" s="343">
        <v>343</v>
      </c>
    </row>
    <row r="61" spans="2:16" ht="15" customHeight="1" x14ac:dyDescent="0.3">
      <c r="B61" s="3" t="s">
        <v>18</v>
      </c>
      <c r="C61" s="535">
        <v>47</v>
      </c>
      <c r="D61" s="535">
        <v>59</v>
      </c>
      <c r="E61" s="535">
        <v>71</v>
      </c>
      <c r="F61" s="535">
        <v>60</v>
      </c>
      <c r="G61" s="536">
        <v>60</v>
      </c>
      <c r="H61" s="5" t="s">
        <v>54</v>
      </c>
      <c r="I61" s="535">
        <v>315</v>
      </c>
      <c r="J61" s="535">
        <v>343</v>
      </c>
      <c r="K61" s="535">
        <v>418</v>
      </c>
      <c r="L61" s="535">
        <v>351</v>
      </c>
      <c r="M61" s="544">
        <v>351</v>
      </c>
    </row>
    <row r="62" spans="2:16" ht="15" customHeight="1" x14ac:dyDescent="0.3">
      <c r="B62" s="13" t="s">
        <v>22</v>
      </c>
      <c r="C62" s="539">
        <v>65</v>
      </c>
      <c r="D62" s="539">
        <v>70</v>
      </c>
      <c r="E62" s="539">
        <v>85</v>
      </c>
      <c r="F62" s="539">
        <v>71</v>
      </c>
      <c r="G62" s="540">
        <v>71</v>
      </c>
      <c r="H62" s="14" t="s">
        <v>57</v>
      </c>
      <c r="I62" s="539">
        <v>325</v>
      </c>
      <c r="J62" s="539">
        <v>351</v>
      </c>
      <c r="K62" s="539">
        <v>428</v>
      </c>
      <c r="L62" s="539">
        <v>360</v>
      </c>
      <c r="M62" s="545">
        <v>360</v>
      </c>
    </row>
    <row r="63" spans="2:16" ht="15" customHeight="1" x14ac:dyDescent="0.3">
      <c r="B63" s="3" t="s">
        <v>27</v>
      </c>
      <c r="C63" s="535">
        <v>74</v>
      </c>
      <c r="D63" s="535">
        <v>84</v>
      </c>
      <c r="E63" s="535">
        <v>102</v>
      </c>
      <c r="F63" s="535">
        <v>86</v>
      </c>
      <c r="G63" s="536">
        <v>86</v>
      </c>
      <c r="H63" s="5" t="s">
        <v>60</v>
      </c>
      <c r="I63" s="535">
        <v>334</v>
      </c>
      <c r="J63" s="535">
        <v>359</v>
      </c>
      <c r="K63" s="535">
        <v>438</v>
      </c>
      <c r="L63" s="535">
        <v>369</v>
      </c>
      <c r="M63" s="544">
        <v>369</v>
      </c>
    </row>
    <row r="64" spans="2:16" ht="15" customHeight="1" x14ac:dyDescent="0.3">
      <c r="B64" s="10" t="s">
        <v>31</v>
      </c>
      <c r="C64" s="537">
        <v>85</v>
      </c>
      <c r="D64" s="537">
        <v>94</v>
      </c>
      <c r="E64" s="537">
        <v>115</v>
      </c>
      <c r="F64" s="537">
        <v>97</v>
      </c>
      <c r="G64" s="538">
        <v>97</v>
      </c>
      <c r="H64" s="12" t="s">
        <v>63</v>
      </c>
      <c r="I64" s="537">
        <v>342</v>
      </c>
      <c r="J64" s="537">
        <v>368</v>
      </c>
      <c r="K64" s="537">
        <v>447</v>
      </c>
      <c r="L64" s="537">
        <v>377</v>
      </c>
      <c r="M64" s="343">
        <v>377</v>
      </c>
    </row>
    <row r="65" spans="2:13" ht="15" customHeight="1" x14ac:dyDescent="0.3">
      <c r="B65" s="3" t="s">
        <v>35</v>
      </c>
      <c r="C65" s="535">
        <v>91</v>
      </c>
      <c r="D65" s="535">
        <v>105</v>
      </c>
      <c r="E65" s="535">
        <v>128</v>
      </c>
      <c r="F65" s="535">
        <v>108</v>
      </c>
      <c r="G65" s="536">
        <v>108</v>
      </c>
      <c r="H65" s="5" t="s">
        <v>66</v>
      </c>
      <c r="I65" s="535">
        <v>352</v>
      </c>
      <c r="J65" s="535">
        <v>376</v>
      </c>
      <c r="K65" s="535">
        <v>459</v>
      </c>
      <c r="L65" s="535">
        <v>386</v>
      </c>
      <c r="M65" s="544">
        <v>386</v>
      </c>
    </row>
    <row r="66" spans="2:13" ht="15" customHeight="1" x14ac:dyDescent="0.3">
      <c r="B66" s="10" t="s">
        <v>38</v>
      </c>
      <c r="C66" s="537">
        <v>101</v>
      </c>
      <c r="D66" s="537">
        <v>116</v>
      </c>
      <c r="E66" s="537">
        <v>141</v>
      </c>
      <c r="F66" s="537">
        <v>119</v>
      </c>
      <c r="G66" s="538">
        <v>119</v>
      </c>
      <c r="H66" s="12" t="s">
        <v>69</v>
      </c>
      <c r="I66" s="537">
        <v>358</v>
      </c>
      <c r="J66" s="537">
        <v>385</v>
      </c>
      <c r="K66" s="537">
        <v>468</v>
      </c>
      <c r="L66" s="537">
        <v>395</v>
      </c>
      <c r="M66" s="343">
        <v>395</v>
      </c>
    </row>
    <row r="67" spans="2:13" ht="15" customHeight="1" x14ac:dyDescent="0.3">
      <c r="B67" s="15" t="s">
        <v>41</v>
      </c>
      <c r="C67" s="541">
        <v>111</v>
      </c>
      <c r="D67" s="541">
        <v>127</v>
      </c>
      <c r="E67" s="541">
        <v>155</v>
      </c>
      <c r="F67" s="541">
        <v>130</v>
      </c>
      <c r="G67" s="542">
        <v>130</v>
      </c>
      <c r="H67" s="16" t="s">
        <v>72</v>
      </c>
      <c r="I67" s="541">
        <v>365</v>
      </c>
      <c r="J67" s="541">
        <v>394</v>
      </c>
      <c r="K67" s="541">
        <v>479</v>
      </c>
      <c r="L67" s="541">
        <v>403</v>
      </c>
      <c r="M67" s="546">
        <v>403</v>
      </c>
    </row>
    <row r="68" spans="2:13" ht="15" customHeight="1" x14ac:dyDescent="0.3">
      <c r="B68" s="10" t="s">
        <v>44</v>
      </c>
      <c r="C68" s="537">
        <v>120</v>
      </c>
      <c r="D68" s="537">
        <v>134</v>
      </c>
      <c r="E68" s="537">
        <v>164</v>
      </c>
      <c r="F68" s="537">
        <v>138</v>
      </c>
      <c r="G68" s="538">
        <v>138</v>
      </c>
      <c r="H68" s="12" t="s">
        <v>8</v>
      </c>
      <c r="I68" s="537">
        <v>373</v>
      </c>
      <c r="J68" s="537">
        <v>402</v>
      </c>
      <c r="K68" s="537">
        <v>490</v>
      </c>
      <c r="L68" s="537">
        <v>414</v>
      </c>
      <c r="M68" s="343">
        <v>414</v>
      </c>
    </row>
    <row r="69" spans="2:13" ht="15" customHeight="1" x14ac:dyDescent="0.3">
      <c r="B69" s="3" t="s">
        <v>47</v>
      </c>
      <c r="C69" s="535">
        <v>129</v>
      </c>
      <c r="D69" s="535">
        <v>143</v>
      </c>
      <c r="E69" s="535">
        <v>174</v>
      </c>
      <c r="F69" s="535">
        <v>147</v>
      </c>
      <c r="G69" s="536">
        <v>147</v>
      </c>
      <c r="H69" s="5" t="s">
        <v>12</v>
      </c>
      <c r="I69" s="535">
        <v>381</v>
      </c>
      <c r="J69" s="535">
        <v>411</v>
      </c>
      <c r="K69" s="535">
        <v>501</v>
      </c>
      <c r="L69" s="535">
        <v>425</v>
      </c>
      <c r="M69" s="544">
        <v>425</v>
      </c>
    </row>
    <row r="70" spans="2:13" ht="15" customHeight="1" x14ac:dyDescent="0.3">
      <c r="B70" s="10" t="s">
        <v>50</v>
      </c>
      <c r="C70" s="537">
        <v>137</v>
      </c>
      <c r="D70" s="537">
        <v>155</v>
      </c>
      <c r="E70" s="537">
        <v>188</v>
      </c>
      <c r="F70" s="537">
        <v>158</v>
      </c>
      <c r="G70" s="538">
        <v>158</v>
      </c>
      <c r="H70" s="12" t="s">
        <v>16</v>
      </c>
      <c r="I70" s="537">
        <v>389</v>
      </c>
      <c r="J70" s="537">
        <v>420</v>
      </c>
      <c r="K70" s="537">
        <v>512</v>
      </c>
      <c r="L70" s="537">
        <v>436</v>
      </c>
      <c r="M70" s="343">
        <v>436</v>
      </c>
    </row>
    <row r="71" spans="2:13" ht="15" customHeight="1" x14ac:dyDescent="0.3">
      <c r="B71" s="3" t="s">
        <v>53</v>
      </c>
      <c r="C71" s="535">
        <v>147</v>
      </c>
      <c r="D71" s="535">
        <v>164</v>
      </c>
      <c r="E71" s="535">
        <v>200</v>
      </c>
      <c r="F71" s="535">
        <v>168</v>
      </c>
      <c r="G71" s="536">
        <v>168</v>
      </c>
      <c r="H71" s="5" t="s">
        <v>20</v>
      </c>
      <c r="I71" s="535">
        <v>397</v>
      </c>
      <c r="J71" s="535">
        <v>429</v>
      </c>
      <c r="K71" s="535">
        <v>523</v>
      </c>
      <c r="L71" s="535">
        <v>447</v>
      </c>
      <c r="M71" s="544">
        <v>447</v>
      </c>
    </row>
    <row r="72" spans="2:13" ht="15" customHeight="1" x14ac:dyDescent="0.3">
      <c r="B72" s="13" t="s">
        <v>56</v>
      </c>
      <c r="C72" s="539">
        <v>154</v>
      </c>
      <c r="D72" s="539">
        <v>173</v>
      </c>
      <c r="E72" s="539">
        <v>210</v>
      </c>
      <c r="F72" s="539">
        <v>178</v>
      </c>
      <c r="G72" s="540">
        <v>178</v>
      </c>
      <c r="H72" s="14" t="s">
        <v>24</v>
      </c>
      <c r="I72" s="539">
        <v>405</v>
      </c>
      <c r="J72" s="539">
        <v>438</v>
      </c>
      <c r="K72" s="539">
        <v>534</v>
      </c>
      <c r="L72" s="539">
        <v>458</v>
      </c>
      <c r="M72" s="545">
        <v>458</v>
      </c>
    </row>
    <row r="73" spans="2:13" ht="15" customHeight="1" x14ac:dyDescent="0.3">
      <c r="B73" s="3" t="s">
        <v>59</v>
      </c>
      <c r="C73" s="535">
        <v>161</v>
      </c>
      <c r="D73" s="535">
        <v>182</v>
      </c>
      <c r="E73" s="535">
        <v>222</v>
      </c>
      <c r="F73" s="535">
        <v>187</v>
      </c>
      <c r="G73" s="536">
        <v>187</v>
      </c>
      <c r="H73" s="5" t="s">
        <v>29</v>
      </c>
      <c r="I73" s="535">
        <v>413</v>
      </c>
      <c r="J73" s="535">
        <v>447</v>
      </c>
      <c r="K73" s="535">
        <v>545</v>
      </c>
      <c r="L73" s="535">
        <v>469</v>
      </c>
      <c r="M73" s="544">
        <v>469</v>
      </c>
    </row>
    <row r="74" spans="2:13" ht="15" customHeight="1" x14ac:dyDescent="0.3">
      <c r="B74" s="10" t="s">
        <v>62</v>
      </c>
      <c r="C74" s="537">
        <v>171</v>
      </c>
      <c r="D74" s="537">
        <v>191</v>
      </c>
      <c r="E74" s="537">
        <v>232</v>
      </c>
      <c r="F74" s="537">
        <v>196</v>
      </c>
      <c r="G74" s="538">
        <v>196</v>
      </c>
      <c r="H74" s="12" t="s">
        <v>33</v>
      </c>
      <c r="I74" s="537">
        <v>421</v>
      </c>
      <c r="J74" s="537">
        <v>456</v>
      </c>
      <c r="K74" s="537">
        <v>556</v>
      </c>
      <c r="L74" s="537">
        <v>480</v>
      </c>
      <c r="M74" s="343">
        <v>480</v>
      </c>
    </row>
    <row r="75" spans="2:13" ht="15" customHeight="1" x14ac:dyDescent="0.3">
      <c r="B75" s="3" t="s">
        <v>65</v>
      </c>
      <c r="C75" s="535">
        <v>180</v>
      </c>
      <c r="D75" s="535">
        <v>199</v>
      </c>
      <c r="E75" s="535">
        <v>243</v>
      </c>
      <c r="F75" s="535">
        <v>204</v>
      </c>
      <c r="G75" s="536">
        <v>204</v>
      </c>
      <c r="H75" s="5" t="s">
        <v>37</v>
      </c>
      <c r="I75" s="535">
        <v>429</v>
      </c>
      <c r="J75" s="535">
        <v>465</v>
      </c>
      <c r="K75" s="535">
        <v>567</v>
      </c>
      <c r="L75" s="535">
        <v>491</v>
      </c>
      <c r="M75" s="544">
        <v>491</v>
      </c>
    </row>
    <row r="76" spans="2:13" ht="15" customHeight="1" x14ac:dyDescent="0.3">
      <c r="B76" s="10" t="s">
        <v>68</v>
      </c>
      <c r="C76" s="537">
        <v>191</v>
      </c>
      <c r="D76" s="537">
        <v>209</v>
      </c>
      <c r="E76" s="537">
        <v>254</v>
      </c>
      <c r="F76" s="537">
        <v>214</v>
      </c>
      <c r="G76" s="538">
        <v>214</v>
      </c>
      <c r="H76" s="12" t="s">
        <v>40</v>
      </c>
      <c r="I76" s="537">
        <v>437</v>
      </c>
      <c r="J76" s="537">
        <v>474</v>
      </c>
      <c r="K76" s="537">
        <v>578</v>
      </c>
      <c r="L76" s="537">
        <v>502</v>
      </c>
      <c r="M76" s="343">
        <v>502</v>
      </c>
    </row>
    <row r="77" spans="2:13" ht="15" customHeight="1" x14ac:dyDescent="0.3">
      <c r="B77" s="15" t="s">
        <v>71</v>
      </c>
      <c r="C77" s="541">
        <v>199</v>
      </c>
      <c r="D77" s="541">
        <v>216</v>
      </c>
      <c r="E77" s="541">
        <v>263</v>
      </c>
      <c r="F77" s="541">
        <v>222</v>
      </c>
      <c r="G77" s="542">
        <v>222</v>
      </c>
      <c r="H77" s="16" t="s">
        <v>43</v>
      </c>
      <c r="I77" s="541">
        <v>445</v>
      </c>
      <c r="J77" s="541">
        <v>483</v>
      </c>
      <c r="K77" s="541">
        <v>589</v>
      </c>
      <c r="L77" s="541">
        <v>513</v>
      </c>
      <c r="M77" s="546">
        <v>513</v>
      </c>
    </row>
    <row r="78" spans="2:13" ht="15" customHeight="1" x14ac:dyDescent="0.3">
      <c r="B78" s="10" t="s">
        <v>7</v>
      </c>
      <c r="C78" s="537">
        <v>206</v>
      </c>
      <c r="D78" s="537">
        <v>277</v>
      </c>
      <c r="E78" s="537">
        <v>276</v>
      </c>
      <c r="F78" s="537">
        <v>232</v>
      </c>
      <c r="G78" s="538">
        <v>232</v>
      </c>
      <c r="H78" s="12" t="s">
        <v>46</v>
      </c>
      <c r="I78" s="537">
        <v>453</v>
      </c>
      <c r="J78" s="537">
        <v>492</v>
      </c>
      <c r="K78" s="537">
        <v>600</v>
      </c>
      <c r="L78" s="537">
        <v>524</v>
      </c>
      <c r="M78" s="343">
        <v>524</v>
      </c>
    </row>
    <row r="79" spans="2:13" ht="15" customHeight="1" x14ac:dyDescent="0.3">
      <c r="B79" s="3" t="s">
        <v>11</v>
      </c>
      <c r="C79" s="535">
        <v>213</v>
      </c>
      <c r="D79" s="535">
        <v>234</v>
      </c>
      <c r="E79" s="535">
        <v>285</v>
      </c>
      <c r="F79" s="535">
        <v>241</v>
      </c>
      <c r="G79" s="536">
        <v>241</v>
      </c>
      <c r="H79" s="5" t="s">
        <v>49</v>
      </c>
      <c r="I79" s="535">
        <v>461</v>
      </c>
      <c r="J79" s="535">
        <v>501</v>
      </c>
      <c r="K79" s="535">
        <v>611</v>
      </c>
      <c r="L79" s="535">
        <v>535</v>
      </c>
      <c r="M79" s="544">
        <v>535</v>
      </c>
    </row>
    <row r="80" spans="2:13" ht="15" customHeight="1" x14ac:dyDescent="0.3">
      <c r="B80" s="10" t="s">
        <v>15</v>
      </c>
      <c r="C80" s="537">
        <v>219</v>
      </c>
      <c r="D80" s="537">
        <v>244</v>
      </c>
      <c r="E80" s="537">
        <v>296</v>
      </c>
      <c r="F80" s="537">
        <v>250</v>
      </c>
      <c r="G80" s="538">
        <v>250</v>
      </c>
      <c r="H80" s="12" t="s">
        <v>52</v>
      </c>
      <c r="I80" s="537">
        <v>469</v>
      </c>
      <c r="J80" s="537">
        <v>510</v>
      </c>
      <c r="K80" s="537">
        <v>622</v>
      </c>
      <c r="L80" s="537">
        <v>546</v>
      </c>
      <c r="M80" s="343">
        <v>546</v>
      </c>
    </row>
    <row r="81" spans="2:16" ht="15" customHeight="1" x14ac:dyDescent="0.3">
      <c r="B81" s="3" t="s">
        <v>19</v>
      </c>
      <c r="C81" s="535">
        <v>227</v>
      </c>
      <c r="D81" s="535">
        <v>252</v>
      </c>
      <c r="E81" s="535">
        <v>306</v>
      </c>
      <c r="F81" s="535">
        <v>258</v>
      </c>
      <c r="G81" s="536">
        <v>258</v>
      </c>
      <c r="H81" s="5" t="s">
        <v>55</v>
      </c>
      <c r="I81" s="535">
        <v>477</v>
      </c>
      <c r="J81" s="535">
        <v>520</v>
      </c>
      <c r="K81" s="535">
        <v>633</v>
      </c>
      <c r="L81" s="535">
        <v>557</v>
      </c>
      <c r="M81" s="544">
        <v>557</v>
      </c>
      <c r="N81" s="95"/>
      <c r="O81" s="95"/>
    </row>
    <row r="82" spans="2:16" ht="15" customHeight="1" x14ac:dyDescent="0.3">
      <c r="B82" s="13" t="s">
        <v>23</v>
      </c>
      <c r="C82" s="539">
        <v>236</v>
      </c>
      <c r="D82" s="539">
        <v>262</v>
      </c>
      <c r="E82" s="539">
        <v>320</v>
      </c>
      <c r="F82" s="539">
        <v>269</v>
      </c>
      <c r="G82" s="540">
        <v>269</v>
      </c>
      <c r="H82" s="14" t="s">
        <v>58</v>
      </c>
      <c r="I82" s="539">
        <v>482</v>
      </c>
      <c r="J82" s="539">
        <v>528</v>
      </c>
      <c r="K82" s="539">
        <v>644</v>
      </c>
      <c r="L82" s="539">
        <v>568</v>
      </c>
      <c r="M82" s="545">
        <v>568</v>
      </c>
    </row>
    <row r="83" spans="2:16" ht="15" customHeight="1" x14ac:dyDescent="0.3">
      <c r="B83" s="3" t="s">
        <v>28</v>
      </c>
      <c r="C83" s="535">
        <v>244</v>
      </c>
      <c r="D83" s="535">
        <v>272</v>
      </c>
      <c r="E83" s="535">
        <v>331</v>
      </c>
      <c r="F83" s="535">
        <v>279</v>
      </c>
      <c r="G83" s="536">
        <v>279</v>
      </c>
      <c r="H83" s="5" t="s">
        <v>61</v>
      </c>
      <c r="I83" s="535">
        <v>490</v>
      </c>
      <c r="J83" s="535">
        <v>537</v>
      </c>
      <c r="K83" s="535">
        <v>655</v>
      </c>
      <c r="L83" s="535">
        <v>579</v>
      </c>
      <c r="M83" s="544">
        <v>579</v>
      </c>
    </row>
    <row r="84" spans="2:16" ht="15" customHeight="1" x14ac:dyDescent="0.3">
      <c r="B84" s="10" t="s">
        <v>32</v>
      </c>
      <c r="C84" s="537">
        <v>251</v>
      </c>
      <c r="D84" s="537">
        <v>281</v>
      </c>
      <c r="E84" s="537">
        <v>342</v>
      </c>
      <c r="F84" s="537">
        <v>288</v>
      </c>
      <c r="G84" s="538">
        <v>288</v>
      </c>
      <c r="H84" s="12" t="s">
        <v>64</v>
      </c>
      <c r="I84" s="537">
        <v>498</v>
      </c>
      <c r="J84" s="537">
        <v>546</v>
      </c>
      <c r="K84" s="537">
        <v>666</v>
      </c>
      <c r="L84" s="537">
        <v>590</v>
      </c>
      <c r="M84" s="343">
        <v>590</v>
      </c>
    </row>
    <row r="85" spans="2:16" ht="15" customHeight="1" x14ac:dyDescent="0.3">
      <c r="B85" s="3" t="s">
        <v>36</v>
      </c>
      <c r="C85" s="535">
        <v>260</v>
      </c>
      <c r="D85" s="535">
        <v>291</v>
      </c>
      <c r="E85" s="535">
        <v>354</v>
      </c>
      <c r="F85" s="535">
        <v>298</v>
      </c>
      <c r="G85" s="536">
        <v>298</v>
      </c>
      <c r="H85" s="5" t="s">
        <v>67</v>
      </c>
      <c r="I85" s="535">
        <v>506</v>
      </c>
      <c r="J85" s="535">
        <v>555</v>
      </c>
      <c r="K85" s="535">
        <v>677</v>
      </c>
      <c r="L85" s="535">
        <v>601</v>
      </c>
      <c r="M85" s="544">
        <v>601</v>
      </c>
      <c r="N85" s="95"/>
      <c r="O85" s="95"/>
    </row>
    <row r="86" spans="2:16" ht="15" customHeight="1" x14ac:dyDescent="0.3">
      <c r="B86" s="10" t="s">
        <v>39</v>
      </c>
      <c r="C86" s="537">
        <v>269</v>
      </c>
      <c r="D86" s="537">
        <v>304</v>
      </c>
      <c r="E86" s="537">
        <v>372</v>
      </c>
      <c r="F86" s="537">
        <v>307</v>
      </c>
      <c r="G86" s="538">
        <v>307</v>
      </c>
      <c r="H86" s="12" t="s">
        <v>70</v>
      </c>
      <c r="I86" s="537">
        <v>514</v>
      </c>
      <c r="J86" s="537">
        <v>564</v>
      </c>
      <c r="K86" s="537">
        <v>688</v>
      </c>
      <c r="L86" s="537">
        <v>612</v>
      </c>
      <c r="M86" s="343">
        <v>612</v>
      </c>
      <c r="N86" s="95"/>
      <c r="O86" s="95"/>
    </row>
    <row r="87" spans="2:16" ht="15" customHeight="1" x14ac:dyDescent="0.3">
      <c r="B87" s="15" t="s">
        <v>42</v>
      </c>
      <c r="C87" s="541">
        <v>279</v>
      </c>
      <c r="D87" s="541">
        <v>309</v>
      </c>
      <c r="E87" s="541">
        <v>376</v>
      </c>
      <c r="F87" s="541">
        <v>317</v>
      </c>
      <c r="G87" s="542">
        <v>317</v>
      </c>
      <c r="H87" s="16" t="s">
        <v>73</v>
      </c>
      <c r="I87" s="541">
        <v>522</v>
      </c>
      <c r="J87" s="541">
        <v>573</v>
      </c>
      <c r="K87" s="541">
        <v>699</v>
      </c>
      <c r="L87" s="541">
        <v>623</v>
      </c>
      <c r="M87" s="546">
        <v>623</v>
      </c>
      <c r="N87" s="95"/>
      <c r="O87" s="95"/>
    </row>
    <row r="88" spans="2:16" ht="15" customHeight="1" x14ac:dyDescent="0.3">
      <c r="B88" s="260" t="s">
        <v>30</v>
      </c>
      <c r="C88" s="461">
        <f>Alpha!P12</f>
        <v>0</v>
      </c>
      <c r="D88" s="900" t="s">
        <v>34</v>
      </c>
      <c r="E88" s="900"/>
      <c r="F88" s="22"/>
      <c r="G88" s="596"/>
      <c r="H88" s="9"/>
      <c r="I88" s="22"/>
      <c r="J88" s="22"/>
      <c r="K88" s="22"/>
      <c r="L88" s="8"/>
      <c r="M88" s="8"/>
      <c r="N88" s="95"/>
      <c r="O88" s="95"/>
    </row>
    <row r="89" spans="2:16" ht="15" customHeight="1" x14ac:dyDescent="0.3">
      <c r="B89" s="3" t="s">
        <v>510</v>
      </c>
      <c r="C89" s="535">
        <v>7.5</v>
      </c>
      <c r="D89" s="6"/>
      <c r="E89" s="6"/>
      <c r="F89" s="6"/>
      <c r="G89" s="347"/>
      <c r="H89" s="5"/>
      <c r="I89" s="6"/>
      <c r="J89" s="6"/>
      <c r="K89" s="6"/>
      <c r="L89" s="4"/>
      <c r="M89" s="4"/>
      <c r="N89" s="95"/>
      <c r="O89" s="95"/>
    </row>
    <row r="90" spans="2:16" ht="15" customHeight="1" x14ac:dyDescent="0.3">
      <c r="B90" s="307" t="s">
        <v>509</v>
      </c>
      <c r="C90" s="543">
        <v>20</v>
      </c>
      <c r="D90" s="409"/>
      <c r="E90" s="409"/>
      <c r="F90" s="409"/>
      <c r="G90" s="448"/>
      <c r="H90" s="409"/>
      <c r="I90" s="409"/>
      <c r="J90" s="409"/>
      <c r="K90" s="409"/>
      <c r="L90" s="449"/>
      <c r="M90" s="449"/>
      <c r="N90" s="95"/>
      <c r="O90" s="95"/>
    </row>
    <row r="91" spans="2:16" ht="15" customHeight="1" x14ac:dyDescent="0.3">
      <c r="B91" s="95"/>
      <c r="C91" s="461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</row>
    <row r="92" spans="2:16" ht="15" customHeight="1" x14ac:dyDescent="0.3">
      <c r="B92" s="95"/>
      <c r="C92" s="461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 ht="15" customHeight="1" x14ac:dyDescent="0.3">
      <c r="B93" s="95"/>
      <c r="C93" s="461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 ht="15" customHeight="1" x14ac:dyDescent="0.3">
      <c r="B94" s="95"/>
      <c r="C94" s="461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 ht="15" customHeight="1" x14ac:dyDescent="0.3">
      <c r="B95" s="976" t="s">
        <v>607</v>
      </c>
      <c r="C95" s="976"/>
      <c r="D95" s="976"/>
      <c r="F95" s="976" t="s">
        <v>609</v>
      </c>
      <c r="G95" s="976"/>
    </row>
    <row r="96" spans="2:16" ht="15" customHeight="1" x14ac:dyDescent="0.3">
      <c r="B96" s="597" t="s">
        <v>4</v>
      </c>
      <c r="C96" s="597" t="s">
        <v>516</v>
      </c>
      <c r="D96" s="597" t="s">
        <v>517</v>
      </c>
      <c r="F96" s="611" t="s">
        <v>4</v>
      </c>
      <c r="G96" s="611" t="s">
        <v>412</v>
      </c>
    </row>
    <row r="97" spans="2:7" ht="15" customHeight="1" x14ac:dyDescent="0.3">
      <c r="B97" s="1" t="s">
        <v>601</v>
      </c>
      <c r="C97" s="599">
        <v>7.5</v>
      </c>
      <c r="D97" s="547" t="s">
        <v>25</v>
      </c>
      <c r="F97" s="1" t="s">
        <v>601</v>
      </c>
      <c r="G97" s="547" t="s">
        <v>74</v>
      </c>
    </row>
    <row r="98" spans="2:7" ht="15" customHeight="1" x14ac:dyDescent="0.3">
      <c r="B98" s="3" t="s">
        <v>602</v>
      </c>
      <c r="C98" s="528">
        <v>6.75</v>
      </c>
      <c r="D98" s="525" t="s">
        <v>25</v>
      </c>
      <c r="F98" s="3" t="s">
        <v>602</v>
      </c>
      <c r="G98" s="525" t="s">
        <v>74</v>
      </c>
    </row>
    <row r="99" spans="2:7" ht="15" customHeight="1" x14ac:dyDescent="0.3">
      <c r="B99" s="10" t="s">
        <v>603</v>
      </c>
      <c r="C99" s="598">
        <v>7</v>
      </c>
      <c r="D99" s="548">
        <v>12.5</v>
      </c>
      <c r="F99" s="10" t="s">
        <v>603</v>
      </c>
      <c r="G99" s="548" t="s">
        <v>410</v>
      </c>
    </row>
    <row r="100" spans="2:7" ht="15" customHeight="1" x14ac:dyDescent="0.3">
      <c r="B100" s="3" t="s">
        <v>604</v>
      </c>
      <c r="C100" s="528">
        <v>7</v>
      </c>
      <c r="D100" s="525" t="s">
        <v>25</v>
      </c>
      <c r="F100" s="3" t="s">
        <v>604</v>
      </c>
      <c r="G100" s="525" t="s">
        <v>74</v>
      </c>
    </row>
    <row r="101" spans="2:7" ht="15" customHeight="1" x14ac:dyDescent="0.3">
      <c r="B101" s="10" t="s">
        <v>605</v>
      </c>
      <c r="C101" s="598">
        <v>7.25</v>
      </c>
      <c r="D101" s="548">
        <v>12.75</v>
      </c>
      <c r="F101" s="10" t="s">
        <v>605</v>
      </c>
      <c r="G101" s="548" t="s">
        <v>410</v>
      </c>
    </row>
    <row r="102" spans="2:7" ht="15" customHeight="1" x14ac:dyDescent="0.3">
      <c r="B102" s="3" t="s">
        <v>606</v>
      </c>
      <c r="C102" s="528">
        <v>7.5</v>
      </c>
      <c r="D102" s="525">
        <v>13</v>
      </c>
      <c r="F102" s="3" t="s">
        <v>606</v>
      </c>
      <c r="G102" s="525" t="s">
        <v>410</v>
      </c>
    </row>
    <row r="103" spans="2:7" ht="15" customHeight="1" x14ac:dyDescent="0.3">
      <c r="B103" s="10" t="s">
        <v>598</v>
      </c>
      <c r="C103" s="598">
        <v>7.5</v>
      </c>
      <c r="D103" s="548" t="s">
        <v>25</v>
      </c>
      <c r="F103" s="10" t="s">
        <v>598</v>
      </c>
      <c r="G103" s="548" t="s">
        <v>409</v>
      </c>
    </row>
    <row r="104" spans="2:7" ht="15" customHeight="1" x14ac:dyDescent="0.3">
      <c r="B104" s="3" t="s">
        <v>599</v>
      </c>
      <c r="C104" s="528">
        <v>8.5</v>
      </c>
      <c r="D104" s="525" t="s">
        <v>25</v>
      </c>
      <c r="F104" s="3" t="s">
        <v>599</v>
      </c>
      <c r="G104" s="525" t="s">
        <v>409</v>
      </c>
    </row>
    <row r="105" spans="2:7" ht="15" customHeight="1" x14ac:dyDescent="0.3">
      <c r="B105" s="10" t="s">
        <v>600</v>
      </c>
      <c r="C105" s="598">
        <v>8</v>
      </c>
      <c r="D105" s="548" t="s">
        <v>25</v>
      </c>
      <c r="F105" s="17" t="s">
        <v>600</v>
      </c>
      <c r="G105" s="549" t="s">
        <v>409</v>
      </c>
    </row>
    <row r="106" spans="2:7" ht="15" customHeight="1" x14ac:dyDescent="0.3">
      <c r="B106" s="3" t="s">
        <v>80</v>
      </c>
      <c r="C106" s="592">
        <f>Synth!F16</f>
        <v>0</v>
      </c>
      <c r="D106" s="20">
        <f>Synth!F18</f>
        <v>0</v>
      </c>
    </row>
    <row r="107" spans="2:7" ht="15" customHeight="1" x14ac:dyDescent="0.3">
      <c r="B107" s="899" t="s">
        <v>34</v>
      </c>
      <c r="C107" s="900"/>
      <c r="D107" s="21"/>
    </row>
    <row r="108" spans="2:7" ht="15" customHeight="1" x14ac:dyDescent="0.3">
      <c r="B108" s="15" t="s">
        <v>509</v>
      </c>
      <c r="C108" s="532">
        <v>20</v>
      </c>
      <c r="D108" s="471"/>
    </row>
    <row r="113" spans="2:22" ht="15" customHeight="1" x14ac:dyDescent="0.3">
      <c r="B113" s="976" t="s">
        <v>612</v>
      </c>
      <c r="C113" s="976"/>
      <c r="D113" s="976"/>
      <c r="E113" s="976"/>
      <c r="F113" s="976"/>
      <c r="G113" s="976"/>
      <c r="H113" s="976"/>
      <c r="I113" s="976"/>
      <c r="J113" s="976"/>
      <c r="K113" s="976"/>
    </row>
    <row r="114" spans="2:22" ht="15" customHeight="1" x14ac:dyDescent="0.3">
      <c r="B114" s="977" t="s">
        <v>4</v>
      </c>
      <c r="C114" s="977" t="s">
        <v>268</v>
      </c>
      <c r="D114" s="977" t="s">
        <v>76</v>
      </c>
      <c r="E114" s="982" t="s">
        <v>5</v>
      </c>
      <c r="F114" s="983" t="s">
        <v>4</v>
      </c>
      <c r="G114" s="977" t="s">
        <v>268</v>
      </c>
      <c r="H114" s="977" t="s">
        <v>76</v>
      </c>
      <c r="I114" s="978" t="s">
        <v>5</v>
      </c>
      <c r="J114" s="979" t="s">
        <v>4</v>
      </c>
      <c r="K114" s="977" t="s">
        <v>5</v>
      </c>
    </row>
    <row r="115" spans="2:22" ht="15" customHeight="1" x14ac:dyDescent="0.3">
      <c r="B115" s="977"/>
      <c r="C115" s="977"/>
      <c r="D115" s="977"/>
      <c r="E115" s="982"/>
      <c r="F115" s="983"/>
      <c r="G115" s="977"/>
      <c r="H115" s="977"/>
      <c r="I115" s="978"/>
      <c r="J115" s="979"/>
      <c r="K115" s="977"/>
    </row>
    <row r="116" spans="2:22" ht="15" customHeight="1" x14ac:dyDescent="0.3">
      <c r="B116" s="18" t="s">
        <v>691</v>
      </c>
      <c r="C116" s="451"/>
      <c r="D116" s="370" t="s">
        <v>77</v>
      </c>
      <c r="E116" s="550">
        <v>9.75</v>
      </c>
      <c r="F116" s="332" t="s">
        <v>705</v>
      </c>
      <c r="G116" s="451" t="s">
        <v>164</v>
      </c>
      <c r="H116" s="451" t="s">
        <v>84</v>
      </c>
      <c r="I116" s="555">
        <v>11</v>
      </c>
      <c r="J116" s="332" t="s">
        <v>683</v>
      </c>
      <c r="K116" s="557">
        <v>8</v>
      </c>
    </row>
    <row r="117" spans="2:22" ht="15" customHeight="1" x14ac:dyDescent="0.3">
      <c r="B117" s="3" t="s">
        <v>692</v>
      </c>
      <c r="C117" s="452"/>
      <c r="D117" s="492" t="s">
        <v>78</v>
      </c>
      <c r="E117" s="536">
        <v>6.9</v>
      </c>
      <c r="F117" s="443" t="s">
        <v>705</v>
      </c>
      <c r="G117" s="452" t="s">
        <v>164</v>
      </c>
      <c r="H117" s="452" t="s">
        <v>77</v>
      </c>
      <c r="I117" s="553">
        <v>10.75</v>
      </c>
      <c r="J117" s="443" t="s">
        <v>684</v>
      </c>
      <c r="K117" s="486">
        <v>7</v>
      </c>
    </row>
    <row r="118" spans="2:22" ht="15" customHeight="1" x14ac:dyDescent="0.3">
      <c r="B118" s="7" t="s">
        <v>692</v>
      </c>
      <c r="C118" s="453"/>
      <c r="D118" s="357" t="s">
        <v>77</v>
      </c>
      <c r="E118" s="551">
        <v>5.4</v>
      </c>
      <c r="F118" s="9" t="s">
        <v>706</v>
      </c>
      <c r="G118" s="72"/>
      <c r="H118" s="357" t="s">
        <v>81</v>
      </c>
      <c r="I118" s="551">
        <v>6.95</v>
      </c>
      <c r="J118" s="72" t="s">
        <v>685</v>
      </c>
      <c r="K118" s="339">
        <v>6</v>
      </c>
    </row>
    <row r="119" spans="2:22" ht="15" customHeight="1" x14ac:dyDescent="0.3">
      <c r="B119" s="3" t="s">
        <v>693</v>
      </c>
      <c r="C119" s="452"/>
      <c r="D119" s="492" t="s">
        <v>79</v>
      </c>
      <c r="E119" s="536">
        <v>18</v>
      </c>
      <c r="F119" s="443" t="s">
        <v>707</v>
      </c>
      <c r="G119" s="443" t="s">
        <v>397</v>
      </c>
      <c r="H119" s="452" t="s">
        <v>78</v>
      </c>
      <c r="I119" s="553">
        <v>8.6</v>
      </c>
      <c r="J119" s="443" t="s">
        <v>686</v>
      </c>
      <c r="K119" s="486">
        <v>5.5</v>
      </c>
    </row>
    <row r="120" spans="2:22" ht="15" customHeight="1" x14ac:dyDescent="0.3">
      <c r="B120" s="273" t="s">
        <v>693</v>
      </c>
      <c r="C120" s="72"/>
      <c r="D120" s="72" t="s">
        <v>403</v>
      </c>
      <c r="E120" s="551">
        <v>19.5</v>
      </c>
      <c r="F120" s="9" t="s">
        <v>707</v>
      </c>
      <c r="G120" s="72" t="s">
        <v>397</v>
      </c>
      <c r="H120" s="357" t="s">
        <v>77</v>
      </c>
      <c r="I120" s="551">
        <v>7.1</v>
      </c>
      <c r="J120" s="72" t="s">
        <v>687</v>
      </c>
      <c r="K120" s="339">
        <v>5</v>
      </c>
    </row>
    <row r="121" spans="2:22" ht="15" customHeight="1" x14ac:dyDescent="0.3">
      <c r="B121" s="3" t="s">
        <v>693</v>
      </c>
      <c r="C121" s="452"/>
      <c r="D121" s="492" t="s">
        <v>77</v>
      </c>
      <c r="E121" s="536">
        <v>15</v>
      </c>
      <c r="F121" s="5" t="s">
        <v>707</v>
      </c>
      <c r="G121" s="443" t="s">
        <v>163</v>
      </c>
      <c r="H121" s="492" t="s">
        <v>78</v>
      </c>
      <c r="I121" s="536">
        <v>9.3000000000000007</v>
      </c>
      <c r="J121" s="443" t="s">
        <v>30</v>
      </c>
      <c r="K121" s="450">
        <f>Rigid!L20</f>
        <v>0</v>
      </c>
    </row>
    <row r="122" spans="2:22" ht="15" customHeight="1" x14ac:dyDescent="0.3">
      <c r="B122" s="228" t="s">
        <v>694</v>
      </c>
      <c r="C122" s="454"/>
      <c r="D122" s="357" t="s">
        <v>77</v>
      </c>
      <c r="E122" s="552">
        <v>7</v>
      </c>
      <c r="F122" s="9" t="s">
        <v>707</v>
      </c>
      <c r="G122" s="72" t="s">
        <v>163</v>
      </c>
      <c r="H122" s="357" t="s">
        <v>77</v>
      </c>
      <c r="I122" s="551">
        <v>7.8</v>
      </c>
      <c r="J122" s="72" t="s">
        <v>689</v>
      </c>
      <c r="K122" s="339">
        <v>1.75</v>
      </c>
      <c r="N122" s="322"/>
    </row>
    <row r="123" spans="2:22" ht="15" customHeight="1" x14ac:dyDescent="0.3">
      <c r="B123" s="384" t="s">
        <v>695</v>
      </c>
      <c r="C123" s="456" t="s">
        <v>399</v>
      </c>
      <c r="D123" s="492" t="s">
        <v>77</v>
      </c>
      <c r="E123" s="553">
        <v>6.75</v>
      </c>
      <c r="F123" s="5" t="s">
        <v>707</v>
      </c>
      <c r="G123" s="443" t="s">
        <v>164</v>
      </c>
      <c r="H123" s="492" t="s">
        <v>78</v>
      </c>
      <c r="I123" s="536">
        <v>10.1</v>
      </c>
      <c r="J123" s="5" t="s">
        <v>688</v>
      </c>
      <c r="K123" s="544">
        <v>1</v>
      </c>
      <c r="N123" s="322"/>
    </row>
    <row r="124" spans="2:22" ht="15" customHeight="1" x14ac:dyDescent="0.3">
      <c r="B124" s="228" t="s">
        <v>695</v>
      </c>
      <c r="C124" s="454" t="s">
        <v>402</v>
      </c>
      <c r="D124" s="357" t="s">
        <v>77</v>
      </c>
      <c r="E124" s="554">
        <v>9.25</v>
      </c>
      <c r="F124" s="9" t="s">
        <v>707</v>
      </c>
      <c r="G124" s="72" t="s">
        <v>164</v>
      </c>
      <c r="H124" s="357" t="s">
        <v>77</v>
      </c>
      <c r="I124" s="551">
        <v>8.6</v>
      </c>
      <c r="J124" s="9" t="s">
        <v>690</v>
      </c>
      <c r="K124" s="359">
        <v>1.75</v>
      </c>
      <c r="N124" s="322"/>
    </row>
    <row r="125" spans="2:22" ht="15" customHeight="1" x14ac:dyDescent="0.3">
      <c r="B125" s="457" t="s">
        <v>695</v>
      </c>
      <c r="C125" s="452" t="s">
        <v>163</v>
      </c>
      <c r="D125" s="492" t="s">
        <v>77</v>
      </c>
      <c r="E125" s="523">
        <v>11.85</v>
      </c>
      <c r="F125" s="5" t="s">
        <v>707</v>
      </c>
      <c r="G125" s="443" t="s">
        <v>165</v>
      </c>
      <c r="H125" s="492" t="s">
        <v>78</v>
      </c>
      <c r="I125" s="536">
        <v>12.3</v>
      </c>
      <c r="J125" s="5" t="s">
        <v>510</v>
      </c>
      <c r="K125" s="544">
        <v>7.5</v>
      </c>
    </row>
    <row r="126" spans="2:22" ht="15" customHeight="1" x14ac:dyDescent="0.3">
      <c r="B126" s="7" t="s">
        <v>696</v>
      </c>
      <c r="C126" s="453" t="s">
        <v>398</v>
      </c>
      <c r="D126" s="357" t="s">
        <v>77</v>
      </c>
      <c r="E126" s="551">
        <v>5</v>
      </c>
      <c r="F126" s="9" t="s">
        <v>707</v>
      </c>
      <c r="G126" s="72" t="s">
        <v>165</v>
      </c>
      <c r="H126" s="357" t="s">
        <v>77</v>
      </c>
      <c r="I126" s="551">
        <v>10.8</v>
      </c>
      <c r="J126" s="9" t="s">
        <v>509</v>
      </c>
      <c r="K126" s="359">
        <v>20</v>
      </c>
    </row>
    <row r="127" spans="2:22" ht="15" customHeight="1" x14ac:dyDescent="0.3">
      <c r="B127" s="3" t="s">
        <v>697</v>
      </c>
      <c r="C127" s="452"/>
      <c r="D127" s="492" t="s">
        <v>77</v>
      </c>
      <c r="E127" s="536">
        <v>8</v>
      </c>
      <c r="F127" s="5" t="s">
        <v>708</v>
      </c>
      <c r="G127" s="443" t="s">
        <v>399</v>
      </c>
      <c r="H127" s="492" t="s">
        <v>77</v>
      </c>
      <c r="I127" s="536">
        <v>5.75</v>
      </c>
      <c r="J127" s="994" t="s">
        <v>34</v>
      </c>
      <c r="K127" s="995"/>
      <c r="U127" s="975"/>
      <c r="V127" s="975"/>
    </row>
    <row r="128" spans="2:22" ht="15" customHeight="1" x14ac:dyDescent="0.3">
      <c r="B128" s="273" t="s">
        <v>698</v>
      </c>
      <c r="C128" s="453"/>
      <c r="D128" s="453" t="s">
        <v>77</v>
      </c>
      <c r="E128" s="554">
        <v>8</v>
      </c>
      <c r="F128" s="9" t="s">
        <v>708</v>
      </c>
      <c r="G128" s="72" t="s">
        <v>400</v>
      </c>
      <c r="H128" s="357" t="s">
        <v>77</v>
      </c>
      <c r="I128" s="551">
        <v>6.1</v>
      </c>
      <c r="J128" s="9"/>
      <c r="K128" s="205"/>
    </row>
    <row r="129" spans="2:12" ht="15" customHeight="1" x14ac:dyDescent="0.3">
      <c r="B129" s="3" t="s">
        <v>699</v>
      </c>
      <c r="C129" s="443"/>
      <c r="D129" s="492" t="s">
        <v>77</v>
      </c>
      <c r="E129" s="536">
        <v>10.5</v>
      </c>
      <c r="F129" s="5" t="s">
        <v>708</v>
      </c>
      <c r="G129" s="443" t="s">
        <v>401</v>
      </c>
      <c r="H129" s="492" t="s">
        <v>77</v>
      </c>
      <c r="I129" s="536">
        <v>6.4</v>
      </c>
      <c r="J129" s="5"/>
      <c r="K129" s="63"/>
      <c r="L129" s="249"/>
    </row>
    <row r="130" spans="2:12" ht="15" customHeight="1" x14ac:dyDescent="0.3">
      <c r="B130" s="7" t="s">
        <v>700</v>
      </c>
      <c r="C130" s="72" t="s">
        <v>520</v>
      </c>
      <c r="D130" s="357" t="s">
        <v>77</v>
      </c>
      <c r="E130" s="551">
        <v>15</v>
      </c>
      <c r="F130" s="9" t="s">
        <v>708</v>
      </c>
      <c r="G130" s="72" t="s">
        <v>402</v>
      </c>
      <c r="H130" s="357" t="s">
        <v>77</v>
      </c>
      <c r="I130" s="551">
        <v>7.2</v>
      </c>
      <c r="J130" s="72"/>
      <c r="K130" s="458"/>
      <c r="L130" s="249"/>
    </row>
    <row r="131" spans="2:12" ht="15" customHeight="1" x14ac:dyDescent="0.3">
      <c r="B131" s="3" t="s">
        <v>700</v>
      </c>
      <c r="C131" s="443" t="s">
        <v>521</v>
      </c>
      <c r="D131" s="492" t="s">
        <v>77</v>
      </c>
      <c r="E131" s="536">
        <v>10</v>
      </c>
      <c r="F131" s="5" t="s">
        <v>82</v>
      </c>
      <c r="G131" s="443"/>
      <c r="H131" s="492" t="s">
        <v>83</v>
      </c>
      <c r="I131" s="536">
        <v>8.6</v>
      </c>
      <c r="J131" s="443"/>
      <c r="K131" s="444"/>
      <c r="L131" s="249"/>
    </row>
    <row r="132" spans="2:12" ht="15" customHeight="1" x14ac:dyDescent="0.3">
      <c r="B132" s="7" t="s">
        <v>701</v>
      </c>
      <c r="C132" s="72"/>
      <c r="D132" s="357" t="s">
        <v>77</v>
      </c>
      <c r="E132" s="551">
        <v>8</v>
      </c>
      <c r="F132" s="9" t="s">
        <v>82</v>
      </c>
      <c r="G132" s="72"/>
      <c r="H132" s="357" t="s">
        <v>77</v>
      </c>
      <c r="I132" s="551">
        <v>7.1</v>
      </c>
      <c r="J132" s="72"/>
      <c r="K132" s="458"/>
      <c r="L132" s="249"/>
    </row>
    <row r="133" spans="2:12" ht="15" customHeight="1" x14ac:dyDescent="0.3">
      <c r="B133" s="3" t="s">
        <v>702</v>
      </c>
      <c r="C133" s="443"/>
      <c r="D133" s="492" t="s">
        <v>77</v>
      </c>
      <c r="E133" s="536">
        <v>8.5</v>
      </c>
      <c r="F133" s="5" t="s">
        <v>709</v>
      </c>
      <c r="G133" s="443"/>
      <c r="H133" s="492" t="s">
        <v>77</v>
      </c>
      <c r="I133" s="536">
        <v>7.25</v>
      </c>
      <c r="J133" s="443"/>
      <c r="K133" s="444"/>
      <c r="L133" s="249"/>
    </row>
    <row r="134" spans="2:12" ht="15" customHeight="1" x14ac:dyDescent="0.3">
      <c r="B134" s="7" t="s">
        <v>703</v>
      </c>
      <c r="C134" s="72"/>
      <c r="D134" s="357" t="s">
        <v>77</v>
      </c>
      <c r="E134" s="551">
        <v>10</v>
      </c>
      <c r="F134" s="9" t="s">
        <v>387</v>
      </c>
      <c r="G134" s="72"/>
      <c r="H134" s="357" t="s">
        <v>77</v>
      </c>
      <c r="I134" s="551">
        <v>13</v>
      </c>
      <c r="J134" s="72"/>
      <c r="K134" s="458"/>
      <c r="L134" s="249"/>
    </row>
    <row r="135" spans="2:12" ht="15" customHeight="1" x14ac:dyDescent="0.3">
      <c r="B135" s="3" t="s">
        <v>755</v>
      </c>
      <c r="C135" s="443" t="s">
        <v>163</v>
      </c>
      <c r="D135" s="492" t="s">
        <v>81</v>
      </c>
      <c r="E135" s="536">
        <v>10</v>
      </c>
      <c r="F135" s="5" t="s">
        <v>710</v>
      </c>
      <c r="G135" s="443" t="s">
        <v>398</v>
      </c>
      <c r="H135" s="492" t="s">
        <v>78</v>
      </c>
      <c r="I135" s="536">
        <v>9.9</v>
      </c>
      <c r="J135" s="443"/>
      <c r="K135" s="444"/>
      <c r="L135" s="249"/>
    </row>
    <row r="136" spans="2:12" ht="15" customHeight="1" x14ac:dyDescent="0.3">
      <c r="B136" s="7" t="s">
        <v>755</v>
      </c>
      <c r="C136" s="72" t="s">
        <v>163</v>
      </c>
      <c r="D136" s="357" t="s">
        <v>84</v>
      </c>
      <c r="E136" s="551">
        <v>10.5</v>
      </c>
      <c r="F136" s="9" t="s">
        <v>710</v>
      </c>
      <c r="G136" s="72" t="s">
        <v>398</v>
      </c>
      <c r="H136" s="357" t="s">
        <v>77</v>
      </c>
      <c r="I136" s="551">
        <v>8.4</v>
      </c>
      <c r="J136" s="72"/>
      <c r="K136" s="458"/>
      <c r="L136" s="249"/>
    </row>
    <row r="137" spans="2:12" ht="15" customHeight="1" x14ac:dyDescent="0.3">
      <c r="B137" s="3" t="s">
        <v>755</v>
      </c>
      <c r="C137" s="443" t="s">
        <v>164</v>
      </c>
      <c r="D137" s="492" t="s">
        <v>81</v>
      </c>
      <c r="E137" s="536">
        <v>11.5</v>
      </c>
      <c r="F137" s="5" t="s">
        <v>710</v>
      </c>
      <c r="G137" s="443" t="s">
        <v>165</v>
      </c>
      <c r="H137" s="492" t="s">
        <v>78</v>
      </c>
      <c r="I137" s="536">
        <v>9.9</v>
      </c>
      <c r="J137" s="5"/>
      <c r="K137" s="63"/>
      <c r="L137" s="249"/>
    </row>
    <row r="138" spans="2:12" ht="15" customHeight="1" x14ac:dyDescent="0.3">
      <c r="B138" s="7" t="s">
        <v>755</v>
      </c>
      <c r="C138" s="72" t="s">
        <v>164</v>
      </c>
      <c r="D138" s="357" t="s">
        <v>84</v>
      </c>
      <c r="E138" s="551">
        <v>12</v>
      </c>
      <c r="F138" s="9" t="s">
        <v>710</v>
      </c>
      <c r="G138" s="72" t="s">
        <v>165</v>
      </c>
      <c r="H138" s="357" t="s">
        <v>77</v>
      </c>
      <c r="I138" s="551">
        <v>8.4</v>
      </c>
      <c r="J138" s="9"/>
      <c r="K138" s="205"/>
      <c r="L138" s="249"/>
    </row>
    <row r="139" spans="2:12" ht="15" customHeight="1" x14ac:dyDescent="0.3">
      <c r="B139" s="3" t="s">
        <v>705</v>
      </c>
      <c r="C139" s="443" t="s">
        <v>397</v>
      </c>
      <c r="D139" s="492" t="s">
        <v>81</v>
      </c>
      <c r="E139" s="536">
        <v>8.5</v>
      </c>
      <c r="F139" s="5" t="s">
        <v>711</v>
      </c>
      <c r="G139" s="443"/>
      <c r="H139" s="492" t="s">
        <v>77</v>
      </c>
      <c r="I139" s="536">
        <v>9</v>
      </c>
      <c r="J139" s="5"/>
      <c r="K139" s="63"/>
      <c r="L139" s="249"/>
    </row>
    <row r="140" spans="2:12" ht="15" customHeight="1" x14ac:dyDescent="0.3">
      <c r="B140" s="7" t="s">
        <v>705</v>
      </c>
      <c r="C140" s="72" t="s">
        <v>397</v>
      </c>
      <c r="D140" s="357" t="s">
        <v>84</v>
      </c>
      <c r="E140" s="551">
        <v>9</v>
      </c>
      <c r="F140" s="9" t="s">
        <v>712</v>
      </c>
      <c r="G140" s="72"/>
      <c r="H140" s="357" t="s">
        <v>77</v>
      </c>
      <c r="I140" s="551">
        <v>12</v>
      </c>
      <c r="J140" s="9"/>
      <c r="K140" s="205"/>
      <c r="L140" s="249"/>
    </row>
    <row r="141" spans="2:12" ht="15" customHeight="1" x14ac:dyDescent="0.3">
      <c r="B141" s="3" t="s">
        <v>705</v>
      </c>
      <c r="C141" s="443" t="s">
        <v>163</v>
      </c>
      <c r="D141" s="492" t="s">
        <v>81</v>
      </c>
      <c r="E141" s="536">
        <v>9</v>
      </c>
      <c r="F141" s="5" t="s">
        <v>713</v>
      </c>
      <c r="G141" s="443"/>
      <c r="H141" s="492" t="s">
        <v>78</v>
      </c>
      <c r="I141" s="536">
        <v>8.25</v>
      </c>
      <c r="J141" s="443"/>
      <c r="K141" s="444"/>
      <c r="L141" s="249"/>
    </row>
    <row r="142" spans="2:12" ht="15" customHeight="1" x14ac:dyDescent="0.3">
      <c r="B142" s="7" t="s">
        <v>705</v>
      </c>
      <c r="C142" s="72" t="s">
        <v>163</v>
      </c>
      <c r="D142" s="357" t="s">
        <v>84</v>
      </c>
      <c r="E142" s="551">
        <v>9.75</v>
      </c>
      <c r="F142" s="9" t="s">
        <v>714</v>
      </c>
      <c r="G142" s="72"/>
      <c r="H142" s="357" t="s">
        <v>81</v>
      </c>
      <c r="I142" s="551">
        <v>8.5</v>
      </c>
      <c r="J142" s="95"/>
      <c r="K142" s="323"/>
      <c r="L142" s="249"/>
    </row>
    <row r="143" spans="2:12" ht="15" customHeight="1" x14ac:dyDescent="0.3">
      <c r="B143" s="3" t="s">
        <v>705</v>
      </c>
      <c r="C143" s="443" t="s">
        <v>163</v>
      </c>
      <c r="D143" s="492" t="s">
        <v>77</v>
      </c>
      <c r="E143" s="536">
        <v>9.5</v>
      </c>
      <c r="F143" s="443" t="s">
        <v>715</v>
      </c>
      <c r="G143" s="443"/>
      <c r="H143" s="443" t="s">
        <v>81</v>
      </c>
      <c r="I143" s="536">
        <v>6.95</v>
      </c>
      <c r="J143" s="443"/>
      <c r="K143" s="444"/>
      <c r="L143" s="249"/>
    </row>
    <row r="144" spans="2:12" ht="15" customHeight="1" x14ac:dyDescent="0.3">
      <c r="B144" s="17" t="s">
        <v>705</v>
      </c>
      <c r="C144" s="470" t="s">
        <v>164</v>
      </c>
      <c r="D144" s="480" t="s">
        <v>81</v>
      </c>
      <c r="E144" s="619">
        <v>10.5</v>
      </c>
      <c r="F144" s="620"/>
      <c r="G144" s="470"/>
      <c r="H144" s="470"/>
      <c r="I144" s="625"/>
      <c r="J144" s="470"/>
      <c r="K144" s="618"/>
      <c r="L144" s="249"/>
    </row>
    <row r="145" spans="2:13" ht="15" customHeight="1" x14ac:dyDescent="0.3">
      <c r="L145" s="249"/>
    </row>
    <row r="146" spans="2:13" ht="15" customHeight="1" x14ac:dyDescent="0.3">
      <c r="L146" s="249"/>
      <c r="M146" s="249"/>
    </row>
    <row r="147" spans="2:13" ht="15" customHeight="1" x14ac:dyDescent="0.3">
      <c r="L147" s="249"/>
      <c r="M147" s="249"/>
    </row>
    <row r="148" spans="2:13" ht="15" customHeight="1" x14ac:dyDescent="0.3">
      <c r="L148" s="249"/>
      <c r="M148" s="249"/>
    </row>
    <row r="149" spans="2:13" ht="15" customHeight="1" x14ac:dyDescent="0.3">
      <c r="B149" s="976" t="s">
        <v>613</v>
      </c>
      <c r="C149" s="976"/>
      <c r="D149" s="976"/>
      <c r="E149" s="976"/>
      <c r="F149" s="976"/>
      <c r="G149" s="976"/>
      <c r="H149" s="976"/>
      <c r="I149" s="976"/>
    </row>
    <row r="150" spans="2:13" ht="15" customHeight="1" x14ac:dyDescent="0.3">
      <c r="B150" s="977" t="s">
        <v>4</v>
      </c>
      <c r="C150" s="977" t="s">
        <v>268</v>
      </c>
      <c r="D150" s="977" t="s">
        <v>76</v>
      </c>
      <c r="E150" s="978" t="s">
        <v>414</v>
      </c>
      <c r="F150" s="979" t="s">
        <v>4</v>
      </c>
      <c r="G150" s="977" t="s">
        <v>268</v>
      </c>
      <c r="H150" s="977" t="s">
        <v>76</v>
      </c>
      <c r="I150" s="977" t="s">
        <v>414</v>
      </c>
    </row>
    <row r="151" spans="2:13" ht="15" customHeight="1" x14ac:dyDescent="0.3">
      <c r="B151" s="977"/>
      <c r="C151" s="977"/>
      <c r="D151" s="977"/>
      <c r="E151" s="978"/>
      <c r="F151" s="979"/>
      <c r="G151" s="977"/>
      <c r="H151" s="977"/>
      <c r="I151" s="977"/>
    </row>
    <row r="152" spans="2:13" ht="15" customHeight="1" x14ac:dyDescent="0.3">
      <c r="B152" s="18" t="s">
        <v>691</v>
      </c>
      <c r="C152" s="451"/>
      <c r="D152" s="370" t="s">
        <v>77</v>
      </c>
      <c r="E152" s="550" t="s">
        <v>417</v>
      </c>
      <c r="F152" s="332" t="s">
        <v>705</v>
      </c>
      <c r="G152" s="451" t="s">
        <v>164</v>
      </c>
      <c r="H152" s="451" t="s">
        <v>84</v>
      </c>
      <c r="I152" s="557" t="s">
        <v>75</v>
      </c>
    </row>
    <row r="153" spans="2:13" ht="15" customHeight="1" x14ac:dyDescent="0.3">
      <c r="B153" s="3" t="s">
        <v>692</v>
      </c>
      <c r="C153" s="452"/>
      <c r="D153" s="492" t="s">
        <v>78</v>
      </c>
      <c r="E153" s="536" t="s">
        <v>417</v>
      </c>
      <c r="F153" s="443" t="s">
        <v>705</v>
      </c>
      <c r="G153" s="452" t="s">
        <v>164</v>
      </c>
      <c r="H153" s="452" t="s">
        <v>77</v>
      </c>
      <c r="I153" s="486" t="s">
        <v>75</v>
      </c>
    </row>
    <row r="154" spans="2:13" ht="15" customHeight="1" x14ac:dyDescent="0.3">
      <c r="B154" s="7" t="s">
        <v>692</v>
      </c>
      <c r="C154" s="453"/>
      <c r="D154" s="357" t="s">
        <v>77</v>
      </c>
      <c r="E154" s="551" t="s">
        <v>75</v>
      </c>
      <c r="F154" s="9" t="s">
        <v>706</v>
      </c>
      <c r="G154" s="72"/>
      <c r="H154" s="357" t="s">
        <v>81</v>
      </c>
      <c r="I154" s="359" t="s">
        <v>417</v>
      </c>
    </row>
    <row r="155" spans="2:13" ht="15" customHeight="1" x14ac:dyDescent="0.3">
      <c r="B155" s="3" t="s">
        <v>693</v>
      </c>
      <c r="C155" s="452"/>
      <c r="D155" s="492" t="s">
        <v>79</v>
      </c>
      <c r="E155" s="536" t="s">
        <v>75</v>
      </c>
      <c r="F155" s="443" t="s">
        <v>707</v>
      </c>
      <c r="G155" s="443" t="s">
        <v>397</v>
      </c>
      <c r="H155" s="452" t="s">
        <v>78</v>
      </c>
      <c r="I155" s="486" t="s">
        <v>75</v>
      </c>
    </row>
    <row r="156" spans="2:13" ht="15" customHeight="1" x14ac:dyDescent="0.3">
      <c r="B156" s="273" t="s">
        <v>693</v>
      </c>
      <c r="C156" s="72"/>
      <c r="D156" s="72" t="s">
        <v>403</v>
      </c>
      <c r="E156" s="551" t="s">
        <v>75</v>
      </c>
      <c r="F156" s="9" t="s">
        <v>707</v>
      </c>
      <c r="G156" s="72" t="s">
        <v>397</v>
      </c>
      <c r="H156" s="357" t="s">
        <v>77</v>
      </c>
      <c r="I156" s="359" t="s">
        <v>75</v>
      </c>
    </row>
    <row r="157" spans="2:13" ht="15" customHeight="1" x14ac:dyDescent="0.3">
      <c r="B157" s="3" t="s">
        <v>693</v>
      </c>
      <c r="C157" s="452"/>
      <c r="D157" s="492" t="s">
        <v>77</v>
      </c>
      <c r="E157" s="536" t="s">
        <v>75</v>
      </c>
      <c r="F157" s="5" t="s">
        <v>707</v>
      </c>
      <c r="G157" s="443" t="s">
        <v>163</v>
      </c>
      <c r="H157" s="492" t="s">
        <v>78</v>
      </c>
      <c r="I157" s="544" t="s">
        <v>75</v>
      </c>
    </row>
    <row r="158" spans="2:13" ht="15" customHeight="1" x14ac:dyDescent="0.3">
      <c r="B158" s="273" t="s">
        <v>694</v>
      </c>
      <c r="C158" s="72"/>
      <c r="D158" s="357" t="s">
        <v>77</v>
      </c>
      <c r="E158" s="551" t="s">
        <v>417</v>
      </c>
      <c r="F158" s="9" t="s">
        <v>707</v>
      </c>
      <c r="G158" s="72" t="s">
        <v>163</v>
      </c>
      <c r="H158" s="357" t="s">
        <v>77</v>
      </c>
      <c r="I158" s="359" t="s">
        <v>75</v>
      </c>
    </row>
    <row r="159" spans="2:13" ht="15" customHeight="1" x14ac:dyDescent="0.3">
      <c r="B159" s="457" t="s">
        <v>695</v>
      </c>
      <c r="C159" s="443" t="s">
        <v>399</v>
      </c>
      <c r="D159" s="492" t="s">
        <v>77</v>
      </c>
      <c r="E159" s="536" t="s">
        <v>75</v>
      </c>
      <c r="F159" s="5" t="s">
        <v>707</v>
      </c>
      <c r="G159" s="443" t="s">
        <v>164</v>
      </c>
      <c r="H159" s="492" t="s">
        <v>78</v>
      </c>
      <c r="I159" s="544" t="s">
        <v>75</v>
      </c>
    </row>
    <row r="160" spans="2:13" ht="15" customHeight="1" x14ac:dyDescent="0.3">
      <c r="B160" s="273" t="s">
        <v>695</v>
      </c>
      <c r="C160" s="72" t="s">
        <v>402</v>
      </c>
      <c r="D160" s="357" t="s">
        <v>77</v>
      </c>
      <c r="E160" s="551" t="s">
        <v>75</v>
      </c>
      <c r="F160" s="9" t="s">
        <v>707</v>
      </c>
      <c r="G160" s="72" t="s">
        <v>164</v>
      </c>
      <c r="H160" s="357" t="s">
        <v>77</v>
      </c>
      <c r="I160" s="359" t="s">
        <v>75</v>
      </c>
    </row>
    <row r="161" spans="2:9" ht="15" customHeight="1" x14ac:dyDescent="0.3">
      <c r="B161" s="457" t="s">
        <v>695</v>
      </c>
      <c r="C161" s="452" t="s">
        <v>163</v>
      </c>
      <c r="D161" s="492" t="s">
        <v>77</v>
      </c>
      <c r="E161" s="556" t="s">
        <v>75</v>
      </c>
      <c r="F161" s="5" t="s">
        <v>707</v>
      </c>
      <c r="G161" s="443" t="s">
        <v>165</v>
      </c>
      <c r="H161" s="492" t="s">
        <v>78</v>
      </c>
      <c r="I161" s="544" t="s">
        <v>75</v>
      </c>
    </row>
    <row r="162" spans="2:9" ht="15" customHeight="1" x14ac:dyDescent="0.3">
      <c r="B162" s="7" t="s">
        <v>461</v>
      </c>
      <c r="C162" s="453" t="s">
        <v>398</v>
      </c>
      <c r="D162" s="357" t="s">
        <v>77</v>
      </c>
      <c r="E162" s="551" t="s">
        <v>75</v>
      </c>
      <c r="F162" s="9" t="s">
        <v>707</v>
      </c>
      <c r="G162" s="72" t="s">
        <v>165</v>
      </c>
      <c r="H162" s="357" t="s">
        <v>77</v>
      </c>
      <c r="I162" s="359" t="s">
        <v>75</v>
      </c>
    </row>
    <row r="163" spans="2:9" ht="15" customHeight="1" x14ac:dyDescent="0.3">
      <c r="B163" s="3" t="s">
        <v>697</v>
      </c>
      <c r="C163" s="452"/>
      <c r="D163" s="492" t="s">
        <v>77</v>
      </c>
      <c r="E163" s="536" t="s">
        <v>417</v>
      </c>
      <c r="F163" s="5" t="s">
        <v>708</v>
      </c>
      <c r="G163" s="443" t="s">
        <v>399</v>
      </c>
      <c r="H163" s="492" t="s">
        <v>77</v>
      </c>
      <c r="I163" s="544" t="s">
        <v>75</v>
      </c>
    </row>
    <row r="164" spans="2:9" ht="15" customHeight="1" x14ac:dyDescent="0.3">
      <c r="B164" s="273" t="s">
        <v>698</v>
      </c>
      <c r="C164" s="453"/>
      <c r="D164" s="453" t="s">
        <v>77</v>
      </c>
      <c r="E164" s="554" t="s">
        <v>417</v>
      </c>
      <c r="F164" s="9" t="s">
        <v>708</v>
      </c>
      <c r="G164" s="72" t="s">
        <v>400</v>
      </c>
      <c r="H164" s="357" t="s">
        <v>77</v>
      </c>
      <c r="I164" s="359" t="s">
        <v>75</v>
      </c>
    </row>
    <row r="165" spans="2:9" ht="15" customHeight="1" x14ac:dyDescent="0.3">
      <c r="B165" s="3" t="s">
        <v>699</v>
      </c>
      <c r="C165" s="443"/>
      <c r="D165" s="492" t="s">
        <v>77</v>
      </c>
      <c r="E165" s="536" t="s">
        <v>417</v>
      </c>
      <c r="F165" s="5" t="s">
        <v>708</v>
      </c>
      <c r="G165" s="443" t="s">
        <v>401</v>
      </c>
      <c r="H165" s="492" t="s">
        <v>77</v>
      </c>
      <c r="I165" s="544" t="s">
        <v>75</v>
      </c>
    </row>
    <row r="166" spans="2:9" ht="15" customHeight="1" x14ac:dyDescent="0.3">
      <c r="B166" s="7" t="s">
        <v>700</v>
      </c>
      <c r="C166" s="72" t="s">
        <v>520</v>
      </c>
      <c r="D166" s="357" t="s">
        <v>77</v>
      </c>
      <c r="E166" s="551" t="s">
        <v>417</v>
      </c>
      <c r="F166" s="9" t="s">
        <v>708</v>
      </c>
      <c r="G166" s="72" t="s">
        <v>402</v>
      </c>
      <c r="H166" s="357" t="s">
        <v>77</v>
      </c>
      <c r="I166" s="359" t="s">
        <v>75</v>
      </c>
    </row>
    <row r="167" spans="2:9" ht="15" customHeight="1" x14ac:dyDescent="0.3">
      <c r="B167" s="3" t="s">
        <v>700</v>
      </c>
      <c r="C167" s="443" t="s">
        <v>521</v>
      </c>
      <c r="D167" s="492" t="s">
        <v>77</v>
      </c>
      <c r="E167" s="536" t="s">
        <v>417</v>
      </c>
      <c r="F167" s="5" t="s">
        <v>82</v>
      </c>
      <c r="G167" s="443"/>
      <c r="H167" s="492" t="s">
        <v>83</v>
      </c>
      <c r="I167" s="544" t="s">
        <v>75</v>
      </c>
    </row>
    <row r="168" spans="2:9" ht="15" customHeight="1" x14ac:dyDescent="0.3">
      <c r="B168" s="7" t="s">
        <v>701</v>
      </c>
      <c r="C168" s="72"/>
      <c r="D168" s="357" t="s">
        <v>77</v>
      </c>
      <c r="E168" s="551" t="s">
        <v>417</v>
      </c>
      <c r="F168" s="9" t="s">
        <v>82</v>
      </c>
      <c r="G168" s="72"/>
      <c r="H168" s="357" t="s">
        <v>77</v>
      </c>
      <c r="I168" s="359" t="s">
        <v>75</v>
      </c>
    </row>
    <row r="169" spans="2:9" ht="15" customHeight="1" x14ac:dyDescent="0.3">
      <c r="B169" s="3" t="s">
        <v>702</v>
      </c>
      <c r="C169" s="443"/>
      <c r="D169" s="492" t="s">
        <v>77</v>
      </c>
      <c r="E169" s="536" t="s">
        <v>417</v>
      </c>
      <c r="F169" s="5" t="s">
        <v>709</v>
      </c>
      <c r="G169" s="443"/>
      <c r="H169" s="492" t="s">
        <v>77</v>
      </c>
      <c r="I169" s="544" t="s">
        <v>75</v>
      </c>
    </row>
    <row r="170" spans="2:9" ht="15" customHeight="1" x14ac:dyDescent="0.3">
      <c r="B170" s="7" t="s">
        <v>703</v>
      </c>
      <c r="C170" s="72"/>
      <c r="D170" s="357" t="s">
        <v>77</v>
      </c>
      <c r="E170" s="551" t="s">
        <v>417</v>
      </c>
      <c r="F170" s="9" t="s">
        <v>387</v>
      </c>
      <c r="G170" s="72"/>
      <c r="H170" s="357" t="s">
        <v>77</v>
      </c>
      <c r="I170" s="359" t="s">
        <v>417</v>
      </c>
    </row>
    <row r="171" spans="2:9" ht="15" customHeight="1" x14ac:dyDescent="0.3">
      <c r="B171" s="3" t="s">
        <v>755</v>
      </c>
      <c r="C171" s="443" t="s">
        <v>163</v>
      </c>
      <c r="D171" s="492" t="s">
        <v>81</v>
      </c>
      <c r="E171" s="536" t="s">
        <v>75</v>
      </c>
      <c r="F171" s="5" t="s">
        <v>710</v>
      </c>
      <c r="G171" s="443" t="s">
        <v>398</v>
      </c>
      <c r="H171" s="492" t="s">
        <v>78</v>
      </c>
      <c r="I171" s="544" t="s">
        <v>75</v>
      </c>
    </row>
    <row r="172" spans="2:9" ht="15" customHeight="1" x14ac:dyDescent="0.3">
      <c r="B172" s="7" t="s">
        <v>755</v>
      </c>
      <c r="C172" s="72" t="s">
        <v>163</v>
      </c>
      <c r="D172" s="357" t="s">
        <v>84</v>
      </c>
      <c r="E172" s="551" t="s">
        <v>75</v>
      </c>
      <c r="F172" s="9" t="s">
        <v>710</v>
      </c>
      <c r="G172" s="72" t="s">
        <v>398</v>
      </c>
      <c r="H172" s="357" t="s">
        <v>77</v>
      </c>
      <c r="I172" s="359" t="s">
        <v>75</v>
      </c>
    </row>
    <row r="173" spans="2:9" ht="15" customHeight="1" x14ac:dyDescent="0.3">
      <c r="B173" s="3" t="s">
        <v>755</v>
      </c>
      <c r="C173" s="443" t="s">
        <v>164</v>
      </c>
      <c r="D173" s="492" t="s">
        <v>81</v>
      </c>
      <c r="E173" s="536" t="s">
        <v>75</v>
      </c>
      <c r="F173" s="5" t="s">
        <v>710</v>
      </c>
      <c r="G173" s="443" t="s">
        <v>165</v>
      </c>
      <c r="H173" s="492" t="s">
        <v>78</v>
      </c>
      <c r="I173" s="544" t="s">
        <v>75</v>
      </c>
    </row>
    <row r="174" spans="2:9" ht="15" customHeight="1" x14ac:dyDescent="0.3">
      <c r="B174" s="7" t="s">
        <v>755</v>
      </c>
      <c r="C174" s="72" t="s">
        <v>164</v>
      </c>
      <c r="D174" s="357" t="s">
        <v>84</v>
      </c>
      <c r="E174" s="551" t="s">
        <v>75</v>
      </c>
      <c r="F174" s="9" t="s">
        <v>710</v>
      </c>
      <c r="G174" s="72" t="s">
        <v>165</v>
      </c>
      <c r="H174" s="357" t="s">
        <v>77</v>
      </c>
      <c r="I174" s="359" t="s">
        <v>75</v>
      </c>
    </row>
    <row r="175" spans="2:9" ht="15" customHeight="1" x14ac:dyDescent="0.3">
      <c r="B175" s="3" t="s">
        <v>705</v>
      </c>
      <c r="C175" s="443" t="s">
        <v>397</v>
      </c>
      <c r="D175" s="492" t="s">
        <v>81</v>
      </c>
      <c r="E175" s="536" t="s">
        <v>75</v>
      </c>
      <c r="F175" s="5" t="s">
        <v>711</v>
      </c>
      <c r="G175" s="443"/>
      <c r="H175" s="492" t="s">
        <v>77</v>
      </c>
      <c r="I175" s="544" t="s">
        <v>75</v>
      </c>
    </row>
    <row r="176" spans="2:9" ht="15" customHeight="1" x14ac:dyDescent="0.3">
      <c r="B176" s="7" t="s">
        <v>705</v>
      </c>
      <c r="C176" s="72" t="s">
        <v>397</v>
      </c>
      <c r="D176" s="357" t="s">
        <v>84</v>
      </c>
      <c r="E176" s="551" t="s">
        <v>75</v>
      </c>
      <c r="F176" s="9" t="s">
        <v>712</v>
      </c>
      <c r="G176" s="72"/>
      <c r="H176" s="357" t="s">
        <v>77</v>
      </c>
      <c r="I176" s="359" t="s">
        <v>75</v>
      </c>
    </row>
    <row r="177" spans="2:9" ht="15" customHeight="1" x14ac:dyDescent="0.3">
      <c r="B177" s="3" t="s">
        <v>705</v>
      </c>
      <c r="C177" s="443" t="s">
        <v>163</v>
      </c>
      <c r="D177" s="492" t="s">
        <v>81</v>
      </c>
      <c r="E177" s="536" t="s">
        <v>75</v>
      </c>
      <c r="F177" s="5" t="s">
        <v>713</v>
      </c>
      <c r="G177" s="443"/>
      <c r="H177" s="492" t="s">
        <v>78</v>
      </c>
      <c r="I177" s="544" t="s">
        <v>417</v>
      </c>
    </row>
    <row r="178" spans="2:9" ht="15" customHeight="1" x14ac:dyDescent="0.3">
      <c r="B178" s="7" t="s">
        <v>705</v>
      </c>
      <c r="C178" s="72" t="s">
        <v>163</v>
      </c>
      <c r="D178" s="357" t="s">
        <v>84</v>
      </c>
      <c r="E178" s="551" t="s">
        <v>75</v>
      </c>
      <c r="F178" s="9" t="s">
        <v>714</v>
      </c>
      <c r="G178" s="72"/>
      <c r="H178" s="357" t="s">
        <v>81</v>
      </c>
      <c r="I178" s="359" t="s">
        <v>75</v>
      </c>
    </row>
    <row r="179" spans="2:9" ht="15" customHeight="1" x14ac:dyDescent="0.3">
      <c r="B179" s="3" t="s">
        <v>705</v>
      </c>
      <c r="C179" s="443" t="s">
        <v>163</v>
      </c>
      <c r="D179" s="492" t="s">
        <v>77</v>
      </c>
      <c r="E179" s="536" t="s">
        <v>75</v>
      </c>
      <c r="F179" s="443" t="s">
        <v>715</v>
      </c>
      <c r="G179" s="443"/>
      <c r="H179" s="443" t="s">
        <v>81</v>
      </c>
      <c r="I179" s="621" t="s">
        <v>75</v>
      </c>
    </row>
    <row r="180" spans="2:9" ht="15" customHeight="1" x14ac:dyDescent="0.3">
      <c r="B180" s="17" t="s">
        <v>705</v>
      </c>
      <c r="C180" s="470" t="s">
        <v>164</v>
      </c>
      <c r="D180" s="480" t="s">
        <v>81</v>
      </c>
      <c r="E180" s="619" t="s">
        <v>75</v>
      </c>
      <c r="F180" s="470"/>
      <c r="G180" s="470"/>
      <c r="H180" s="470"/>
      <c r="I180" s="626"/>
    </row>
    <row r="185" spans="2:9" ht="15" customHeight="1" x14ac:dyDescent="0.3">
      <c r="B185" s="976" t="s">
        <v>614</v>
      </c>
      <c r="C185" s="976"/>
      <c r="D185" s="976"/>
      <c r="E185" s="976"/>
      <c r="F185" s="976"/>
      <c r="G185" s="976"/>
      <c r="H185" s="976"/>
      <c r="I185" s="976"/>
    </row>
    <row r="186" spans="2:9" ht="15" customHeight="1" x14ac:dyDescent="0.3">
      <c r="B186" s="977" t="s">
        <v>4</v>
      </c>
      <c r="C186" s="977" t="s">
        <v>268</v>
      </c>
      <c r="D186" s="977" t="s">
        <v>76</v>
      </c>
      <c r="E186" s="978" t="s">
        <v>415</v>
      </c>
      <c r="F186" s="979" t="s">
        <v>4</v>
      </c>
      <c r="G186" s="977" t="s">
        <v>268</v>
      </c>
      <c r="H186" s="977" t="s">
        <v>76</v>
      </c>
      <c r="I186" s="977" t="s">
        <v>415</v>
      </c>
    </row>
    <row r="187" spans="2:9" ht="15" customHeight="1" x14ac:dyDescent="0.3">
      <c r="B187" s="977"/>
      <c r="C187" s="977"/>
      <c r="D187" s="977"/>
      <c r="E187" s="978"/>
      <c r="F187" s="979"/>
      <c r="G187" s="977"/>
      <c r="H187" s="977"/>
      <c r="I187" s="977"/>
    </row>
    <row r="188" spans="2:9" ht="15" customHeight="1" x14ac:dyDescent="0.3">
      <c r="B188" s="18" t="s">
        <v>691</v>
      </c>
      <c r="C188" s="451"/>
      <c r="D188" s="370" t="s">
        <v>77</v>
      </c>
      <c r="E188" s="550" t="s">
        <v>421</v>
      </c>
      <c r="F188" s="332" t="s">
        <v>705</v>
      </c>
      <c r="G188" s="451" t="s">
        <v>164</v>
      </c>
      <c r="H188" s="451" t="s">
        <v>84</v>
      </c>
      <c r="I188" s="557" t="s">
        <v>420</v>
      </c>
    </row>
    <row r="189" spans="2:9" ht="15" customHeight="1" x14ac:dyDescent="0.3">
      <c r="B189" s="3" t="s">
        <v>692</v>
      </c>
      <c r="C189" s="452"/>
      <c r="D189" s="492" t="s">
        <v>78</v>
      </c>
      <c r="E189" s="536" t="s">
        <v>420</v>
      </c>
      <c r="F189" s="443" t="s">
        <v>705</v>
      </c>
      <c r="G189" s="452" t="s">
        <v>164</v>
      </c>
      <c r="H189" s="452" t="s">
        <v>77</v>
      </c>
      <c r="I189" s="486" t="s">
        <v>420</v>
      </c>
    </row>
    <row r="190" spans="2:9" ht="15" customHeight="1" x14ac:dyDescent="0.3">
      <c r="B190" s="7" t="s">
        <v>692</v>
      </c>
      <c r="C190" s="453"/>
      <c r="D190" s="357" t="s">
        <v>77</v>
      </c>
      <c r="E190" s="551" t="s">
        <v>420</v>
      </c>
      <c r="F190" s="9" t="s">
        <v>706</v>
      </c>
      <c r="G190" s="72"/>
      <c r="H190" s="357" t="s">
        <v>81</v>
      </c>
      <c r="I190" s="359" t="s">
        <v>420</v>
      </c>
    </row>
    <row r="191" spans="2:9" ht="15" customHeight="1" x14ac:dyDescent="0.3">
      <c r="B191" s="3" t="s">
        <v>693</v>
      </c>
      <c r="C191" s="452"/>
      <c r="D191" s="492" t="s">
        <v>79</v>
      </c>
      <c r="E191" s="536" t="s">
        <v>420</v>
      </c>
      <c r="F191" s="443" t="s">
        <v>707</v>
      </c>
      <c r="G191" s="443" t="s">
        <v>397</v>
      </c>
      <c r="H191" s="452" t="s">
        <v>78</v>
      </c>
      <c r="I191" s="486" t="s">
        <v>420</v>
      </c>
    </row>
    <row r="192" spans="2:9" ht="15" customHeight="1" x14ac:dyDescent="0.3">
      <c r="B192" s="273" t="s">
        <v>693</v>
      </c>
      <c r="C192" s="72"/>
      <c r="D192" s="72" t="s">
        <v>403</v>
      </c>
      <c r="E192" s="551" t="s">
        <v>420</v>
      </c>
      <c r="F192" s="9" t="s">
        <v>707</v>
      </c>
      <c r="G192" s="72" t="s">
        <v>397</v>
      </c>
      <c r="H192" s="357" t="s">
        <v>77</v>
      </c>
      <c r="I192" s="359" t="s">
        <v>420</v>
      </c>
    </row>
    <row r="193" spans="2:9" ht="15" customHeight="1" x14ac:dyDescent="0.3">
      <c r="B193" s="3" t="s">
        <v>693</v>
      </c>
      <c r="C193" s="452"/>
      <c r="D193" s="492" t="s">
        <v>77</v>
      </c>
      <c r="E193" s="536" t="s">
        <v>420</v>
      </c>
      <c r="F193" s="5" t="s">
        <v>707</v>
      </c>
      <c r="G193" s="443" t="s">
        <v>163</v>
      </c>
      <c r="H193" s="492" t="s">
        <v>78</v>
      </c>
      <c r="I193" s="544" t="s">
        <v>420</v>
      </c>
    </row>
    <row r="194" spans="2:9" ht="15" customHeight="1" x14ac:dyDescent="0.3">
      <c r="B194" s="273" t="s">
        <v>694</v>
      </c>
      <c r="C194" s="72"/>
      <c r="D194" s="357" t="s">
        <v>77</v>
      </c>
      <c r="E194" s="551" t="s">
        <v>420</v>
      </c>
      <c r="F194" s="9" t="s">
        <v>707</v>
      </c>
      <c r="G194" s="72" t="s">
        <v>163</v>
      </c>
      <c r="H194" s="357" t="s">
        <v>77</v>
      </c>
      <c r="I194" s="359" t="s">
        <v>420</v>
      </c>
    </row>
    <row r="195" spans="2:9" ht="15" customHeight="1" x14ac:dyDescent="0.3">
      <c r="B195" s="457" t="s">
        <v>695</v>
      </c>
      <c r="C195" s="443" t="s">
        <v>399</v>
      </c>
      <c r="D195" s="492" t="s">
        <v>77</v>
      </c>
      <c r="E195" s="536" t="s">
        <v>420</v>
      </c>
      <c r="F195" s="5" t="s">
        <v>707</v>
      </c>
      <c r="G195" s="443" t="s">
        <v>164</v>
      </c>
      <c r="H195" s="492" t="s">
        <v>78</v>
      </c>
      <c r="I195" s="544" t="s">
        <v>420</v>
      </c>
    </row>
    <row r="196" spans="2:9" ht="15" customHeight="1" x14ac:dyDescent="0.3">
      <c r="B196" s="273" t="s">
        <v>695</v>
      </c>
      <c r="C196" s="72" t="s">
        <v>402</v>
      </c>
      <c r="D196" s="357" t="s">
        <v>77</v>
      </c>
      <c r="E196" s="551" t="s">
        <v>420</v>
      </c>
      <c r="F196" s="9" t="s">
        <v>707</v>
      </c>
      <c r="G196" s="72" t="s">
        <v>164</v>
      </c>
      <c r="H196" s="357" t="s">
        <v>77</v>
      </c>
      <c r="I196" s="359" t="s">
        <v>420</v>
      </c>
    </row>
    <row r="197" spans="2:9" ht="15" customHeight="1" x14ac:dyDescent="0.3">
      <c r="B197" s="457" t="s">
        <v>695</v>
      </c>
      <c r="C197" s="452" t="s">
        <v>163</v>
      </c>
      <c r="D197" s="492" t="s">
        <v>77</v>
      </c>
      <c r="E197" s="556" t="s">
        <v>420</v>
      </c>
      <c r="F197" s="5" t="s">
        <v>707</v>
      </c>
      <c r="G197" s="443" t="s">
        <v>165</v>
      </c>
      <c r="H197" s="492" t="s">
        <v>78</v>
      </c>
      <c r="I197" s="544" t="s">
        <v>420</v>
      </c>
    </row>
    <row r="198" spans="2:9" ht="15" customHeight="1" x14ac:dyDescent="0.3">
      <c r="B198" s="7" t="s">
        <v>461</v>
      </c>
      <c r="C198" s="453" t="s">
        <v>398</v>
      </c>
      <c r="D198" s="357" t="s">
        <v>77</v>
      </c>
      <c r="E198" s="551" t="s">
        <v>420</v>
      </c>
      <c r="F198" s="9" t="s">
        <v>707</v>
      </c>
      <c r="G198" s="72" t="s">
        <v>165</v>
      </c>
      <c r="H198" s="357" t="s">
        <v>77</v>
      </c>
      <c r="I198" s="359" t="s">
        <v>420</v>
      </c>
    </row>
    <row r="199" spans="2:9" ht="15" customHeight="1" x14ac:dyDescent="0.3">
      <c r="B199" s="3" t="s">
        <v>697</v>
      </c>
      <c r="C199" s="452"/>
      <c r="D199" s="492" t="s">
        <v>77</v>
      </c>
      <c r="E199" s="536" t="s">
        <v>421</v>
      </c>
      <c r="F199" s="5" t="s">
        <v>708</v>
      </c>
      <c r="G199" s="443" t="s">
        <v>399</v>
      </c>
      <c r="H199" s="492" t="s">
        <v>77</v>
      </c>
      <c r="I199" s="544" t="s">
        <v>420</v>
      </c>
    </row>
    <row r="200" spans="2:9" ht="15" customHeight="1" x14ac:dyDescent="0.3">
      <c r="B200" s="273" t="s">
        <v>698</v>
      </c>
      <c r="C200" s="453"/>
      <c r="D200" s="453" t="s">
        <v>77</v>
      </c>
      <c r="E200" s="554" t="s">
        <v>421</v>
      </c>
      <c r="F200" s="9" t="s">
        <v>708</v>
      </c>
      <c r="G200" s="72" t="s">
        <v>400</v>
      </c>
      <c r="H200" s="357" t="s">
        <v>77</v>
      </c>
      <c r="I200" s="359" t="s">
        <v>420</v>
      </c>
    </row>
    <row r="201" spans="2:9" ht="15" customHeight="1" x14ac:dyDescent="0.3">
      <c r="B201" s="3" t="s">
        <v>699</v>
      </c>
      <c r="C201" s="443"/>
      <c r="D201" s="492" t="s">
        <v>77</v>
      </c>
      <c r="E201" s="536" t="s">
        <v>420</v>
      </c>
      <c r="F201" s="5" t="s">
        <v>708</v>
      </c>
      <c r="G201" s="443" t="s">
        <v>401</v>
      </c>
      <c r="H201" s="492" t="s">
        <v>77</v>
      </c>
      <c r="I201" s="544" t="s">
        <v>420</v>
      </c>
    </row>
    <row r="202" spans="2:9" ht="15" customHeight="1" x14ac:dyDescent="0.3">
      <c r="B202" s="7" t="s">
        <v>700</v>
      </c>
      <c r="C202" s="72" t="s">
        <v>520</v>
      </c>
      <c r="D202" s="357" t="s">
        <v>77</v>
      </c>
      <c r="E202" s="551" t="s">
        <v>421</v>
      </c>
      <c r="F202" s="9" t="s">
        <v>708</v>
      </c>
      <c r="G202" s="72" t="s">
        <v>402</v>
      </c>
      <c r="H202" s="357" t="s">
        <v>77</v>
      </c>
      <c r="I202" s="359" t="s">
        <v>420</v>
      </c>
    </row>
    <row r="203" spans="2:9" ht="15" customHeight="1" x14ac:dyDescent="0.3">
      <c r="B203" s="3" t="s">
        <v>700</v>
      </c>
      <c r="C203" s="443" t="s">
        <v>521</v>
      </c>
      <c r="D203" s="492" t="s">
        <v>77</v>
      </c>
      <c r="E203" s="536" t="s">
        <v>421</v>
      </c>
      <c r="F203" s="5" t="s">
        <v>82</v>
      </c>
      <c r="G203" s="443"/>
      <c r="H203" s="492" t="s">
        <v>83</v>
      </c>
      <c r="I203" s="544" t="s">
        <v>420</v>
      </c>
    </row>
    <row r="204" spans="2:9" ht="15" customHeight="1" x14ac:dyDescent="0.3">
      <c r="B204" s="7" t="s">
        <v>701</v>
      </c>
      <c r="C204" s="72"/>
      <c r="D204" s="357" t="s">
        <v>77</v>
      </c>
      <c r="E204" s="551" t="s">
        <v>420</v>
      </c>
      <c r="F204" s="9" t="s">
        <v>82</v>
      </c>
      <c r="G204" s="72"/>
      <c r="H204" s="357" t="s">
        <v>77</v>
      </c>
      <c r="I204" s="359" t="s">
        <v>420</v>
      </c>
    </row>
    <row r="205" spans="2:9" ht="15" customHeight="1" x14ac:dyDescent="0.3">
      <c r="B205" s="3" t="s">
        <v>702</v>
      </c>
      <c r="C205" s="443"/>
      <c r="D205" s="492" t="s">
        <v>77</v>
      </c>
      <c r="E205" s="536" t="s">
        <v>421</v>
      </c>
      <c r="F205" s="5" t="s">
        <v>709</v>
      </c>
      <c r="G205" s="443"/>
      <c r="H205" s="492" t="s">
        <v>77</v>
      </c>
      <c r="I205" s="544" t="s">
        <v>420</v>
      </c>
    </row>
    <row r="206" spans="2:9" ht="15" customHeight="1" x14ac:dyDescent="0.3">
      <c r="B206" s="7" t="s">
        <v>703</v>
      </c>
      <c r="C206" s="72"/>
      <c r="D206" s="357" t="s">
        <v>77</v>
      </c>
      <c r="E206" s="551" t="s">
        <v>420</v>
      </c>
      <c r="F206" s="9" t="s">
        <v>387</v>
      </c>
      <c r="G206" s="72"/>
      <c r="H206" s="357" t="s">
        <v>77</v>
      </c>
      <c r="I206" s="359" t="s">
        <v>421</v>
      </c>
    </row>
    <row r="207" spans="2:9" ht="15" customHeight="1" x14ac:dyDescent="0.3">
      <c r="B207" s="3" t="s">
        <v>755</v>
      </c>
      <c r="C207" s="443" t="s">
        <v>163</v>
      </c>
      <c r="D207" s="492" t="s">
        <v>81</v>
      </c>
      <c r="E207" s="536" t="s">
        <v>420</v>
      </c>
      <c r="F207" s="5" t="s">
        <v>710</v>
      </c>
      <c r="G207" s="443" t="s">
        <v>398</v>
      </c>
      <c r="H207" s="492" t="s">
        <v>78</v>
      </c>
      <c r="I207" s="544" t="s">
        <v>420</v>
      </c>
    </row>
    <row r="208" spans="2:9" ht="15" customHeight="1" x14ac:dyDescent="0.3">
      <c r="B208" s="7" t="s">
        <v>755</v>
      </c>
      <c r="C208" s="72" t="s">
        <v>163</v>
      </c>
      <c r="D208" s="357" t="s">
        <v>84</v>
      </c>
      <c r="E208" s="551" t="s">
        <v>420</v>
      </c>
      <c r="F208" s="9" t="s">
        <v>710</v>
      </c>
      <c r="G208" s="72" t="s">
        <v>398</v>
      </c>
      <c r="H208" s="357" t="s">
        <v>77</v>
      </c>
      <c r="I208" s="359" t="s">
        <v>420</v>
      </c>
    </row>
    <row r="209" spans="2:9" ht="15" customHeight="1" x14ac:dyDescent="0.3">
      <c r="B209" s="3" t="s">
        <v>755</v>
      </c>
      <c r="C209" s="443" t="s">
        <v>164</v>
      </c>
      <c r="D209" s="492" t="s">
        <v>81</v>
      </c>
      <c r="E209" s="536" t="s">
        <v>420</v>
      </c>
      <c r="F209" s="5" t="s">
        <v>710</v>
      </c>
      <c r="G209" s="443" t="s">
        <v>165</v>
      </c>
      <c r="H209" s="492" t="s">
        <v>78</v>
      </c>
      <c r="I209" s="544" t="s">
        <v>420</v>
      </c>
    </row>
    <row r="210" spans="2:9" ht="15" customHeight="1" x14ac:dyDescent="0.3">
      <c r="B210" s="7" t="s">
        <v>755</v>
      </c>
      <c r="C210" s="72" t="s">
        <v>164</v>
      </c>
      <c r="D210" s="357" t="s">
        <v>84</v>
      </c>
      <c r="E210" s="551" t="s">
        <v>420</v>
      </c>
      <c r="F210" s="9" t="s">
        <v>710</v>
      </c>
      <c r="G210" s="72" t="s">
        <v>165</v>
      </c>
      <c r="H210" s="357" t="s">
        <v>77</v>
      </c>
      <c r="I210" s="359" t="s">
        <v>420</v>
      </c>
    </row>
    <row r="211" spans="2:9" ht="15" customHeight="1" x14ac:dyDescent="0.3">
      <c r="B211" s="3" t="s">
        <v>705</v>
      </c>
      <c r="C211" s="443" t="s">
        <v>397</v>
      </c>
      <c r="D211" s="492" t="s">
        <v>81</v>
      </c>
      <c r="E211" s="536" t="s">
        <v>420</v>
      </c>
      <c r="F211" s="5" t="s">
        <v>711</v>
      </c>
      <c r="G211" s="443"/>
      <c r="H211" s="492" t="s">
        <v>77</v>
      </c>
      <c r="I211" s="544" t="s">
        <v>420</v>
      </c>
    </row>
    <row r="212" spans="2:9" ht="15" customHeight="1" x14ac:dyDescent="0.3">
      <c r="B212" s="7" t="s">
        <v>705</v>
      </c>
      <c r="C212" s="72" t="s">
        <v>397</v>
      </c>
      <c r="D212" s="357" t="s">
        <v>84</v>
      </c>
      <c r="E212" s="551" t="s">
        <v>420</v>
      </c>
      <c r="F212" s="9" t="s">
        <v>712</v>
      </c>
      <c r="G212" s="72"/>
      <c r="H212" s="357" t="s">
        <v>77</v>
      </c>
      <c r="I212" s="359" t="s">
        <v>420</v>
      </c>
    </row>
    <row r="213" spans="2:9" ht="15" customHeight="1" x14ac:dyDescent="0.3">
      <c r="B213" s="3" t="s">
        <v>705</v>
      </c>
      <c r="C213" s="443" t="s">
        <v>163</v>
      </c>
      <c r="D213" s="492" t="s">
        <v>81</v>
      </c>
      <c r="E213" s="536" t="s">
        <v>420</v>
      </c>
      <c r="F213" s="5" t="s">
        <v>713</v>
      </c>
      <c r="G213" s="443"/>
      <c r="H213" s="492" t="s">
        <v>78</v>
      </c>
      <c r="I213" s="544" t="s">
        <v>421</v>
      </c>
    </row>
    <row r="214" spans="2:9" ht="15" customHeight="1" x14ac:dyDescent="0.3">
      <c r="B214" s="7" t="s">
        <v>705</v>
      </c>
      <c r="C214" s="72" t="s">
        <v>163</v>
      </c>
      <c r="D214" s="357" t="s">
        <v>84</v>
      </c>
      <c r="E214" s="551" t="s">
        <v>420</v>
      </c>
      <c r="F214" s="9" t="s">
        <v>714</v>
      </c>
      <c r="G214" s="72"/>
      <c r="H214" s="357" t="s">
        <v>81</v>
      </c>
      <c r="I214" s="359" t="s">
        <v>420</v>
      </c>
    </row>
    <row r="215" spans="2:9" ht="15" customHeight="1" x14ac:dyDescent="0.3">
      <c r="B215" s="3" t="s">
        <v>705</v>
      </c>
      <c r="C215" s="443" t="s">
        <v>163</v>
      </c>
      <c r="D215" s="492" t="s">
        <v>77</v>
      </c>
      <c r="E215" s="536" t="s">
        <v>420</v>
      </c>
      <c r="F215" s="443" t="s">
        <v>715</v>
      </c>
      <c r="G215" s="443"/>
      <c r="H215" s="443" t="s">
        <v>81</v>
      </c>
      <c r="I215" s="621" t="s">
        <v>420</v>
      </c>
    </row>
    <row r="216" spans="2:9" ht="15" customHeight="1" x14ac:dyDescent="0.3">
      <c r="B216" s="17" t="s">
        <v>705</v>
      </c>
      <c r="C216" s="470" t="s">
        <v>164</v>
      </c>
      <c r="D216" s="480" t="s">
        <v>81</v>
      </c>
      <c r="E216" s="619" t="s">
        <v>420</v>
      </c>
      <c r="F216" s="470"/>
      <c r="G216" s="470"/>
      <c r="H216" s="470"/>
      <c r="I216" s="626"/>
    </row>
    <row r="218" spans="2:9" ht="15" customHeight="1" x14ac:dyDescent="0.3">
      <c r="B218" s="9"/>
      <c r="C218" s="72"/>
      <c r="D218" s="357"/>
      <c r="E218" s="22"/>
      <c r="F218" s="95"/>
      <c r="G218" s="95"/>
      <c r="H218" s="95"/>
      <c r="I218" s="95"/>
    </row>
    <row r="219" spans="2:9" ht="15" customHeight="1" x14ac:dyDescent="0.3">
      <c r="B219" s="9"/>
      <c r="C219" s="72"/>
      <c r="D219" s="357"/>
      <c r="E219" s="22"/>
      <c r="F219" s="95"/>
      <c r="G219" s="95"/>
      <c r="H219" s="95"/>
      <c r="I219" s="95"/>
    </row>
    <row r="220" spans="2:9" ht="15" customHeight="1" x14ac:dyDescent="0.3">
      <c r="B220" s="9"/>
      <c r="C220" s="72"/>
      <c r="D220" s="357"/>
      <c r="E220" s="22"/>
      <c r="F220" s="95"/>
      <c r="G220" s="95"/>
      <c r="H220" s="95"/>
      <c r="I220" s="95"/>
    </row>
    <row r="221" spans="2:9" ht="15" customHeight="1" x14ac:dyDescent="0.3">
      <c r="B221" s="976" t="s">
        <v>615</v>
      </c>
      <c r="C221" s="976"/>
      <c r="D221" s="976"/>
      <c r="E221" s="976"/>
      <c r="F221" s="976"/>
      <c r="G221" s="976"/>
      <c r="H221" s="976"/>
      <c r="I221" s="976"/>
    </row>
    <row r="222" spans="2:9" ht="15" customHeight="1" x14ac:dyDescent="0.3">
      <c r="B222" s="977" t="s">
        <v>4</v>
      </c>
      <c r="C222" s="977" t="s">
        <v>268</v>
      </c>
      <c r="D222" s="977" t="s">
        <v>76</v>
      </c>
      <c r="E222" s="978" t="s">
        <v>416</v>
      </c>
      <c r="F222" s="979" t="s">
        <v>4</v>
      </c>
      <c r="G222" s="977" t="s">
        <v>268</v>
      </c>
      <c r="H222" s="977" t="s">
        <v>76</v>
      </c>
      <c r="I222" s="977" t="s">
        <v>416</v>
      </c>
    </row>
    <row r="223" spans="2:9" ht="15" customHeight="1" x14ac:dyDescent="0.3">
      <c r="B223" s="977"/>
      <c r="C223" s="977"/>
      <c r="D223" s="977"/>
      <c r="E223" s="978"/>
      <c r="F223" s="979"/>
      <c r="G223" s="977"/>
      <c r="H223" s="977"/>
      <c r="I223" s="977"/>
    </row>
    <row r="224" spans="2:9" ht="15" customHeight="1" x14ac:dyDescent="0.3">
      <c r="B224" s="18" t="s">
        <v>691</v>
      </c>
      <c r="C224" s="451"/>
      <c r="D224" s="370" t="s">
        <v>77</v>
      </c>
      <c r="E224" s="550" t="s">
        <v>512</v>
      </c>
      <c r="F224" s="332" t="s">
        <v>705</v>
      </c>
      <c r="G224" s="451" t="s">
        <v>164</v>
      </c>
      <c r="H224" s="451" t="s">
        <v>84</v>
      </c>
      <c r="I224" s="557" t="s">
        <v>512</v>
      </c>
    </row>
    <row r="225" spans="2:9" ht="15" customHeight="1" x14ac:dyDescent="0.3">
      <c r="B225" s="3" t="s">
        <v>692</v>
      </c>
      <c r="C225" s="452"/>
      <c r="D225" s="492" t="s">
        <v>78</v>
      </c>
      <c r="E225" s="536" t="s">
        <v>512</v>
      </c>
      <c r="F225" s="443" t="s">
        <v>705</v>
      </c>
      <c r="G225" s="452" t="s">
        <v>164</v>
      </c>
      <c r="H225" s="452" t="s">
        <v>77</v>
      </c>
      <c r="I225" s="486" t="s">
        <v>512</v>
      </c>
    </row>
    <row r="226" spans="2:9" ht="15" customHeight="1" x14ac:dyDescent="0.3">
      <c r="B226" s="7" t="s">
        <v>692</v>
      </c>
      <c r="C226" s="453"/>
      <c r="D226" s="357" t="s">
        <v>77</v>
      </c>
      <c r="E226" s="551" t="s">
        <v>512</v>
      </c>
      <c r="F226" s="9" t="s">
        <v>706</v>
      </c>
      <c r="G226" s="72"/>
      <c r="H226" s="357" t="s">
        <v>81</v>
      </c>
      <c r="I226" s="359" t="s">
        <v>513</v>
      </c>
    </row>
    <row r="227" spans="2:9" ht="15" customHeight="1" x14ac:dyDescent="0.3">
      <c r="B227" s="3" t="s">
        <v>693</v>
      </c>
      <c r="C227" s="452"/>
      <c r="D227" s="492" t="s">
        <v>79</v>
      </c>
      <c r="E227" s="536" t="s">
        <v>512</v>
      </c>
      <c r="F227" s="443" t="s">
        <v>707</v>
      </c>
      <c r="G227" s="443" t="s">
        <v>397</v>
      </c>
      <c r="H227" s="452" t="s">
        <v>78</v>
      </c>
      <c r="I227" s="486" t="s">
        <v>512</v>
      </c>
    </row>
    <row r="228" spans="2:9" ht="15" customHeight="1" x14ac:dyDescent="0.3">
      <c r="B228" s="273" t="s">
        <v>693</v>
      </c>
      <c r="C228" s="72"/>
      <c r="D228" s="72" t="s">
        <v>403</v>
      </c>
      <c r="E228" s="551" t="s">
        <v>512</v>
      </c>
      <c r="F228" s="9" t="s">
        <v>707</v>
      </c>
      <c r="G228" s="72" t="s">
        <v>397</v>
      </c>
      <c r="H228" s="357" t="s">
        <v>77</v>
      </c>
      <c r="I228" s="359" t="s">
        <v>512</v>
      </c>
    </row>
    <row r="229" spans="2:9" ht="15" customHeight="1" x14ac:dyDescent="0.3">
      <c r="B229" s="3" t="s">
        <v>693</v>
      </c>
      <c r="C229" s="452"/>
      <c r="D229" s="492" t="s">
        <v>77</v>
      </c>
      <c r="E229" s="536" t="s">
        <v>512</v>
      </c>
      <c r="F229" s="5" t="s">
        <v>707</v>
      </c>
      <c r="G229" s="443" t="s">
        <v>163</v>
      </c>
      <c r="H229" s="492" t="s">
        <v>78</v>
      </c>
      <c r="I229" s="544" t="s">
        <v>512</v>
      </c>
    </row>
    <row r="230" spans="2:9" ht="15" customHeight="1" x14ac:dyDescent="0.3">
      <c r="B230" s="273" t="s">
        <v>694</v>
      </c>
      <c r="C230" s="72"/>
      <c r="D230" s="357" t="s">
        <v>77</v>
      </c>
      <c r="E230" s="551" t="s">
        <v>512</v>
      </c>
      <c r="F230" s="9" t="s">
        <v>707</v>
      </c>
      <c r="G230" s="72" t="s">
        <v>163</v>
      </c>
      <c r="H230" s="357" t="s">
        <v>77</v>
      </c>
      <c r="I230" s="359" t="s">
        <v>512</v>
      </c>
    </row>
    <row r="231" spans="2:9" ht="15" customHeight="1" x14ac:dyDescent="0.3">
      <c r="B231" s="457" t="s">
        <v>695</v>
      </c>
      <c r="C231" s="443" t="s">
        <v>399</v>
      </c>
      <c r="D231" s="492" t="s">
        <v>77</v>
      </c>
      <c r="E231" s="536" t="s">
        <v>512</v>
      </c>
      <c r="F231" s="5" t="s">
        <v>707</v>
      </c>
      <c r="G231" s="443" t="s">
        <v>164</v>
      </c>
      <c r="H231" s="492" t="s">
        <v>78</v>
      </c>
      <c r="I231" s="544" t="s">
        <v>512</v>
      </c>
    </row>
    <row r="232" spans="2:9" ht="15" customHeight="1" x14ac:dyDescent="0.3">
      <c r="B232" s="273" t="s">
        <v>695</v>
      </c>
      <c r="C232" s="72" t="s">
        <v>402</v>
      </c>
      <c r="D232" s="357" t="s">
        <v>77</v>
      </c>
      <c r="E232" s="551" t="s">
        <v>512</v>
      </c>
      <c r="F232" s="9" t="s">
        <v>707</v>
      </c>
      <c r="G232" s="72" t="s">
        <v>164</v>
      </c>
      <c r="H232" s="357" t="s">
        <v>77</v>
      </c>
      <c r="I232" s="359" t="s">
        <v>512</v>
      </c>
    </row>
    <row r="233" spans="2:9" ht="15" customHeight="1" x14ac:dyDescent="0.3">
      <c r="B233" s="457" t="s">
        <v>695</v>
      </c>
      <c r="C233" s="452" t="s">
        <v>163</v>
      </c>
      <c r="D233" s="492" t="s">
        <v>77</v>
      </c>
      <c r="E233" s="556" t="s">
        <v>512</v>
      </c>
      <c r="F233" s="5" t="s">
        <v>707</v>
      </c>
      <c r="G233" s="443" t="s">
        <v>165</v>
      </c>
      <c r="H233" s="492" t="s">
        <v>78</v>
      </c>
      <c r="I233" s="544" t="s">
        <v>512</v>
      </c>
    </row>
    <row r="234" spans="2:9" ht="15" customHeight="1" x14ac:dyDescent="0.3">
      <c r="B234" s="7" t="s">
        <v>461</v>
      </c>
      <c r="C234" s="453" t="s">
        <v>398</v>
      </c>
      <c r="D234" s="357" t="s">
        <v>77</v>
      </c>
      <c r="E234" s="551" t="s">
        <v>512</v>
      </c>
      <c r="F234" s="9" t="s">
        <v>707</v>
      </c>
      <c r="G234" s="72" t="s">
        <v>165</v>
      </c>
      <c r="H234" s="357" t="s">
        <v>77</v>
      </c>
      <c r="I234" s="359" t="s">
        <v>512</v>
      </c>
    </row>
    <row r="235" spans="2:9" ht="15" customHeight="1" x14ac:dyDescent="0.3">
      <c r="B235" s="3" t="s">
        <v>697</v>
      </c>
      <c r="C235" s="452"/>
      <c r="D235" s="492" t="s">
        <v>77</v>
      </c>
      <c r="E235" s="536" t="s">
        <v>513</v>
      </c>
      <c r="F235" s="5" t="s">
        <v>708</v>
      </c>
      <c r="G235" s="443" t="s">
        <v>399</v>
      </c>
      <c r="H235" s="492" t="s">
        <v>77</v>
      </c>
      <c r="I235" s="544" t="s">
        <v>512</v>
      </c>
    </row>
    <row r="236" spans="2:9" ht="15" customHeight="1" x14ac:dyDescent="0.3">
      <c r="B236" s="273" t="s">
        <v>698</v>
      </c>
      <c r="C236" s="453"/>
      <c r="D236" s="453" t="s">
        <v>77</v>
      </c>
      <c r="E236" s="554" t="s">
        <v>513</v>
      </c>
      <c r="F236" s="9" t="s">
        <v>708</v>
      </c>
      <c r="G236" s="72" t="s">
        <v>400</v>
      </c>
      <c r="H236" s="357" t="s">
        <v>77</v>
      </c>
      <c r="I236" s="359" t="s">
        <v>512</v>
      </c>
    </row>
    <row r="237" spans="2:9" ht="15" customHeight="1" x14ac:dyDescent="0.3">
      <c r="B237" s="3" t="s">
        <v>699</v>
      </c>
      <c r="C237" s="443"/>
      <c r="D237" s="492" t="s">
        <v>77</v>
      </c>
      <c r="E237" s="536" t="s">
        <v>513</v>
      </c>
      <c r="F237" s="5" t="s">
        <v>708</v>
      </c>
      <c r="G237" s="443" t="s">
        <v>401</v>
      </c>
      <c r="H237" s="492" t="s">
        <v>77</v>
      </c>
      <c r="I237" s="544" t="s">
        <v>512</v>
      </c>
    </row>
    <row r="238" spans="2:9" ht="15" customHeight="1" x14ac:dyDescent="0.3">
      <c r="B238" s="7" t="s">
        <v>700</v>
      </c>
      <c r="C238" s="72" t="s">
        <v>520</v>
      </c>
      <c r="D238" s="357" t="s">
        <v>77</v>
      </c>
      <c r="E238" s="551" t="s">
        <v>513</v>
      </c>
      <c r="F238" s="9" t="s">
        <v>708</v>
      </c>
      <c r="G238" s="72" t="s">
        <v>402</v>
      </c>
      <c r="H238" s="357" t="s">
        <v>77</v>
      </c>
      <c r="I238" s="359" t="s">
        <v>512</v>
      </c>
    </row>
    <row r="239" spans="2:9" ht="15" customHeight="1" x14ac:dyDescent="0.3">
      <c r="B239" s="3" t="s">
        <v>700</v>
      </c>
      <c r="C239" s="443" t="s">
        <v>521</v>
      </c>
      <c r="D239" s="492" t="s">
        <v>77</v>
      </c>
      <c r="E239" s="536" t="s">
        <v>513</v>
      </c>
      <c r="F239" s="5" t="s">
        <v>82</v>
      </c>
      <c r="G239" s="443"/>
      <c r="H239" s="492" t="s">
        <v>83</v>
      </c>
      <c r="I239" s="544" t="s">
        <v>512</v>
      </c>
    </row>
    <row r="240" spans="2:9" ht="15" customHeight="1" x14ac:dyDescent="0.3">
      <c r="B240" s="7" t="s">
        <v>701</v>
      </c>
      <c r="C240" s="72"/>
      <c r="D240" s="357" t="s">
        <v>77</v>
      </c>
      <c r="E240" s="551" t="s">
        <v>513</v>
      </c>
      <c r="F240" s="9" t="s">
        <v>82</v>
      </c>
      <c r="G240" s="72"/>
      <c r="H240" s="357" t="s">
        <v>77</v>
      </c>
      <c r="I240" s="359" t="s">
        <v>512</v>
      </c>
    </row>
    <row r="241" spans="2:9" ht="15" customHeight="1" x14ac:dyDescent="0.3">
      <c r="B241" s="3" t="s">
        <v>702</v>
      </c>
      <c r="C241" s="443"/>
      <c r="D241" s="492" t="s">
        <v>77</v>
      </c>
      <c r="E241" s="536" t="s">
        <v>513</v>
      </c>
      <c r="F241" s="5" t="s">
        <v>709</v>
      </c>
      <c r="G241" s="443"/>
      <c r="H241" s="492" t="s">
        <v>77</v>
      </c>
      <c r="I241" s="544" t="s">
        <v>513</v>
      </c>
    </row>
    <row r="242" spans="2:9" ht="15" customHeight="1" x14ac:dyDescent="0.3">
      <c r="B242" s="7" t="s">
        <v>703</v>
      </c>
      <c r="C242" s="72"/>
      <c r="D242" s="357" t="s">
        <v>77</v>
      </c>
      <c r="E242" s="551" t="s">
        <v>513</v>
      </c>
      <c r="F242" s="9" t="s">
        <v>387</v>
      </c>
      <c r="G242" s="72"/>
      <c r="H242" s="357" t="s">
        <v>77</v>
      </c>
      <c r="I242" s="359" t="s">
        <v>513</v>
      </c>
    </row>
    <row r="243" spans="2:9" ht="15" customHeight="1" x14ac:dyDescent="0.3">
      <c r="B243" s="3" t="s">
        <v>755</v>
      </c>
      <c r="C243" s="443" t="s">
        <v>163</v>
      </c>
      <c r="D243" s="492" t="s">
        <v>81</v>
      </c>
      <c r="E243" s="536" t="s">
        <v>512</v>
      </c>
      <c r="F243" s="5" t="s">
        <v>710</v>
      </c>
      <c r="G243" s="443" t="s">
        <v>398</v>
      </c>
      <c r="H243" s="492" t="s">
        <v>78</v>
      </c>
      <c r="I243" s="544" t="s">
        <v>512</v>
      </c>
    </row>
    <row r="244" spans="2:9" ht="15" customHeight="1" x14ac:dyDescent="0.3">
      <c r="B244" s="7" t="s">
        <v>755</v>
      </c>
      <c r="C244" s="72" t="s">
        <v>163</v>
      </c>
      <c r="D244" s="357" t="s">
        <v>84</v>
      </c>
      <c r="E244" s="551" t="s">
        <v>512</v>
      </c>
      <c r="F244" s="9" t="s">
        <v>710</v>
      </c>
      <c r="G244" s="72" t="s">
        <v>398</v>
      </c>
      <c r="H244" s="357" t="s">
        <v>77</v>
      </c>
      <c r="I244" s="359" t="s">
        <v>512</v>
      </c>
    </row>
    <row r="245" spans="2:9" ht="15" customHeight="1" x14ac:dyDescent="0.3">
      <c r="B245" s="3" t="s">
        <v>755</v>
      </c>
      <c r="C245" s="443" t="s">
        <v>164</v>
      </c>
      <c r="D245" s="492" t="s">
        <v>81</v>
      </c>
      <c r="E245" s="536" t="s">
        <v>512</v>
      </c>
      <c r="F245" s="5" t="s">
        <v>710</v>
      </c>
      <c r="G245" s="443" t="s">
        <v>165</v>
      </c>
      <c r="H245" s="492" t="s">
        <v>78</v>
      </c>
      <c r="I245" s="544" t="s">
        <v>512</v>
      </c>
    </row>
    <row r="246" spans="2:9" ht="15" customHeight="1" x14ac:dyDescent="0.3">
      <c r="B246" s="7" t="s">
        <v>755</v>
      </c>
      <c r="C246" s="72" t="s">
        <v>164</v>
      </c>
      <c r="D246" s="357" t="s">
        <v>84</v>
      </c>
      <c r="E246" s="551" t="s">
        <v>512</v>
      </c>
      <c r="F246" s="9" t="s">
        <v>710</v>
      </c>
      <c r="G246" s="72" t="s">
        <v>165</v>
      </c>
      <c r="H246" s="357" t="s">
        <v>77</v>
      </c>
      <c r="I246" s="359" t="s">
        <v>512</v>
      </c>
    </row>
    <row r="247" spans="2:9" ht="15" customHeight="1" x14ac:dyDescent="0.3">
      <c r="B247" s="3" t="s">
        <v>705</v>
      </c>
      <c r="C247" s="443" t="s">
        <v>397</v>
      </c>
      <c r="D247" s="492" t="s">
        <v>81</v>
      </c>
      <c r="E247" s="536" t="s">
        <v>512</v>
      </c>
      <c r="F247" s="5" t="s">
        <v>711</v>
      </c>
      <c r="G247" s="443"/>
      <c r="H247" s="492" t="s">
        <v>77</v>
      </c>
      <c r="I247" s="544" t="s">
        <v>513</v>
      </c>
    </row>
    <row r="248" spans="2:9" ht="15" customHeight="1" x14ac:dyDescent="0.3">
      <c r="B248" s="7" t="s">
        <v>705</v>
      </c>
      <c r="C248" s="72" t="s">
        <v>397</v>
      </c>
      <c r="D248" s="357" t="s">
        <v>84</v>
      </c>
      <c r="E248" s="551" t="s">
        <v>512</v>
      </c>
      <c r="F248" s="9" t="s">
        <v>712</v>
      </c>
      <c r="G248" s="72"/>
      <c r="H248" s="357" t="s">
        <v>77</v>
      </c>
      <c r="I248" s="359" t="s">
        <v>513</v>
      </c>
    </row>
    <row r="249" spans="2:9" ht="15" customHeight="1" x14ac:dyDescent="0.3">
      <c r="B249" s="3" t="s">
        <v>705</v>
      </c>
      <c r="C249" s="443" t="s">
        <v>163</v>
      </c>
      <c r="D249" s="492" t="s">
        <v>81</v>
      </c>
      <c r="E249" s="536" t="s">
        <v>512</v>
      </c>
      <c r="F249" s="5" t="s">
        <v>713</v>
      </c>
      <c r="G249" s="443"/>
      <c r="H249" s="492" t="s">
        <v>78</v>
      </c>
      <c r="I249" s="544" t="s">
        <v>513</v>
      </c>
    </row>
    <row r="250" spans="2:9" ht="15" customHeight="1" x14ac:dyDescent="0.3">
      <c r="B250" s="7" t="s">
        <v>705</v>
      </c>
      <c r="C250" s="72" t="s">
        <v>163</v>
      </c>
      <c r="D250" s="357" t="s">
        <v>84</v>
      </c>
      <c r="E250" s="551" t="s">
        <v>512</v>
      </c>
      <c r="F250" s="9" t="s">
        <v>714</v>
      </c>
      <c r="G250" s="72"/>
      <c r="H250" s="357" t="s">
        <v>81</v>
      </c>
      <c r="I250" s="359" t="s">
        <v>513</v>
      </c>
    </row>
    <row r="251" spans="2:9" ht="15" customHeight="1" x14ac:dyDescent="0.3">
      <c r="B251" s="3" t="s">
        <v>705</v>
      </c>
      <c r="C251" s="443" t="s">
        <v>163</v>
      </c>
      <c r="D251" s="492" t="s">
        <v>77</v>
      </c>
      <c r="E251" s="536" t="s">
        <v>512</v>
      </c>
      <c r="F251" s="443" t="s">
        <v>715</v>
      </c>
      <c r="G251" s="443"/>
      <c r="H251" s="443" t="s">
        <v>81</v>
      </c>
      <c r="I251" s="621" t="s">
        <v>513</v>
      </c>
    </row>
    <row r="252" spans="2:9" ht="15" customHeight="1" x14ac:dyDescent="0.3">
      <c r="B252" s="17" t="s">
        <v>705</v>
      </c>
      <c r="C252" s="470" t="s">
        <v>164</v>
      </c>
      <c r="D252" s="480" t="s">
        <v>81</v>
      </c>
      <c r="E252" s="619" t="s">
        <v>512</v>
      </c>
      <c r="F252" s="470"/>
      <c r="G252" s="470"/>
      <c r="H252" s="470"/>
      <c r="I252" s="626"/>
    </row>
    <row r="253" spans="2:9" ht="15" customHeight="1" x14ac:dyDescent="0.3">
      <c r="B253" s="9"/>
      <c r="C253" s="72"/>
      <c r="D253" s="357"/>
      <c r="E253" s="22"/>
      <c r="F253" s="95"/>
      <c r="G253" s="95"/>
      <c r="H253" s="95"/>
      <c r="I253" s="95"/>
    </row>
    <row r="254" spans="2:9" ht="15" customHeight="1" x14ac:dyDescent="0.3">
      <c r="B254" s="9"/>
      <c r="C254" s="72"/>
      <c r="D254" s="357"/>
      <c r="E254" s="22"/>
      <c r="F254" s="95"/>
      <c r="G254" s="95"/>
      <c r="H254" s="95"/>
      <c r="I254" s="95"/>
    </row>
    <row r="255" spans="2:9" ht="15" customHeight="1" x14ac:dyDescent="0.3">
      <c r="B255" s="9"/>
      <c r="C255" s="72"/>
      <c r="D255" s="357"/>
      <c r="E255" s="22"/>
      <c r="F255" s="95"/>
      <c r="G255" s="95"/>
      <c r="H255" s="95"/>
      <c r="I255" s="95"/>
    </row>
    <row r="256" spans="2:9" ht="15" customHeight="1" x14ac:dyDescent="0.3">
      <c r="B256" s="9"/>
      <c r="C256" s="72"/>
      <c r="D256" s="357"/>
      <c r="E256" s="22"/>
      <c r="F256" s="95"/>
      <c r="G256" s="95"/>
      <c r="H256" s="95"/>
      <c r="I256" s="95"/>
    </row>
    <row r="257" spans="2:7" ht="15" customHeight="1" x14ac:dyDescent="0.3">
      <c r="B257" s="976" t="s">
        <v>717</v>
      </c>
      <c r="C257" s="976"/>
      <c r="E257" s="976" t="s">
        <v>718</v>
      </c>
      <c r="F257" s="976"/>
      <c r="G257" s="976"/>
    </row>
    <row r="258" spans="2:7" ht="15" customHeight="1" x14ac:dyDescent="0.3">
      <c r="B258" s="263" t="s">
        <v>719</v>
      </c>
      <c r="C258" s="558">
        <v>13</v>
      </c>
      <c r="E258" s="611" t="s">
        <v>3</v>
      </c>
      <c r="F258" s="611" t="s">
        <v>85</v>
      </c>
      <c r="G258" s="611" t="s">
        <v>86</v>
      </c>
    </row>
    <row r="259" spans="2:7" ht="15" customHeight="1" x14ac:dyDescent="0.3">
      <c r="B259" s="459" t="s">
        <v>30</v>
      </c>
      <c r="C259" s="460">
        <f>'Vinyl Cut'!C12</f>
        <v>0</v>
      </c>
      <c r="E259" s="260" t="s">
        <v>6</v>
      </c>
      <c r="F259" s="559">
        <v>13</v>
      </c>
      <c r="G259" s="560">
        <v>21</v>
      </c>
    </row>
    <row r="260" spans="2:7" ht="15" customHeight="1" x14ac:dyDescent="0.3">
      <c r="B260" s="986" t="s">
        <v>34</v>
      </c>
      <c r="C260" s="996"/>
      <c r="E260" s="457" t="s">
        <v>10</v>
      </c>
      <c r="F260" s="561">
        <v>25</v>
      </c>
      <c r="G260" s="486">
        <v>42</v>
      </c>
    </row>
    <row r="261" spans="2:7" ht="15" customHeight="1" x14ac:dyDescent="0.3">
      <c r="E261" s="273" t="s">
        <v>14</v>
      </c>
      <c r="F261" s="562">
        <v>31</v>
      </c>
      <c r="G261" s="339">
        <v>52</v>
      </c>
    </row>
    <row r="262" spans="2:7" ht="15" customHeight="1" x14ac:dyDescent="0.3">
      <c r="E262" s="457" t="s">
        <v>18</v>
      </c>
      <c r="F262" s="561">
        <v>41</v>
      </c>
      <c r="G262" s="486">
        <v>68</v>
      </c>
    </row>
    <row r="263" spans="2:7" ht="15" customHeight="1" x14ac:dyDescent="0.3">
      <c r="E263" s="273" t="s">
        <v>22</v>
      </c>
      <c r="F263" s="562">
        <v>50</v>
      </c>
      <c r="G263" s="339">
        <v>84</v>
      </c>
    </row>
    <row r="264" spans="2:7" ht="15" customHeight="1" x14ac:dyDescent="0.3">
      <c r="E264" s="457" t="s">
        <v>27</v>
      </c>
      <c r="F264" s="561">
        <v>60</v>
      </c>
      <c r="G264" s="486">
        <v>99</v>
      </c>
    </row>
    <row r="265" spans="2:7" ht="15" customHeight="1" x14ac:dyDescent="0.3">
      <c r="E265" s="273" t="s">
        <v>31</v>
      </c>
      <c r="F265" s="562">
        <v>69</v>
      </c>
      <c r="G265" s="339">
        <v>115</v>
      </c>
    </row>
    <row r="266" spans="2:7" ht="15" customHeight="1" x14ac:dyDescent="0.3">
      <c r="E266" s="457" t="s">
        <v>35</v>
      </c>
      <c r="F266" s="561">
        <v>78</v>
      </c>
      <c r="G266" s="486">
        <v>131</v>
      </c>
    </row>
    <row r="267" spans="2:7" ht="15" customHeight="1" x14ac:dyDescent="0.3">
      <c r="E267" s="273" t="s">
        <v>38</v>
      </c>
      <c r="F267" s="562">
        <v>86</v>
      </c>
      <c r="G267" s="339">
        <v>143</v>
      </c>
    </row>
    <row r="268" spans="2:7" ht="15" customHeight="1" x14ac:dyDescent="0.3">
      <c r="E268" s="457" t="s">
        <v>41</v>
      </c>
      <c r="F268" s="561">
        <v>94</v>
      </c>
      <c r="G268" s="486">
        <v>157</v>
      </c>
    </row>
    <row r="269" spans="2:7" ht="15" customHeight="1" x14ac:dyDescent="0.3">
      <c r="E269" s="273" t="s">
        <v>106</v>
      </c>
      <c r="F269" s="562">
        <v>102</v>
      </c>
      <c r="G269" s="339">
        <v>170</v>
      </c>
    </row>
    <row r="270" spans="2:7" ht="15" customHeight="1" x14ac:dyDescent="0.3">
      <c r="E270" s="457" t="s">
        <v>108</v>
      </c>
      <c r="F270" s="561">
        <v>110</v>
      </c>
      <c r="G270" s="486">
        <v>183</v>
      </c>
    </row>
    <row r="271" spans="2:7" ht="15" customHeight="1" x14ac:dyDescent="0.3">
      <c r="E271" s="273" t="s">
        <v>109</v>
      </c>
      <c r="F271" s="562">
        <v>115</v>
      </c>
      <c r="G271" s="339">
        <v>191</v>
      </c>
    </row>
    <row r="272" spans="2:7" ht="15" customHeight="1" x14ac:dyDescent="0.3">
      <c r="E272" s="457" t="s">
        <v>110</v>
      </c>
      <c r="F272" s="561">
        <v>118</v>
      </c>
      <c r="G272" s="486">
        <v>198</v>
      </c>
    </row>
    <row r="273" spans="2:12" ht="15" customHeight="1" x14ac:dyDescent="0.3">
      <c r="E273" s="273" t="s">
        <v>111</v>
      </c>
      <c r="F273" s="562">
        <v>122</v>
      </c>
      <c r="G273" s="339">
        <v>204</v>
      </c>
    </row>
    <row r="274" spans="2:12" ht="15" customHeight="1" x14ac:dyDescent="0.3">
      <c r="E274" s="457" t="s">
        <v>112</v>
      </c>
      <c r="F274" s="561">
        <v>126</v>
      </c>
      <c r="G274" s="486">
        <v>210</v>
      </c>
    </row>
    <row r="275" spans="2:12" ht="15" customHeight="1" x14ac:dyDescent="0.3">
      <c r="E275" s="273" t="s">
        <v>113</v>
      </c>
      <c r="F275" s="562">
        <v>130</v>
      </c>
      <c r="G275" s="339">
        <v>216</v>
      </c>
    </row>
    <row r="276" spans="2:12" ht="15" customHeight="1" x14ac:dyDescent="0.3">
      <c r="E276" s="457" t="s">
        <v>114</v>
      </c>
      <c r="F276" s="561">
        <v>134</v>
      </c>
      <c r="G276" s="486">
        <v>223</v>
      </c>
    </row>
    <row r="277" spans="2:12" ht="15" customHeight="1" x14ac:dyDescent="0.3">
      <c r="E277" s="273" t="s">
        <v>115</v>
      </c>
      <c r="F277" s="562">
        <v>137</v>
      </c>
      <c r="G277" s="339">
        <v>228</v>
      </c>
    </row>
    <row r="278" spans="2:12" ht="15" customHeight="1" x14ac:dyDescent="0.3">
      <c r="E278" s="457" t="s">
        <v>116</v>
      </c>
      <c r="F278" s="561">
        <v>141</v>
      </c>
      <c r="G278" s="486">
        <v>235</v>
      </c>
    </row>
    <row r="279" spans="2:12" ht="15" customHeight="1" x14ac:dyDescent="0.3">
      <c r="E279" s="273" t="s">
        <v>118</v>
      </c>
      <c r="F279" s="562">
        <v>145</v>
      </c>
      <c r="G279" s="339">
        <v>241</v>
      </c>
    </row>
    <row r="280" spans="2:12" ht="15" customHeight="1" x14ac:dyDescent="0.3">
      <c r="E280" s="457" t="s">
        <v>120</v>
      </c>
      <c r="F280" s="561">
        <v>148</v>
      </c>
      <c r="G280" s="486">
        <v>248</v>
      </c>
    </row>
    <row r="281" spans="2:12" ht="15" customHeight="1" x14ac:dyDescent="0.3">
      <c r="E281" s="273" t="s">
        <v>122</v>
      </c>
      <c r="F281" s="562">
        <v>153</v>
      </c>
      <c r="G281" s="339">
        <v>254</v>
      </c>
    </row>
    <row r="282" spans="2:12" ht="15" customHeight="1" x14ac:dyDescent="0.3">
      <c r="E282" s="457" t="s">
        <v>124</v>
      </c>
      <c r="F282" s="561">
        <v>156</v>
      </c>
      <c r="G282" s="486">
        <v>260</v>
      </c>
    </row>
    <row r="283" spans="2:12" ht="15" customHeight="1" x14ac:dyDescent="0.3">
      <c r="E283" s="282" t="s">
        <v>126</v>
      </c>
      <c r="F283" s="563">
        <v>160</v>
      </c>
      <c r="G283" s="564">
        <v>266</v>
      </c>
    </row>
    <row r="286" spans="2:12" ht="15" customHeight="1" x14ac:dyDescent="0.3">
      <c r="L286"/>
    </row>
    <row r="287" spans="2:12" ht="15" customHeight="1" x14ac:dyDescent="0.3">
      <c r="H287"/>
      <c r="L287"/>
    </row>
    <row r="288" spans="2:12" ht="15" customHeight="1" x14ac:dyDescent="0.3">
      <c r="B288" s="915" t="s">
        <v>127</v>
      </c>
      <c r="C288" s="917"/>
      <c r="D288"/>
      <c r="E288" s="915" t="s">
        <v>729</v>
      </c>
      <c r="F288" s="917"/>
      <c r="H288" s="915" t="s">
        <v>732</v>
      </c>
      <c r="I288" s="917"/>
      <c r="L288"/>
    </row>
    <row r="289" spans="2:12" ht="15" customHeight="1" x14ac:dyDescent="0.3">
      <c r="B289" s="637" t="s">
        <v>450</v>
      </c>
      <c r="C289" s="611" t="s">
        <v>5</v>
      </c>
      <c r="E289" s="637" t="s">
        <v>267</v>
      </c>
      <c r="F289" s="637" t="s">
        <v>5</v>
      </c>
      <c r="H289" s="637" t="s">
        <v>267</v>
      </c>
      <c r="I289" s="469" t="s">
        <v>5</v>
      </c>
      <c r="L289"/>
    </row>
    <row r="290" spans="2:12" ht="15" customHeight="1" x14ac:dyDescent="0.3">
      <c r="B290" s="577" t="s">
        <v>9</v>
      </c>
      <c r="C290" s="343">
        <v>2</v>
      </c>
      <c r="E290" s="577" t="s">
        <v>734</v>
      </c>
      <c r="F290" s="343">
        <v>4.25</v>
      </c>
      <c r="H290" s="577" t="s">
        <v>734</v>
      </c>
      <c r="I290" s="343">
        <v>6.75</v>
      </c>
      <c r="L290"/>
    </row>
    <row r="291" spans="2:12" ht="15" customHeight="1" x14ac:dyDescent="0.3">
      <c r="B291" s="650" t="s">
        <v>187</v>
      </c>
      <c r="C291" s="566">
        <v>4.5</v>
      </c>
      <c r="E291" s="650" t="s">
        <v>132</v>
      </c>
      <c r="F291" s="566">
        <v>3.85</v>
      </c>
      <c r="H291" s="650" t="s">
        <v>741</v>
      </c>
      <c r="I291" s="566">
        <v>17.25</v>
      </c>
      <c r="L291"/>
    </row>
    <row r="292" spans="2:12" ht="15" customHeight="1" x14ac:dyDescent="0.3">
      <c r="B292" s="577" t="s">
        <v>553</v>
      </c>
      <c r="C292" s="343">
        <v>4.75</v>
      </c>
      <c r="E292" s="577" t="s">
        <v>133</v>
      </c>
      <c r="F292" s="343">
        <v>15</v>
      </c>
      <c r="H292" s="577" t="s">
        <v>134</v>
      </c>
      <c r="I292" s="343">
        <v>10</v>
      </c>
      <c r="L292"/>
    </row>
    <row r="293" spans="2:12" ht="15" customHeight="1" x14ac:dyDescent="0.3">
      <c r="B293" s="650" t="s">
        <v>554</v>
      </c>
      <c r="C293" s="566">
        <v>5</v>
      </c>
      <c r="E293" s="650" t="s">
        <v>743</v>
      </c>
      <c r="F293" s="566">
        <v>16</v>
      </c>
      <c r="H293" s="650" t="s">
        <v>133</v>
      </c>
      <c r="I293" s="566">
        <v>15</v>
      </c>
      <c r="L293"/>
    </row>
    <row r="294" spans="2:12" ht="15" customHeight="1" x14ac:dyDescent="0.3">
      <c r="B294" s="577" t="s">
        <v>704</v>
      </c>
      <c r="C294" s="343">
        <v>5</v>
      </c>
      <c r="E294" s="577" t="s">
        <v>136</v>
      </c>
      <c r="F294" s="343">
        <v>2.9</v>
      </c>
      <c r="H294" s="577" t="s">
        <v>747</v>
      </c>
      <c r="I294" s="343">
        <v>54</v>
      </c>
      <c r="L294"/>
    </row>
    <row r="295" spans="2:12" ht="15" customHeight="1" x14ac:dyDescent="0.3">
      <c r="B295" s="651" t="s">
        <v>131</v>
      </c>
      <c r="C295" s="567">
        <v>9</v>
      </c>
      <c r="E295" s="651" t="s">
        <v>30</v>
      </c>
      <c r="F295" s="460">
        <f>'Custom SEG'!H33</f>
        <v>0</v>
      </c>
      <c r="H295" s="651" t="s">
        <v>137</v>
      </c>
      <c r="I295" s="567">
        <v>13</v>
      </c>
      <c r="L295"/>
    </row>
    <row r="296" spans="2:12" ht="15" customHeight="1" x14ac:dyDescent="0.3">
      <c r="B296" s="649" t="s">
        <v>551</v>
      </c>
      <c r="C296" s="568">
        <v>9.5</v>
      </c>
      <c r="E296" s="997" t="s">
        <v>34</v>
      </c>
      <c r="F296" s="998"/>
      <c r="H296" s="649" t="s">
        <v>138</v>
      </c>
      <c r="I296" s="568">
        <v>13</v>
      </c>
      <c r="L296"/>
    </row>
    <row r="297" spans="2:12" ht="15" customHeight="1" x14ac:dyDescent="0.3">
      <c r="B297" s="651" t="s">
        <v>552</v>
      </c>
      <c r="C297" s="567">
        <v>10</v>
      </c>
      <c r="F297" s="249"/>
      <c r="G297" s="249"/>
      <c r="H297" s="651" t="s">
        <v>139</v>
      </c>
      <c r="I297" s="567">
        <v>43</v>
      </c>
      <c r="L297"/>
    </row>
    <row r="298" spans="2:12" ht="15" customHeight="1" x14ac:dyDescent="0.3">
      <c r="B298" s="649" t="s">
        <v>703</v>
      </c>
      <c r="C298" s="560">
        <v>10</v>
      </c>
      <c r="F298" s="249"/>
      <c r="G298" s="249"/>
      <c r="H298" s="649" t="s">
        <v>744</v>
      </c>
      <c r="I298" s="560">
        <v>54</v>
      </c>
      <c r="L298"/>
    </row>
    <row r="299" spans="2:12" ht="15" customHeight="1" x14ac:dyDescent="0.3">
      <c r="B299" s="651" t="s">
        <v>30</v>
      </c>
      <c r="C299" s="460">
        <f>'Custom SEG'!C37</f>
        <v>0</v>
      </c>
      <c r="F299" s="249"/>
      <c r="G299" s="249"/>
      <c r="H299" s="651" t="s">
        <v>745</v>
      </c>
      <c r="I299" s="567">
        <v>54</v>
      </c>
      <c r="L299"/>
    </row>
    <row r="300" spans="2:12" ht="15" customHeight="1" x14ac:dyDescent="0.3">
      <c r="B300" s="649" t="s">
        <v>490</v>
      </c>
      <c r="C300" s="462">
        <v>20</v>
      </c>
      <c r="F300" s="249"/>
      <c r="G300" s="249"/>
      <c r="H300" s="649" t="s">
        <v>746</v>
      </c>
      <c r="I300" s="560">
        <v>54</v>
      </c>
      <c r="L300"/>
    </row>
    <row r="301" spans="2:12" ht="15" customHeight="1" x14ac:dyDescent="0.3">
      <c r="B301" s="984" t="s">
        <v>34</v>
      </c>
      <c r="C301" s="985"/>
      <c r="F301" s="249"/>
      <c r="G301" s="249"/>
      <c r="H301" s="651" t="s">
        <v>141</v>
      </c>
      <c r="I301" s="567">
        <v>14</v>
      </c>
      <c r="L301"/>
    </row>
    <row r="302" spans="2:12" ht="15" customHeight="1" x14ac:dyDescent="0.3">
      <c r="B302" s="249"/>
      <c r="C302" s="249"/>
      <c r="F302" s="249"/>
      <c r="G302" s="249"/>
      <c r="H302" s="649" t="s">
        <v>142</v>
      </c>
      <c r="I302" s="560">
        <v>14</v>
      </c>
      <c r="L302"/>
    </row>
    <row r="303" spans="2:12" ht="15" customHeight="1" x14ac:dyDescent="0.3">
      <c r="B303" s="249"/>
      <c r="C303" s="249"/>
      <c r="F303" s="249"/>
      <c r="G303" s="249"/>
      <c r="H303" s="651" t="s">
        <v>143</v>
      </c>
      <c r="I303" s="567">
        <v>25.2</v>
      </c>
      <c r="L303"/>
    </row>
    <row r="304" spans="2:12" ht="15" customHeight="1" x14ac:dyDescent="0.3">
      <c r="B304" s="249"/>
      <c r="C304" s="249"/>
      <c r="F304" s="249"/>
      <c r="G304" s="249"/>
      <c r="H304" s="649" t="s">
        <v>144</v>
      </c>
      <c r="I304" s="560">
        <v>11</v>
      </c>
      <c r="L304"/>
    </row>
    <row r="305" spans="2:16" ht="15" customHeight="1" x14ac:dyDescent="0.3">
      <c r="B305" s="249"/>
      <c r="C305" s="249"/>
      <c r="F305" s="249"/>
      <c r="G305" s="249"/>
      <c r="H305" s="651" t="s">
        <v>145</v>
      </c>
      <c r="I305" s="567">
        <v>7.25</v>
      </c>
      <c r="L305"/>
    </row>
    <row r="306" spans="2:16" ht="15" customHeight="1" x14ac:dyDescent="0.3">
      <c r="B306" s="249"/>
      <c r="C306" s="249"/>
      <c r="F306" s="249"/>
      <c r="G306" s="249"/>
      <c r="H306" s="649" t="s">
        <v>30</v>
      </c>
      <c r="I306" s="462">
        <v>0</v>
      </c>
      <c r="L306"/>
    </row>
    <row r="307" spans="2:16" ht="15" customHeight="1" x14ac:dyDescent="0.3">
      <c r="B307" s="249"/>
      <c r="C307" s="249"/>
      <c r="F307" s="249"/>
      <c r="G307" s="249"/>
      <c r="H307" s="980" t="s">
        <v>34</v>
      </c>
      <c r="I307" s="981"/>
      <c r="L307"/>
    </row>
    <row r="308" spans="2:16" ht="15" customHeight="1" x14ac:dyDescent="0.3">
      <c r="L308"/>
    </row>
    <row r="312" spans="2:16" ht="15" customHeight="1" x14ac:dyDescent="0.3">
      <c r="B312" s="976" t="s">
        <v>679</v>
      </c>
      <c r="C312" s="976"/>
      <c r="D312" s="976"/>
      <c r="E312" s="976"/>
      <c r="F312" s="976"/>
      <c r="G312" s="976"/>
      <c r="H312" s="976"/>
      <c r="I312" s="976"/>
      <c r="J312" s="976"/>
      <c r="K312" s="976"/>
      <c r="M312" s="976" t="s">
        <v>680</v>
      </c>
      <c r="N312" s="976"/>
      <c r="O312" s="976"/>
      <c r="P312" s="976"/>
    </row>
    <row r="313" spans="2:16" ht="15" customHeight="1" x14ac:dyDescent="0.3">
      <c r="B313" s="977" t="s">
        <v>681</v>
      </c>
      <c r="C313" s="982" t="s">
        <v>5</v>
      </c>
      <c r="D313" s="983" t="s">
        <v>677</v>
      </c>
      <c r="E313" s="978" t="s">
        <v>5</v>
      </c>
      <c r="F313" s="979" t="s">
        <v>678</v>
      </c>
      <c r="G313" s="982" t="s">
        <v>5</v>
      </c>
      <c r="H313" s="983" t="s">
        <v>87</v>
      </c>
      <c r="I313" s="978" t="s">
        <v>5</v>
      </c>
      <c r="J313" s="979" t="s">
        <v>88</v>
      </c>
      <c r="K313" s="977" t="s">
        <v>5</v>
      </c>
      <c r="M313" s="977" t="s">
        <v>681</v>
      </c>
      <c r="N313" s="978" t="s">
        <v>5</v>
      </c>
      <c r="O313" s="979" t="s">
        <v>128</v>
      </c>
      <c r="P313" s="977" t="s">
        <v>5</v>
      </c>
    </row>
    <row r="314" spans="2:16" ht="15" customHeight="1" x14ac:dyDescent="0.3">
      <c r="B314" s="977"/>
      <c r="C314" s="982"/>
      <c r="D314" s="983"/>
      <c r="E314" s="978"/>
      <c r="F314" s="979"/>
      <c r="G314" s="982"/>
      <c r="H314" s="983"/>
      <c r="I314" s="978"/>
      <c r="J314" s="979"/>
      <c r="K314" s="977"/>
      <c r="M314" s="977"/>
      <c r="N314" s="978"/>
      <c r="O314" s="979"/>
      <c r="P314" s="977"/>
    </row>
    <row r="315" spans="2:16" ht="15" customHeight="1" x14ac:dyDescent="0.3">
      <c r="B315" s="1" t="s">
        <v>177</v>
      </c>
      <c r="C315" s="533">
        <v>98</v>
      </c>
      <c r="D315" s="464" t="s">
        <v>669</v>
      </c>
      <c r="E315" s="534">
        <v>48</v>
      </c>
      <c r="F315" s="2" t="s">
        <v>443</v>
      </c>
      <c r="G315" s="533">
        <v>188</v>
      </c>
      <c r="H315" s="465" t="s">
        <v>437</v>
      </c>
      <c r="I315" s="555">
        <v>30</v>
      </c>
      <c r="J315" s="2" t="s">
        <v>90</v>
      </c>
      <c r="K315" s="503">
        <v>236</v>
      </c>
      <c r="M315" s="1" t="s">
        <v>177</v>
      </c>
      <c r="N315" s="534">
        <v>42</v>
      </c>
      <c r="O315" s="2" t="s">
        <v>90</v>
      </c>
      <c r="P315" s="503">
        <v>180</v>
      </c>
    </row>
    <row r="316" spans="2:16" ht="15" customHeight="1" x14ac:dyDescent="0.3">
      <c r="B316" s="3" t="s">
        <v>178</v>
      </c>
      <c r="C316" s="535">
        <v>180</v>
      </c>
      <c r="D316" s="371" t="s">
        <v>670</v>
      </c>
      <c r="E316" s="536">
        <v>96</v>
      </c>
      <c r="F316" s="5" t="s">
        <v>444</v>
      </c>
      <c r="G316" s="535">
        <v>276</v>
      </c>
      <c r="H316" s="466" t="s">
        <v>438</v>
      </c>
      <c r="I316" s="553">
        <v>54</v>
      </c>
      <c r="J316" s="5" t="s">
        <v>92</v>
      </c>
      <c r="K316" s="544">
        <v>330</v>
      </c>
      <c r="M316" s="3" t="s">
        <v>178</v>
      </c>
      <c r="N316" s="536">
        <v>82</v>
      </c>
      <c r="O316" s="5" t="s">
        <v>92</v>
      </c>
      <c r="P316" s="544">
        <v>220</v>
      </c>
    </row>
    <row r="317" spans="2:16" ht="15" customHeight="1" x14ac:dyDescent="0.3">
      <c r="B317" s="10" t="s">
        <v>179</v>
      </c>
      <c r="C317" s="537">
        <v>251</v>
      </c>
      <c r="D317" s="467" t="s">
        <v>671</v>
      </c>
      <c r="E317" s="538">
        <v>144</v>
      </c>
      <c r="F317" s="12" t="s">
        <v>445</v>
      </c>
      <c r="G317" s="537">
        <v>61</v>
      </c>
      <c r="H317" s="348" t="s">
        <v>89</v>
      </c>
      <c r="I317" s="551">
        <v>75</v>
      </c>
      <c r="J317" s="12" t="s">
        <v>94</v>
      </c>
      <c r="K317" s="343">
        <v>462</v>
      </c>
      <c r="M317" s="10" t="s">
        <v>179</v>
      </c>
      <c r="N317" s="538">
        <v>126</v>
      </c>
      <c r="O317" s="12" t="s">
        <v>94</v>
      </c>
      <c r="P317" s="343">
        <v>403</v>
      </c>
    </row>
    <row r="318" spans="2:16" ht="15" customHeight="1" x14ac:dyDescent="0.3">
      <c r="B318" s="3" t="s">
        <v>448</v>
      </c>
      <c r="C318" s="535">
        <v>334</v>
      </c>
      <c r="D318" s="371" t="s">
        <v>672</v>
      </c>
      <c r="E318" s="536">
        <v>98</v>
      </c>
      <c r="F318" s="5" t="s">
        <v>446</v>
      </c>
      <c r="G318" s="535">
        <v>122</v>
      </c>
      <c r="H318" s="466" t="s">
        <v>99</v>
      </c>
      <c r="I318" s="553">
        <v>54</v>
      </c>
      <c r="J318" s="5" t="s">
        <v>96</v>
      </c>
      <c r="K318" s="544">
        <v>676</v>
      </c>
      <c r="M318" s="3" t="s">
        <v>523</v>
      </c>
      <c r="N318" s="347">
        <f>N316</f>
        <v>82</v>
      </c>
      <c r="O318" s="5" t="s">
        <v>96</v>
      </c>
      <c r="P318" s="544">
        <v>547</v>
      </c>
    </row>
    <row r="319" spans="2:16" ht="15" customHeight="1" x14ac:dyDescent="0.3">
      <c r="B319" s="10" t="s">
        <v>523</v>
      </c>
      <c r="C319" s="537">
        <v>180</v>
      </c>
      <c r="D319" s="467" t="s">
        <v>673</v>
      </c>
      <c r="E319" s="538">
        <v>180</v>
      </c>
      <c r="F319" s="12" t="s">
        <v>447</v>
      </c>
      <c r="G319" s="537">
        <v>183</v>
      </c>
      <c r="H319" s="348" t="s">
        <v>91</v>
      </c>
      <c r="I319" s="551">
        <v>85</v>
      </c>
      <c r="J319" s="12" t="s">
        <v>98</v>
      </c>
      <c r="K319" s="343">
        <v>848</v>
      </c>
      <c r="M319" s="10" t="s">
        <v>388</v>
      </c>
      <c r="N319" s="538">
        <v>168</v>
      </c>
      <c r="O319" s="12" t="s">
        <v>135</v>
      </c>
      <c r="P319" s="343">
        <v>884</v>
      </c>
    </row>
    <row r="320" spans="2:16" ht="15" customHeight="1" x14ac:dyDescent="0.3">
      <c r="B320" s="3" t="s">
        <v>99</v>
      </c>
      <c r="C320" s="535">
        <v>180</v>
      </c>
      <c r="D320" s="371" t="s">
        <v>674</v>
      </c>
      <c r="E320" s="536">
        <v>251</v>
      </c>
      <c r="F320" s="5"/>
      <c r="G320" s="6"/>
      <c r="H320" s="371" t="s">
        <v>93</v>
      </c>
      <c r="I320" s="536">
        <v>125</v>
      </c>
      <c r="J320" s="5" t="s">
        <v>101</v>
      </c>
      <c r="K320" s="544">
        <v>982</v>
      </c>
      <c r="M320" s="3" t="s">
        <v>99</v>
      </c>
      <c r="N320" s="536">
        <v>82</v>
      </c>
      <c r="O320" s="5" t="s">
        <v>98</v>
      </c>
      <c r="P320" s="544">
        <v>684</v>
      </c>
    </row>
    <row r="321" spans="2:16" ht="15" customHeight="1" x14ac:dyDescent="0.3">
      <c r="B321" s="10" t="s">
        <v>91</v>
      </c>
      <c r="C321" s="537">
        <v>334</v>
      </c>
      <c r="D321" s="467" t="s">
        <v>675</v>
      </c>
      <c r="E321" s="538">
        <v>98</v>
      </c>
      <c r="F321" s="12"/>
      <c r="G321" s="11"/>
      <c r="H321" s="348" t="s">
        <v>95</v>
      </c>
      <c r="I321" s="551">
        <v>195</v>
      </c>
      <c r="J321" s="12" t="s">
        <v>102</v>
      </c>
      <c r="K321" s="343">
        <v>240</v>
      </c>
      <c r="M321" s="10" t="s">
        <v>389</v>
      </c>
      <c r="N321" s="538">
        <v>119</v>
      </c>
      <c r="O321" s="12" t="s">
        <v>101</v>
      </c>
      <c r="P321" s="343">
        <v>715</v>
      </c>
    </row>
    <row r="322" spans="2:16" ht="15" customHeight="1" x14ac:dyDescent="0.3">
      <c r="B322" s="3" t="s">
        <v>93</v>
      </c>
      <c r="C322" s="535">
        <v>447</v>
      </c>
      <c r="D322" s="371" t="s">
        <v>676</v>
      </c>
      <c r="E322" s="536">
        <v>180</v>
      </c>
      <c r="F322" s="5"/>
      <c r="G322" s="6"/>
      <c r="H322" s="466" t="s">
        <v>439</v>
      </c>
      <c r="I322" s="553">
        <v>100</v>
      </c>
      <c r="J322" s="5" t="s">
        <v>103</v>
      </c>
      <c r="K322" s="544">
        <v>400</v>
      </c>
      <c r="M322" s="3" t="s">
        <v>524</v>
      </c>
      <c r="N322" s="347">
        <f>N317</f>
        <v>126</v>
      </c>
      <c r="O322" s="5" t="s">
        <v>102</v>
      </c>
      <c r="P322" s="544">
        <v>180</v>
      </c>
    </row>
    <row r="323" spans="2:16" ht="15" customHeight="1" x14ac:dyDescent="0.3">
      <c r="B323" s="10" t="s">
        <v>524</v>
      </c>
      <c r="C323" s="11">
        <f>C317</f>
        <v>251</v>
      </c>
      <c r="D323" s="467"/>
      <c r="E323" s="349"/>
      <c r="F323" s="12"/>
      <c r="G323" s="11"/>
      <c r="H323" s="348" t="s">
        <v>97</v>
      </c>
      <c r="I323" s="551">
        <v>225</v>
      </c>
      <c r="J323" s="9" t="s">
        <v>431</v>
      </c>
      <c r="K323" s="343">
        <v>676</v>
      </c>
      <c r="M323" s="10" t="s">
        <v>529</v>
      </c>
      <c r="N323" s="538">
        <v>119</v>
      </c>
      <c r="O323" s="12" t="s">
        <v>103</v>
      </c>
      <c r="P323" s="343">
        <v>391</v>
      </c>
    </row>
    <row r="324" spans="2:16" ht="15" customHeight="1" x14ac:dyDescent="0.3">
      <c r="B324" s="3" t="s">
        <v>525</v>
      </c>
      <c r="C324" s="6">
        <f>C322</f>
        <v>447</v>
      </c>
      <c r="D324" s="466"/>
      <c r="E324" s="442"/>
      <c r="F324" s="443"/>
      <c r="G324" s="463"/>
      <c r="H324" s="371" t="s">
        <v>100</v>
      </c>
      <c r="I324" s="536">
        <v>400</v>
      </c>
      <c r="J324" s="5" t="s">
        <v>104</v>
      </c>
      <c r="K324" s="544">
        <v>640</v>
      </c>
      <c r="M324" s="3" t="s">
        <v>390</v>
      </c>
      <c r="N324" s="536">
        <v>378</v>
      </c>
      <c r="O324" s="443" t="s">
        <v>140</v>
      </c>
      <c r="P324" s="486">
        <v>392</v>
      </c>
    </row>
    <row r="325" spans="2:16" ht="15" customHeight="1" x14ac:dyDescent="0.3">
      <c r="B325" s="10" t="s">
        <v>95</v>
      </c>
      <c r="C325" s="537">
        <v>588</v>
      </c>
      <c r="D325" s="468"/>
      <c r="E325" s="455"/>
      <c r="F325" s="95"/>
      <c r="G325" s="461"/>
      <c r="H325" s="348" t="s">
        <v>102</v>
      </c>
      <c r="I325" s="551">
        <v>85</v>
      </c>
      <c r="J325" s="9" t="s">
        <v>105</v>
      </c>
      <c r="K325" s="359">
        <v>800</v>
      </c>
      <c r="M325" s="10" t="s">
        <v>183</v>
      </c>
      <c r="N325" s="538">
        <v>164</v>
      </c>
      <c r="O325" s="95" t="s">
        <v>104</v>
      </c>
      <c r="P325" s="560">
        <v>555</v>
      </c>
    </row>
    <row r="326" spans="2:16" ht="15" customHeight="1" x14ac:dyDescent="0.3">
      <c r="B326" s="3" t="s">
        <v>526</v>
      </c>
      <c r="C326" s="6">
        <f>C318</f>
        <v>334</v>
      </c>
      <c r="D326" s="466"/>
      <c r="E326" s="442"/>
      <c r="F326" s="443"/>
      <c r="G326" s="463"/>
      <c r="H326" s="371" t="s">
        <v>103</v>
      </c>
      <c r="I326" s="536">
        <v>225</v>
      </c>
      <c r="J326" s="5" t="s">
        <v>107</v>
      </c>
      <c r="K326" s="544">
        <v>1280</v>
      </c>
      <c r="M326" s="3" t="s">
        <v>391</v>
      </c>
      <c r="N326" s="536">
        <v>281</v>
      </c>
      <c r="O326" s="443"/>
      <c r="P326" s="444"/>
    </row>
    <row r="327" spans="2:16" ht="15" customHeight="1" x14ac:dyDescent="0.3">
      <c r="B327" s="10" t="s">
        <v>184</v>
      </c>
      <c r="C327" s="537">
        <v>629</v>
      </c>
      <c r="D327" s="468"/>
      <c r="E327" s="455"/>
      <c r="F327" s="95"/>
      <c r="G327" s="461"/>
      <c r="H327" s="348" t="s">
        <v>431</v>
      </c>
      <c r="I327" s="551">
        <v>205</v>
      </c>
      <c r="J327" s="95"/>
      <c r="K327" s="462"/>
      <c r="M327" s="10" t="s">
        <v>392</v>
      </c>
      <c r="N327" s="538">
        <v>445</v>
      </c>
      <c r="O327" s="95"/>
      <c r="P327" s="323"/>
    </row>
    <row r="328" spans="2:16" ht="15" customHeight="1" x14ac:dyDescent="0.3">
      <c r="B328" s="3" t="s">
        <v>97</v>
      </c>
      <c r="C328" s="535">
        <v>672</v>
      </c>
      <c r="D328" s="466"/>
      <c r="E328" s="442"/>
      <c r="F328" s="443"/>
      <c r="G328" s="463"/>
      <c r="H328" s="371" t="s">
        <v>104</v>
      </c>
      <c r="I328" s="536">
        <v>285</v>
      </c>
      <c r="J328" s="443"/>
      <c r="K328" s="450"/>
      <c r="M328" s="3" t="s">
        <v>117</v>
      </c>
      <c r="N328" s="536">
        <v>28</v>
      </c>
      <c r="O328" s="443"/>
      <c r="P328" s="444"/>
    </row>
    <row r="329" spans="2:16" ht="15" customHeight="1" x14ac:dyDescent="0.3">
      <c r="B329" s="10" t="s">
        <v>100</v>
      </c>
      <c r="C329" s="537">
        <v>1500</v>
      </c>
      <c r="D329" s="468"/>
      <c r="E329" s="455"/>
      <c r="F329" s="95"/>
      <c r="G329" s="461"/>
      <c r="H329" s="348" t="s">
        <v>105</v>
      </c>
      <c r="I329" s="551">
        <v>400</v>
      </c>
      <c r="J329" s="95"/>
      <c r="K329" s="462"/>
      <c r="M329" s="10" t="s">
        <v>527</v>
      </c>
      <c r="N329" s="349">
        <f>N328</f>
        <v>28</v>
      </c>
      <c r="O329" s="95"/>
      <c r="P329" s="323"/>
    </row>
    <row r="330" spans="2:16" ht="15" customHeight="1" x14ac:dyDescent="0.3">
      <c r="B330" s="3" t="s">
        <v>102</v>
      </c>
      <c r="C330" s="535">
        <v>334</v>
      </c>
      <c r="D330" s="466"/>
      <c r="E330" s="442"/>
      <c r="F330" s="443"/>
      <c r="G330" s="463"/>
      <c r="H330" s="371" t="s">
        <v>107</v>
      </c>
      <c r="I330" s="536">
        <v>550</v>
      </c>
      <c r="J330" s="443"/>
      <c r="K330" s="450"/>
      <c r="M330" s="3" t="s">
        <v>121</v>
      </c>
      <c r="N330" s="536">
        <v>42</v>
      </c>
      <c r="O330" s="443"/>
      <c r="P330" s="444"/>
    </row>
    <row r="331" spans="2:16" ht="15" customHeight="1" x14ac:dyDescent="0.3">
      <c r="B331" s="260" t="s">
        <v>103</v>
      </c>
      <c r="C331" s="537">
        <v>610</v>
      </c>
      <c r="D331" s="468"/>
      <c r="E331" s="455"/>
      <c r="F331" s="95"/>
      <c r="G331" s="461"/>
      <c r="H331" s="467"/>
      <c r="I331" s="349"/>
      <c r="J331" s="95"/>
      <c r="K331" s="462"/>
      <c r="M331" s="10" t="s">
        <v>123</v>
      </c>
      <c r="N331" s="538">
        <v>252</v>
      </c>
      <c r="O331" s="95"/>
      <c r="P331" s="323"/>
    </row>
    <row r="332" spans="2:16" ht="15" customHeight="1" x14ac:dyDescent="0.3">
      <c r="B332" s="3" t="s">
        <v>431</v>
      </c>
      <c r="C332" s="535">
        <v>605</v>
      </c>
      <c r="D332" s="466"/>
      <c r="E332" s="442"/>
      <c r="F332" s="443"/>
      <c r="G332" s="463"/>
      <c r="H332" s="371"/>
      <c r="I332" s="347"/>
      <c r="J332" s="443"/>
      <c r="K332" s="450"/>
      <c r="M332" s="3" t="s">
        <v>125</v>
      </c>
      <c r="N332" s="536">
        <v>250</v>
      </c>
      <c r="O332" s="443"/>
      <c r="P332" s="444"/>
    </row>
    <row r="333" spans="2:16" ht="15" customHeight="1" x14ac:dyDescent="0.3">
      <c r="B333" s="7" t="s">
        <v>104</v>
      </c>
      <c r="C333" s="565">
        <v>900</v>
      </c>
      <c r="D333" s="468"/>
      <c r="E333" s="455"/>
      <c r="F333" s="95"/>
      <c r="G333" s="461"/>
      <c r="H333" s="467"/>
      <c r="I333" s="349"/>
      <c r="J333" s="95"/>
      <c r="K333" s="462"/>
      <c r="M333" s="629" t="s">
        <v>528</v>
      </c>
      <c r="N333" s="630"/>
      <c r="O333" s="409"/>
      <c r="P333" s="449"/>
    </row>
    <row r="334" spans="2:16" ht="15" customHeight="1" x14ac:dyDescent="0.3">
      <c r="B334" s="3" t="s">
        <v>105</v>
      </c>
      <c r="C334" s="535">
        <v>1500</v>
      </c>
      <c r="D334" s="466"/>
      <c r="E334" s="442"/>
      <c r="F334" s="443"/>
      <c r="G334" s="463"/>
      <c r="H334" s="371"/>
      <c r="I334" s="347"/>
      <c r="J334" s="443"/>
      <c r="K334" s="450"/>
    </row>
    <row r="335" spans="2:16" ht="15" customHeight="1" x14ac:dyDescent="0.3">
      <c r="B335" s="7" t="s">
        <v>107</v>
      </c>
      <c r="C335" s="565">
        <v>1975</v>
      </c>
      <c r="D335" s="467"/>
      <c r="E335" s="349"/>
      <c r="F335" s="12"/>
      <c r="G335" s="11"/>
      <c r="H335" s="467"/>
      <c r="I335" s="349"/>
      <c r="J335" s="95"/>
      <c r="K335" s="462"/>
    </row>
    <row r="336" spans="2:16" ht="15" customHeight="1" x14ac:dyDescent="0.3">
      <c r="B336" s="3" t="s">
        <v>117</v>
      </c>
      <c r="C336" s="535">
        <v>67</v>
      </c>
      <c r="D336" s="371"/>
      <c r="E336" s="347"/>
      <c r="F336" s="5"/>
      <c r="G336" s="6"/>
      <c r="H336" s="371"/>
      <c r="I336" s="347"/>
      <c r="J336" s="443"/>
      <c r="K336" s="450"/>
    </row>
    <row r="337" spans="2:11" ht="15" customHeight="1" x14ac:dyDescent="0.3">
      <c r="B337" s="7" t="s">
        <v>527</v>
      </c>
      <c r="C337" s="22">
        <f>C336</f>
        <v>67</v>
      </c>
      <c r="D337" s="467"/>
      <c r="E337" s="349"/>
      <c r="F337" s="12"/>
      <c r="G337" s="11"/>
      <c r="H337" s="467"/>
      <c r="I337" s="349"/>
      <c r="J337" s="95"/>
      <c r="K337" s="462"/>
    </row>
    <row r="338" spans="2:11" ht="15" customHeight="1" x14ac:dyDescent="0.3">
      <c r="B338" s="3" t="s">
        <v>121</v>
      </c>
      <c r="C338" s="535">
        <v>98</v>
      </c>
      <c r="D338" s="371"/>
      <c r="E338" s="347"/>
      <c r="F338" s="5"/>
      <c r="G338" s="6"/>
      <c r="H338" s="371"/>
      <c r="I338" s="347"/>
      <c r="J338" s="443"/>
      <c r="K338" s="450"/>
    </row>
    <row r="339" spans="2:11" ht="15" customHeight="1" x14ac:dyDescent="0.3">
      <c r="B339" s="7" t="s">
        <v>123</v>
      </c>
      <c r="C339" s="565">
        <v>447</v>
      </c>
      <c r="D339" s="468"/>
      <c r="E339" s="455"/>
      <c r="F339" s="95"/>
      <c r="G339" s="461"/>
      <c r="H339" s="468"/>
      <c r="I339" s="455"/>
      <c r="J339" s="95"/>
      <c r="K339" s="462"/>
    </row>
    <row r="340" spans="2:11" ht="15" customHeight="1" x14ac:dyDescent="0.3">
      <c r="B340" s="457" t="s">
        <v>125</v>
      </c>
      <c r="C340" s="561">
        <v>588</v>
      </c>
      <c r="D340" s="466"/>
      <c r="E340" s="442"/>
      <c r="F340" s="443"/>
      <c r="G340" s="463"/>
      <c r="H340" s="466"/>
      <c r="I340" s="442"/>
      <c r="J340" s="443"/>
      <c r="K340" s="450"/>
    </row>
    <row r="341" spans="2:11" ht="15" customHeight="1" x14ac:dyDescent="0.3">
      <c r="B341" s="986" t="s">
        <v>528</v>
      </c>
      <c r="C341" s="987"/>
      <c r="D341" s="620"/>
      <c r="E341" s="627"/>
      <c r="F341" s="620"/>
      <c r="G341" s="627"/>
      <c r="H341" s="620"/>
      <c r="I341" s="627"/>
      <c r="J341" s="620"/>
      <c r="K341" s="628"/>
    </row>
    <row r="342" spans="2:11" ht="15" customHeight="1" x14ac:dyDescent="0.3">
      <c r="B342" s="9"/>
      <c r="C342" s="9"/>
      <c r="D342" s="9"/>
      <c r="E342" s="9"/>
      <c r="F342" s="72"/>
      <c r="G342" s="72"/>
      <c r="H342" s="453"/>
      <c r="I342" s="453"/>
    </row>
    <row r="343" spans="2:11" ht="15" customHeight="1" x14ac:dyDescent="0.3">
      <c r="B343" s="9"/>
      <c r="C343" s="9"/>
      <c r="D343" s="9"/>
      <c r="E343" s="9"/>
      <c r="F343" s="72"/>
      <c r="G343" s="72"/>
      <c r="H343" s="453"/>
      <c r="I343" s="453"/>
    </row>
    <row r="344" spans="2:11" ht="15" customHeight="1" x14ac:dyDescent="0.3">
      <c r="B344" s="9"/>
      <c r="C344" s="9"/>
      <c r="D344" s="9"/>
      <c r="E344" s="9"/>
      <c r="F344" s="72"/>
      <c r="G344" s="72"/>
      <c r="H344" s="453"/>
      <c r="I344" s="453"/>
    </row>
    <row r="345" spans="2:11" ht="15" customHeight="1" x14ac:dyDescent="0.3">
      <c r="B345" s="9"/>
      <c r="C345" s="9"/>
      <c r="D345" s="9"/>
      <c r="E345" s="9"/>
      <c r="F345" s="72"/>
      <c r="G345" s="72"/>
      <c r="H345" s="453"/>
      <c r="I345" s="453"/>
    </row>
    <row r="346" spans="2:11" ht="15" customHeight="1" x14ac:dyDescent="0.3">
      <c r="B346" s="976" t="s">
        <v>518</v>
      </c>
      <c r="C346" s="976"/>
      <c r="D346" s="9"/>
      <c r="E346" s="249"/>
      <c r="F346" s="249"/>
      <c r="G346" s="72"/>
      <c r="H346" s="453"/>
      <c r="I346" s="453"/>
    </row>
    <row r="347" spans="2:11" ht="15" customHeight="1" x14ac:dyDescent="0.3">
      <c r="B347" s="611" t="s">
        <v>4</v>
      </c>
      <c r="C347" s="611" t="s">
        <v>5</v>
      </c>
      <c r="D347" s="9"/>
      <c r="E347" s="249"/>
      <c r="F347" s="249"/>
      <c r="G347" s="72"/>
      <c r="H347" s="453"/>
      <c r="I347" s="453"/>
    </row>
    <row r="348" spans="2:11" ht="15" customHeight="1" x14ac:dyDescent="0.3">
      <c r="B348" s="263" t="s">
        <v>748</v>
      </c>
      <c r="C348" s="558">
        <v>2.0499999999999998</v>
      </c>
      <c r="D348" s="9"/>
      <c r="G348" s="72"/>
      <c r="H348" s="453"/>
      <c r="I348" s="453"/>
    </row>
    <row r="349" spans="2:11" ht="15" customHeight="1" x14ac:dyDescent="0.3">
      <c r="B349" s="457" t="s">
        <v>749</v>
      </c>
      <c r="C349" s="486">
        <v>3.6</v>
      </c>
      <c r="D349" s="9"/>
      <c r="G349" s="72"/>
      <c r="H349" s="453"/>
      <c r="I349" s="453"/>
    </row>
    <row r="350" spans="2:11" ht="15" customHeight="1" x14ac:dyDescent="0.3">
      <c r="B350" s="260" t="s">
        <v>750</v>
      </c>
      <c r="C350" s="560">
        <v>7.5</v>
      </c>
      <c r="D350" s="9"/>
      <c r="G350" s="72"/>
      <c r="H350" s="453"/>
      <c r="I350" s="453"/>
    </row>
    <row r="351" spans="2:11" ht="15" customHeight="1" x14ac:dyDescent="0.3">
      <c r="B351" s="457" t="s">
        <v>751</v>
      </c>
      <c r="C351" s="486">
        <v>2</v>
      </c>
      <c r="D351" s="9"/>
      <c r="G351" s="72"/>
      <c r="H351" s="453"/>
      <c r="I351" s="453"/>
    </row>
    <row r="352" spans="2:11" ht="15" customHeight="1" x14ac:dyDescent="0.3">
      <c r="B352" s="260" t="s">
        <v>752</v>
      </c>
      <c r="C352" s="560">
        <v>1.75</v>
      </c>
      <c r="D352" s="9"/>
      <c r="G352" s="72"/>
      <c r="H352" s="453"/>
      <c r="I352" s="453"/>
    </row>
    <row r="353" spans="2:9" ht="15" customHeight="1" x14ac:dyDescent="0.3">
      <c r="B353" s="457" t="s">
        <v>753</v>
      </c>
      <c r="C353" s="486">
        <v>2.4500000000000002</v>
      </c>
      <c r="D353" s="9"/>
      <c r="G353" s="72"/>
      <c r="H353" s="453"/>
      <c r="I353" s="453"/>
    </row>
    <row r="354" spans="2:9" ht="15" customHeight="1" x14ac:dyDescent="0.3">
      <c r="B354" s="260" t="s">
        <v>754</v>
      </c>
      <c r="C354" s="560">
        <v>1.9</v>
      </c>
      <c r="D354" s="9"/>
      <c r="G354" s="72"/>
      <c r="H354" s="453"/>
      <c r="I354" s="453"/>
    </row>
    <row r="355" spans="2:9" ht="15" customHeight="1" x14ac:dyDescent="0.3">
      <c r="B355" s="457" t="s">
        <v>146</v>
      </c>
      <c r="C355" s="486">
        <v>0.6</v>
      </c>
    </row>
    <row r="356" spans="2:9" ht="15" customHeight="1" x14ac:dyDescent="0.3">
      <c r="B356" s="260" t="s">
        <v>30</v>
      </c>
      <c r="C356" s="462">
        <f>'Custom Table Throw'!C32</f>
        <v>0</v>
      </c>
    </row>
    <row r="357" spans="2:9" ht="15" customHeight="1" x14ac:dyDescent="0.3">
      <c r="B357" s="980" t="s">
        <v>34</v>
      </c>
      <c r="C357" s="981"/>
    </row>
    <row r="359" spans="2:9" ht="15" customHeight="1" x14ac:dyDescent="0.35">
      <c r="B359" s="632" t="s">
        <v>422</v>
      </c>
      <c r="C359" s="453"/>
    </row>
  </sheetData>
  <mergeCells count="91">
    <mergeCell ref="B114:B115"/>
    <mergeCell ref="F150:F151"/>
    <mergeCell ref="G114:G115"/>
    <mergeCell ref="F114:F115"/>
    <mergeCell ref="E186:E187"/>
    <mergeCell ref="G186:G187"/>
    <mergeCell ref="B257:C257"/>
    <mergeCell ref="I313:I314"/>
    <mergeCell ref="B260:C260"/>
    <mergeCell ref="E296:F296"/>
    <mergeCell ref="H150:H151"/>
    <mergeCell ref="B186:B187"/>
    <mergeCell ref="D186:D187"/>
    <mergeCell ref="F186:F187"/>
    <mergeCell ref="D88:E88"/>
    <mergeCell ref="D114:D115"/>
    <mergeCell ref="E114:E115"/>
    <mergeCell ref="C150:C151"/>
    <mergeCell ref="D150:D151"/>
    <mergeCell ref="C114:C115"/>
    <mergeCell ref="B95:D95"/>
    <mergeCell ref="B113:K113"/>
    <mergeCell ref="I114:I115"/>
    <mergeCell ref="K114:K115"/>
    <mergeCell ref="G150:G151"/>
    <mergeCell ref="H114:H115"/>
    <mergeCell ref="F95:G95"/>
    <mergeCell ref="J127:K127"/>
    <mergeCell ref="B150:B151"/>
    <mergeCell ref="B107:C107"/>
    <mergeCell ref="M312:P312"/>
    <mergeCell ref="H307:I307"/>
    <mergeCell ref="J313:J314"/>
    <mergeCell ref="K313:K314"/>
    <mergeCell ref="M313:M314"/>
    <mergeCell ref="N313:N314"/>
    <mergeCell ref="O313:O314"/>
    <mergeCell ref="P313:P314"/>
    <mergeCell ref="H313:H314"/>
    <mergeCell ref="B312:K312"/>
    <mergeCell ref="K56:K57"/>
    <mergeCell ref="B7:I7"/>
    <mergeCell ref="B31:G31"/>
    <mergeCell ref="L56:L57"/>
    <mergeCell ref="F56:F57"/>
    <mergeCell ref="H56:H57"/>
    <mergeCell ref="H15:I15"/>
    <mergeCell ref="H16:I16"/>
    <mergeCell ref="I56:I57"/>
    <mergeCell ref="J56:J57"/>
    <mergeCell ref="B55:M55"/>
    <mergeCell ref="G56:G57"/>
    <mergeCell ref="M56:M57"/>
    <mergeCell ref="B2:D3"/>
    <mergeCell ref="F2:G3"/>
    <mergeCell ref="D56:D57"/>
    <mergeCell ref="E56:E57"/>
    <mergeCell ref="B56:B57"/>
    <mergeCell ref="C56:C57"/>
    <mergeCell ref="J114:J115"/>
    <mergeCell ref="B346:C346"/>
    <mergeCell ref="B357:C357"/>
    <mergeCell ref="B288:C288"/>
    <mergeCell ref="E288:F288"/>
    <mergeCell ref="H288:I288"/>
    <mergeCell ref="B313:B314"/>
    <mergeCell ref="C313:C314"/>
    <mergeCell ref="D313:D314"/>
    <mergeCell ref="E313:E314"/>
    <mergeCell ref="F313:F314"/>
    <mergeCell ref="G313:G314"/>
    <mergeCell ref="B301:C301"/>
    <mergeCell ref="B341:C341"/>
    <mergeCell ref="C186:C187"/>
    <mergeCell ref="E257:G257"/>
    <mergeCell ref="U127:V127"/>
    <mergeCell ref="B221:I221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I186:I187"/>
    <mergeCell ref="I150:I151"/>
    <mergeCell ref="H186:H187"/>
    <mergeCell ref="B149:I149"/>
    <mergeCell ref="B185:I185"/>
    <mergeCell ref="E150:E151"/>
  </mergeCells>
  <dataValidations count="6">
    <dataValidation type="list" allowBlank="1" showInputMessage="1" showErrorMessage="1" sqref="C33:C50 F33:F50" xr:uid="{00000000-0002-0000-0E00-000000000000}">
      <formula1>FabricProfile</formula1>
    </dataValidation>
    <dataValidation type="list" allowBlank="1" showInputMessage="1" showErrorMessage="1" sqref="I152:I179 E152:E180" xr:uid="{00000000-0002-0000-0E00-000001000000}">
      <formula1>RigidProfileSided</formula1>
    </dataValidation>
    <dataValidation type="list" allowBlank="1" showInputMessage="1" showErrorMessage="1" sqref="E253:E256 I253:I256 E218:E220 I218:I220" xr:uid="{00000000-0002-0000-0E00-000002000000}">
      <formula1>UVProfileMount</formula1>
    </dataValidation>
    <dataValidation type="list" allowBlank="1" showInputMessage="1" showErrorMessage="1" sqref="I188:I215 E188:E216" xr:uid="{00000000-0002-0000-0E00-000003000000}">
      <formula1>RigidProfileLaminate</formula1>
    </dataValidation>
    <dataValidation type="list" allowBlank="1" showInputMessage="1" showErrorMessage="1" sqref="G97:G105" xr:uid="{00000000-0002-0000-0E00-000004000000}">
      <formula1>SynthProfile</formula1>
    </dataValidation>
    <dataValidation type="list" allowBlank="1" showInputMessage="1" showErrorMessage="1" sqref="I224:I251 E224:E252" xr:uid="{00000000-0002-0000-0E00-000005000000}">
      <formula1>RigidProfileMaterial</formula1>
    </dataValidation>
  </dataValidations>
  <hyperlinks>
    <hyperlink ref="F2:G3" location="'Main Menu'!C8" display="Back to Main Menu" xr:uid="{00000000-0004-0000-0E00-000000000000}"/>
    <hyperlink ref="B359" location="'Unit Costs'!F2" display="Back to Top" xr:uid="{00000000-0004-0000-0E00-000002000000}"/>
    <hyperlink ref="B5" location="'Unit Costs'!B359" display="Systems" xr:uid="{00000000-0004-0000-0E00-000003000000}"/>
  </hyperlinks>
  <pageMargins left="0.7" right="0.7" top="0.75" bottom="0.75" header="0.3" footer="0.3"/>
  <pageSetup orientation="portrait" r:id="rId1"/>
  <ignoredErrors>
    <ignoredError sqref="C159:C160 C195:C196 C123:C124 C231:C232 G127:G130 G163:G166 G199:G202 G235:G238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tabColor theme="5" tint="0.39997558519241921"/>
  </sheetPr>
  <dimension ref="A2:AG572"/>
  <sheetViews>
    <sheetView zoomScaleNormal="100" workbookViewId="0">
      <selection activeCell="J2" sqref="J2:L3"/>
    </sheetView>
  </sheetViews>
  <sheetFormatPr defaultColWidth="9.109375" defaultRowHeight="15" customHeight="1" x14ac:dyDescent="0.3"/>
  <cols>
    <col min="1" max="1" width="9.109375" style="26"/>
    <col min="2" max="3" width="9.109375" style="26" customWidth="1"/>
    <col min="4" max="16384" width="9.109375" style="26"/>
  </cols>
  <sheetData>
    <row r="2" spans="2:29" ht="15" customHeight="1" x14ac:dyDescent="0.3">
      <c r="B2" s="999" t="s">
        <v>147</v>
      </c>
      <c r="C2" s="999"/>
      <c r="D2" s="999"/>
      <c r="E2" s="999"/>
      <c r="F2" s="999"/>
      <c r="G2" s="999"/>
      <c r="H2" s="999"/>
      <c r="I2" s="660"/>
      <c r="J2" s="1000" t="s">
        <v>1</v>
      </c>
      <c r="K2" s="1000"/>
      <c r="L2" s="1000"/>
      <c r="P2" s="661"/>
    </row>
    <row r="3" spans="2:29" ht="15" customHeight="1" x14ac:dyDescent="0.3">
      <c r="B3" s="999"/>
      <c r="C3" s="999"/>
      <c r="D3" s="999"/>
      <c r="E3" s="999"/>
      <c r="F3" s="999"/>
      <c r="G3" s="999"/>
      <c r="H3" s="999"/>
      <c r="I3" s="660"/>
      <c r="J3" s="1000"/>
      <c r="K3" s="1000"/>
      <c r="L3" s="1000"/>
      <c r="N3" s="662"/>
    </row>
    <row r="4" spans="2:29" ht="15" customHeight="1" x14ac:dyDescent="0.6">
      <c r="C4" s="663"/>
      <c r="D4" s="663"/>
      <c r="E4" s="663"/>
      <c r="F4" s="663"/>
    </row>
    <row r="5" spans="2:29" ht="15" customHeight="1" x14ac:dyDescent="0.3">
      <c r="C5" s="664"/>
      <c r="D5" s="59"/>
      <c r="E5" s="9"/>
      <c r="F5" s="59"/>
      <c r="G5" s="9"/>
      <c r="H5" s="59"/>
      <c r="I5" s="9"/>
      <c r="K5" s="222"/>
      <c r="L5" s="222"/>
      <c r="M5" s="222"/>
      <c r="N5" s="222"/>
      <c r="O5" s="22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2:29" ht="15" customHeight="1" x14ac:dyDescent="0.3">
      <c r="B6" s="18" t="s">
        <v>2</v>
      </c>
      <c r="C6" s="665"/>
      <c r="D6" s="35"/>
      <c r="E6" s="19"/>
      <c r="F6" s="35"/>
      <c r="G6" s="666"/>
      <c r="H6" s="35"/>
      <c r="I6" s="19"/>
      <c r="J6" s="19"/>
      <c r="K6" s="667"/>
      <c r="L6" s="667"/>
      <c r="M6" s="66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2:29" ht="15" customHeight="1" x14ac:dyDescent="0.3">
      <c r="B7" s="7"/>
      <c r="C7" s="9"/>
      <c r="D7" s="9" t="s">
        <v>148</v>
      </c>
      <c r="E7" s="9" t="s">
        <v>149</v>
      </c>
      <c r="F7" s="9"/>
      <c r="G7" s="9"/>
      <c r="H7" s="9"/>
      <c r="I7" s="9"/>
      <c r="J7" s="9"/>
      <c r="K7" s="218"/>
      <c r="L7" s="9"/>
      <c r="M7" s="4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2:29" ht="15" customHeight="1" x14ac:dyDescent="0.3">
      <c r="B8" s="669">
        <f>($D$8*$E$8)/144</f>
        <v>0</v>
      </c>
      <c r="C8" s="9" t="s">
        <v>483</v>
      </c>
      <c r="D8" s="670">
        <f>IF(Fabric!$D$5="",IF(Fabric!$F$5="",(Fabric!$H$5/25.4),Fabric!$F$5*12),Fabric!$D$5)</f>
        <v>0</v>
      </c>
      <c r="E8" s="670">
        <f>IF(Fabric!$D$6="",IF(Fabric!$F$6="",(Fabric!$H$6/25.4),Fabric!$F$6*12),Fabric!$D$6)</f>
        <v>0</v>
      </c>
      <c r="F8" s="9"/>
      <c r="G8" s="9"/>
      <c r="H8" s="9"/>
      <c r="I8" s="9"/>
      <c r="J8" s="9"/>
      <c r="K8" s="218"/>
      <c r="L8" s="9"/>
      <c r="M8" s="205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2:29" ht="15" customHeight="1" x14ac:dyDescent="0.3">
      <c r="B9" s="669">
        <f>(IF($B$8=0,0,($D$8+SUM($F$10:$G$10)))*($E$8+SUM($D$10:$E$10)))/144</f>
        <v>0</v>
      </c>
      <c r="C9" s="9" t="s">
        <v>483</v>
      </c>
      <c r="D9" s="9" t="s">
        <v>150</v>
      </c>
      <c r="E9" s="9" t="s">
        <v>151</v>
      </c>
      <c r="F9" s="9" t="s">
        <v>152</v>
      </c>
      <c r="G9" s="9" t="s">
        <v>153</v>
      </c>
      <c r="H9" s="9"/>
      <c r="K9" s="9"/>
      <c r="L9" s="9" t="s">
        <v>130</v>
      </c>
      <c r="M9" s="205" t="s">
        <v>129</v>
      </c>
      <c r="N9" s="28" t="s">
        <v>158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2:29" ht="15" customHeight="1" x14ac:dyDescent="0.3">
      <c r="B10" s="669">
        <f>(IF($B$8=0,0,($D$8+IF(AND($F$14=2,OR(Fabric!$F$9&lt;&gt;0,Fabric!$H$9&lt;&gt;0)),$F$10,0.5)+IF(AND($G$14=2,OR(Fabric!$F$10&lt;&gt;0,Fabric!$H$10&lt;&gt;0)),$G$10,0.5))*($E$8+IF(AND($D$14=2,OR(Fabric!$F$7&lt;&gt;0,Fabric!$H$7&lt;&gt;0)),$D$10,0.5)+IF(AND($E$14=2,OR(Fabric!$F$8&lt;&gt;0,Fabric!$H$8&lt;&gt;0)),$E$10,0.5))))/144</f>
        <v>0</v>
      </c>
      <c r="C10" s="9" t="s">
        <v>483</v>
      </c>
      <c r="D10" s="9">
        <f>MAX(0,IF($D$14=1,0,IF($D$14=2,IF(Fabric!$F$7="",(Fabric!$H$7/25.4),Fabric!$F$7),IF($D$14=3,IF(IF(Fabric!$F$7="",(Fabric!$H$7/25.4),Fabric!$F$7)+0.5=0.5,0,(IF(Fabric!$F$7="",(Fabric!$H$7/25.4),Fabric!$F$7)+0.5)),IF((IF(Fabric!$F$7="",(Fabric!$H$7/25.4),Fabric!$F$7)*2)+0.5=0.5,0,((IF(Fabric!$F$7="",(Fabric!$H$7/25.4),Fabric!$F$7)*2)+0.5))))))</f>
        <v>0</v>
      </c>
      <c r="E10" s="9">
        <f>MAX(0,IF($E$14=1,0,IF($E$14=2,IF(Fabric!$F$8="",(Fabric!$H$8/25.4),Fabric!$F$8),IF($E$14=3,IF(IF(Fabric!$F$8="",(Fabric!$H$8/25.4),Fabric!$F$8)+0.5=0.5,0,(IF(Fabric!$F$8="",(Fabric!$H$8/25.4),Fabric!$F$8)+0.5)),IF((IF(Fabric!$F$8="",(Fabric!$H$8/25.4),Fabric!$F$8)*2)+0.5=0.5,0,((IF(Fabric!$F$8="",(Fabric!$H$8/25.4),Fabric!$F$8)*2)+0.5))))))</f>
        <v>0</v>
      </c>
      <c r="F10" s="9">
        <f>MAX(0,IF($F$14=1,0,IF($F$14=2,IF(Fabric!$F$9="",(Fabric!$H$9/25.4),Fabric!$F$9),IF($F$14=3,IF(IF(Fabric!$F$9="",(Fabric!$H$9/25.4),Fabric!$F$9)+0.5=0.5,0,(IF(Fabric!$F$9="",(Fabric!$H$9/25.4),Fabric!$F$9)+0.5)),IF((IF(Fabric!$F$9="",(Fabric!$H$9/25.4),Fabric!$F$9)*2)+0.5=0.5,0,((IF(Fabric!$F$9="",(Fabric!$H$9/25.4),Fabric!$F$9)*2)+0.5))))))</f>
        <v>0</v>
      </c>
      <c r="G10" s="9">
        <f>MAX(0,IF($G$14=1,0,IF($G$14=2,IF(Fabric!$F$10="",(Fabric!$I$10/25.4),Fabric!$F$10),IF($G$14=3,IF(IF(Fabric!$F$10="",(Fabric!$I$10/25.4),Fabric!$F$10)+0.5=0.5,0,(IF(Fabric!$F$10="",(Fabric!$I$10/25.4),Fabric!$F$10)+0.5)),IF((IF(Fabric!$F$10="",(Fabric!$I$10/25.4),Fabric!$F$10)*2)+0.5=0.5,0,((IF(Fabric!$F$10="",(Fabric!$I$10/25.4),Fabric!$F$10)*2)+0.5))))))</f>
        <v>0</v>
      </c>
      <c r="H10" s="9"/>
      <c r="K10" s="9">
        <f>IFERROR(HLOOKUP(Fabric!$D$11,L9:M10,2,FALSE),"Invalid")</f>
        <v>1</v>
      </c>
      <c r="L10" s="9">
        <v>1</v>
      </c>
      <c r="M10" s="205">
        <v>2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2:29" ht="15" customHeight="1" x14ac:dyDescent="0.3">
      <c r="B11" s="7"/>
      <c r="C11" s="9"/>
      <c r="D11" s="9" t="s">
        <v>154</v>
      </c>
      <c r="E11" s="9" t="s">
        <v>155</v>
      </c>
      <c r="F11" s="9" t="s">
        <v>156</v>
      </c>
      <c r="G11" s="9" t="s">
        <v>157</v>
      </c>
      <c r="H11" s="9"/>
      <c r="I11" s="272"/>
      <c r="J11" s="9" t="s">
        <v>74</v>
      </c>
      <c r="K11" s="9" t="s">
        <v>160</v>
      </c>
      <c r="L11" s="9" t="s">
        <v>75</v>
      </c>
      <c r="M11" s="205" t="s">
        <v>161</v>
      </c>
      <c r="N11" s="28" t="s">
        <v>158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2:29" ht="15" customHeight="1" x14ac:dyDescent="0.3">
      <c r="B12" s="7"/>
      <c r="C12" s="9"/>
      <c r="D12" s="9">
        <v>1</v>
      </c>
      <c r="E12" s="9">
        <v>2</v>
      </c>
      <c r="F12" s="9">
        <v>3</v>
      </c>
      <c r="G12" s="9">
        <v>4</v>
      </c>
      <c r="H12" s="9"/>
      <c r="I12" s="9">
        <f>IFERROR(HLOOKUP(Fabric!$F$11,J11:M12,2,FALSE),"Invalid")</f>
        <v>1</v>
      </c>
      <c r="J12" s="9">
        <v>1</v>
      </c>
      <c r="K12" s="9">
        <v>2</v>
      </c>
      <c r="L12" s="9">
        <v>3</v>
      </c>
      <c r="M12" s="205">
        <v>4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2:29" ht="15" customHeight="1" x14ac:dyDescent="0.3">
      <c r="B13" s="7" t="s">
        <v>9</v>
      </c>
      <c r="C13" s="22">
        <f>IF($I$12=2,$B$10*'Unit Costs'!$C$10,$B$8*'Unit Costs'!$C$10)</f>
        <v>0</v>
      </c>
      <c r="D13" s="272" t="s">
        <v>150</v>
      </c>
      <c r="E13" s="9" t="s">
        <v>151</v>
      </c>
      <c r="F13" s="9" t="s">
        <v>152</v>
      </c>
      <c r="G13" s="9" t="s">
        <v>153</v>
      </c>
      <c r="H13" s="9"/>
      <c r="K13" s="9"/>
      <c r="L13" s="9" t="s">
        <v>154</v>
      </c>
      <c r="M13" s="205" t="s">
        <v>490</v>
      </c>
      <c r="N13" s="28" t="s">
        <v>158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2:29" ht="15" customHeight="1" x14ac:dyDescent="0.3">
      <c r="B14" s="7"/>
      <c r="C14" s="9"/>
      <c r="D14" s="9">
        <f>IFERROR(HLOOKUP(Fabric!D7,$D$11:$G$12,2,FALSE),"Invalid")</f>
        <v>1</v>
      </c>
      <c r="E14" s="9">
        <f>IFERROR(HLOOKUP(Fabric!D8,$D$11:$G$12,2,FALSE),"Invalid")</f>
        <v>1</v>
      </c>
      <c r="F14" s="9">
        <f>IFERROR(HLOOKUP(Fabric!D9,$D$11:$G$12,2,FALSE),"Invalid")</f>
        <v>1</v>
      </c>
      <c r="G14" s="9">
        <f>IFERROR(HLOOKUP(Fabric!D10,$D$11:$G$12,2,FALSE),"Invalid")</f>
        <v>1</v>
      </c>
      <c r="H14" s="9"/>
      <c r="K14" s="9">
        <f>IFERROR(HLOOKUP(Fabric!$H$11,L13:M14,2,FALSE),"Invalid")</f>
        <v>1</v>
      </c>
      <c r="L14" s="9">
        <v>1</v>
      </c>
      <c r="M14" s="205">
        <v>2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2:29" ht="15" customHeight="1" x14ac:dyDescent="0.3"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205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2:29" ht="15" customHeight="1" x14ac:dyDescent="0.3">
      <c r="B16" s="7"/>
      <c r="C16" s="9"/>
      <c r="D16" s="9"/>
      <c r="E16" s="9"/>
      <c r="F16" s="9"/>
      <c r="G16" s="9"/>
      <c r="H16" s="9"/>
      <c r="I16" s="9"/>
      <c r="J16" s="9" t="s">
        <v>162</v>
      </c>
      <c r="K16" s="671">
        <f>IF('Unit Costs'!I9=0,0,MAX(0,(IF(Fabric!$F$13="",((IF($I$12=1,$B$9*IF($K$10=1,'Unit Costs'!I9,'Unit Costs'!I9/2),IF($I$12=2,($B$10*IF($K$10=1,'Unit Costs'!I9,'Unit Costs'!I9/2))+$C$13,IF($I$12=3,($B$10*IF($K$10=1,'Unit Costs'!I9,'Unit Costs'!I9/2))*2,(($B$10*IF($K$10=1,'Unit Costs'!I9,'Unit Costs'!I9/2))*2)+$C$13))))+Fabric!$D$13)-Fabric!$H$13,((IF($I$12=1,$B$9*IF($K$10=1,'Unit Costs'!I9,'Unit Costs'!I9/2),IF($I$12=2,($B$10*IF($K$10=1,'Unit Costs'!I9,'Unit Costs'!I9/2))+$C$13,IF($I$12=3,($B$10*IF($K$10=1,'Unit Costs'!I9,'Unit Costs'!I9/2))*2,(($B$10*IF($K$10=1,'Unit Costs'!I9,'Unit Costs'!I9/2))*2)+$C$13))))+Fabric!$D$13)*(1-Fabric!$F$13)))*IF(Fabric!$D$14="",1,Fabric!$D$14))+IF($K$14=2,'Unit Costs'!$I$14+IF(Fabric!$D$14&gt;1,Fabric!$D$14-1,0),0))</f>
        <v>0</v>
      </c>
      <c r="L16" s="9"/>
      <c r="M16" s="205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2:29" ht="15" customHeight="1" x14ac:dyDescent="0.3"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205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2:29" ht="15" customHeight="1" x14ac:dyDescent="0.3"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205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2:29" ht="15" customHeight="1" x14ac:dyDescent="0.3">
      <c r="B19" s="7"/>
      <c r="C19" s="9"/>
      <c r="D19" s="9"/>
      <c r="E19" s="9"/>
      <c r="F19" s="9"/>
      <c r="G19" s="9"/>
      <c r="H19" s="9"/>
      <c r="I19" s="9"/>
      <c r="J19" s="9" t="s">
        <v>590</v>
      </c>
      <c r="K19" s="672">
        <f>MAX(0,IF(Fabric!$F$13="",(((IF($I$12=1,$B$8*IF($K$10=1,'Unit Costs'!I10,'Unit Costs'!I10/2),IF($I$12=2,$B$8*IF($K$10=1,'Unit Costs'!I11,'Unit Costs'!I11/2),IF($I$12=3,$B$8*IF($K$10=1,'Unit Costs'!I12,'Unit Costs'!I12/2),$B$8*IF($K$10=1,'Unit Costs'!I13,'Unit Costs'!I13/2)))))+Fabric!$D$13)-Fabric!$H$13),(((IF($I$12=1,$B$8*IF($K$10=1,'Unit Costs'!I10,'Unit Costs'!I10/2),IF($I$12=2,$B$8*IF($K$10=1,'Unit Costs'!I11,'Unit Costs'!I11/2),IF($I$12=3,$B$8*IF($K$10=1,'Unit Costs'!I12,'Unit Costs'!I12/2),$B$8*IF($K$10=1,'Unit Costs'!I13,'Unit Costs'!I13/2)))))+Fabric!$D$13)*(1-Fabric!$F$13)))*IF(Fabric!$D$14="",1,Fabric!$D$14))</f>
        <v>0</v>
      </c>
      <c r="L19" s="9"/>
      <c r="M19" s="205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2:29" ht="15" customHeight="1" x14ac:dyDescent="0.3"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205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2:29" ht="15" customHeight="1" x14ac:dyDescent="0.3"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205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2:29" ht="15" customHeight="1" x14ac:dyDescent="0.3"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205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2:29" ht="15" customHeight="1" x14ac:dyDescent="0.3"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205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2:29" ht="15" customHeight="1" x14ac:dyDescent="0.3">
      <c r="B24" s="7"/>
      <c r="C24" s="9"/>
      <c r="D24" s="9"/>
      <c r="E24" s="9"/>
      <c r="F24" s="9"/>
      <c r="G24" s="9"/>
      <c r="H24" s="9"/>
      <c r="I24" s="9"/>
      <c r="J24" s="9" t="s">
        <v>459</v>
      </c>
      <c r="K24" s="673">
        <f>IF(OR(Fabric!$K$13&lt;=0,Fabric!$K$14&lt;=0,Fabric!$K$13&lt;Fabric!$K$14),0,1-(Fabric!$K$14/Fabric!$K$13))</f>
        <v>0</v>
      </c>
      <c r="L24" s="9"/>
      <c r="M24" s="20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2:29" ht="15" customHeight="1" x14ac:dyDescent="0.3">
      <c r="B25" s="7"/>
      <c r="C25" s="9"/>
      <c r="D25" s="9"/>
      <c r="E25" s="9"/>
      <c r="F25" s="9"/>
      <c r="G25" s="9"/>
      <c r="H25" s="9"/>
      <c r="I25" s="9"/>
      <c r="J25" s="9"/>
      <c r="K25" s="674"/>
      <c r="L25" s="9"/>
      <c r="M25" s="20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Z25" s="28"/>
      <c r="AA25" s="28"/>
      <c r="AB25" s="28"/>
      <c r="AC25" s="28"/>
    </row>
    <row r="26" spans="2:29" ht="15" customHeight="1" x14ac:dyDescent="0.3">
      <c r="B26" s="7"/>
      <c r="C26" s="9" t="s">
        <v>225</v>
      </c>
      <c r="D26" s="9" t="s">
        <v>585</v>
      </c>
      <c r="E26" s="9"/>
      <c r="F26" s="9" t="s">
        <v>225</v>
      </c>
      <c r="G26" s="9" t="s">
        <v>585</v>
      </c>
      <c r="H26" s="9"/>
      <c r="I26" s="9"/>
      <c r="J26" s="9"/>
      <c r="K26" s="9"/>
      <c r="L26" s="9"/>
      <c r="M26" s="205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2:29" ht="15" customHeight="1" x14ac:dyDescent="0.3">
      <c r="B27" s="675" t="s">
        <v>546</v>
      </c>
      <c r="C27" s="671">
        <f>IF('Unit Costs'!C9="N/A","N/A",IF($I$12=1,IF('Unit Costs'!C33="Blocker",MAX(0,(IF(Fabric!$F$13="",(($B$9*'Unit Costs'!C9)+Fabric!$D$13)-Fabric!$H$13,(($B$9*'Unit Costs'!C9)+Fabric!$D$13)*(1-Fabric!$F$13)))*IF(Fabric!$D$14="",1,Fabric!$D$14))+IF($K$14=2,IF(Fabric!$D$14&gt;1,'Unit Costs'!$I$14+(Fabric!$D$14-1),'Unit Costs'!$I$14)),IF(OR('Unit Costs'!C33="Single Sided",'Unit Costs'!C33="No Restrictions",AND('Unit Costs'!C33="No Edges",OR(SUM($D$14:$G$14)=4,SUM(Fabric!$F$7:$H$10)=0))),MAX(0,(IF(Fabric!$F$13="",(($B$9*IF($K$10=1,'Unit Costs'!C9,'Unit Costs'!C9/2))+Fabric!$D$13)-Fabric!$H$13,(($B$9*IF($K$10=1,'Unit Costs'!C9,'Unit Costs'!C9/2))+Fabric!$D$13)*(1-Fabric!$F$13)))*IF(Fabric!$D$14="",1,Fabric!$D$14))+IF($K$14=2,'Unit Costs'!$I$14+IF(Fabric!$D$14&gt;1,Fabric!$D$14-1,0),0),"N/A")),IF('Unit Costs'!C33="No Restrictions",MAX(0,(IF(Fabric!$F$13="",((IF($I$12=2,($B$10*IF($K$10=1,'Unit Costs'!C9,'Unit Costs'!C9/2))+$C$13,IF($I$12=3,($B$10*IF($K$10=1,'Unit Costs'!C9,'Unit Costs'!C9/2))*2,(($B$10*IF($K$10=1,'Unit Costs'!C9,'Unit Costs'!C9/2))*2)+$C$13)))+Fabric!$D$13)-Fabric!$H$13,((IF($I$12=2,($B$10*IF($K$10=1,'Unit Costs'!C9,'Unit Costs'!C9/2))+$C$13,IF($I$12=3,($B$10*IF($K$10=1,'Unit Costs'!C9,'Unit Costs'!C9/2))*2,(($B$10*IF($K$10=1,'Unit Costs'!C9,'Unit Costs'!C9/2))*2)+$C$13)))+Fabric!$D$13)*(1-Fabric!$F$13)))*IF(Fabric!$D$14="",1,Fabric!$D$14))+IF($K$14=2,'Unit Costs'!$I$14+IF(Fabric!$D$14&gt;1,Fabric!$D$14-1,0),0),"N/A")))</f>
        <v>0</v>
      </c>
      <c r="D27" s="671">
        <f>IF('Unit Costs'!D9="N/A","N/A",IF($I$12=1,IF('Unit Costs'!D33="Blocker",MAX(0,(IF(Fabric!$F$13="",(($B$9*'Unit Costs'!D9)+Fabric!$D$13)-Fabric!$H$13,(($B$9*'Unit Costs'!D9)+Fabric!$D$13)*(1-Fabric!$F$13)))*IF(Fabric!$D$14="",1,Fabric!$D$14))+IF($K$14=2,IF(Fabric!$D$14&gt;1,'Unit Costs'!$I$14+(Fabric!$D$14-1),'Unit Costs'!$I$14)),IF(OR('Unit Costs'!D33="Single Sided",'Unit Costs'!D33="No Restrictions",AND('Unit Costs'!D33="No Edges",OR(SUM($D$14:$G$14)=4,SUM(Fabric!$F$7:$H$10)=0))),MAX(0,(IF(Fabric!$F$13="",(($B$9*IF($K$10=1,'Unit Costs'!D9,'Unit Costs'!D9/2))+Fabric!$D$13)-Fabric!$H$13,(($B$9*IF($K$10=1,'Unit Costs'!D9,'Unit Costs'!D9/2))+Fabric!$D$13)*(1-Fabric!$F$13)))*IF(Fabric!$D$14="",1,Fabric!$D$14))+IF($K$14=2,'Unit Costs'!$I$14+IF(Fabric!$D$14&gt;1,Fabric!$D$14-1,0),0),"N/A")),IF('Unit Costs'!D33="No Restrictions",MAX(0,(IF(Fabric!$F$13="",((IF($I$12=2,($B$10*IF($K$10=1,'Unit Costs'!D9,'Unit Costs'!D9/2))+$C$13,IF($I$12=3,($B$10*IF($K$10=1,'Unit Costs'!D9,'Unit Costs'!D9/2))*2,(($B$10*IF($K$10=1,'Unit Costs'!D9,'Unit Costs'!D9/2))*2)+$C$13)))+Fabric!$D$13)-Fabric!$H$13,((IF($I$12=2,($B$10*IF($K$10=1,'Unit Costs'!D9,'Unit Costs'!D9/2))+$C$13,IF($I$12=3,($B$10*IF($K$10=1,'Unit Costs'!D9,'Unit Costs'!D9/2))*2,(($B$10*IF($K$10=1,'Unit Costs'!D9,'Unit Costs'!D9/2))*2)+$C$13)))+Fabric!$D$13)*(1-Fabric!$F$13)))*IF(Fabric!$D$14="",1,Fabric!$D$14))+IF($K$14=2,'Unit Costs'!$I$14+IF(Fabric!$D$14&gt;1,Fabric!$D$14-1,0),0),"N/A")))</f>
        <v>0</v>
      </c>
      <c r="E27" s="676" t="s">
        <v>567</v>
      </c>
      <c r="F27" s="671">
        <f>IF('Unit Costs'!F9="N/A","N/A",IF($I$12=1,IF('Unit Costs'!F33="Blocker",MAX(0,(IF(Fabric!$F$13="",(($B$9*'Unit Costs'!F9)+Fabric!$D$13)-Fabric!$H$13,(($B$9*'Unit Costs'!F9)+Fabric!$D$13)*(1-Fabric!$F$13)))*IF(Fabric!$D$14="",1,Fabric!$D$14))+IF($K$14=2,IF(Fabric!$D$14&gt;1,'Unit Costs'!$I$14+(Fabric!$D$14-1),'Unit Costs'!$I$14)),IF(OR('Unit Costs'!F33="Single Sided",'Unit Costs'!F33="No Restrictions",AND('Unit Costs'!F33="No Edges",OR(SUM($D$14:$G$14)=4,SUM(Fabric!$F$7:$H$10)=0))),MAX(0,(IF(Fabric!$F$13="",(($B$9*IF($K$10=1,'Unit Costs'!F9,'Unit Costs'!F9/2))+Fabric!$D$13)-Fabric!$H$13,(($B$9*IF($K$10=1,'Unit Costs'!F9,'Unit Costs'!F9/2))+Fabric!$D$13)*(1-Fabric!$F$13)))*IF(Fabric!$D$14="",1,Fabric!$D$14))+IF($K$14=2,'Unit Costs'!$I$14+IF(Fabric!$D$14&gt;1,Fabric!$D$14-1,0),0),"N/A")),IF('Unit Costs'!F33="No Restrictions",MAX(0,(IF(Fabric!$F$13="",((IF($I$12=2,($B$10*IF($K$10=1,'Unit Costs'!F9,'Unit Costs'!F9/2))+$C$13,IF($I$12=3,($B$10*IF($K$10=1,'Unit Costs'!F9,'Unit Costs'!F9/2))*2,(($B$10*IF($K$10=1,'Unit Costs'!F9,'Unit Costs'!F9/2))*2)+$C$13)))+Fabric!$D$13)-Fabric!$H$13,((IF($I$12=2,($B$10*IF($K$10=1,'Unit Costs'!F9,'Unit Costs'!F9/2))+$C$13,IF($I$12=3,($B$10*IF($K$10=1,'Unit Costs'!F9,'Unit Costs'!F9/2))*2,(($B$10*IF($K$10=1,'Unit Costs'!F9,'Unit Costs'!F9/2))*2)+$C$13)))+Fabric!$D$13)*(1-Fabric!$F$13)))*IF(Fabric!$D$14="",1,Fabric!$D$14))+IF($K$14=2,'Unit Costs'!$I$14+IF(Fabric!$D$14&gt;1,Fabric!$D$14-1,0),0),"N/A")))</f>
        <v>0</v>
      </c>
      <c r="G27" s="671" t="str">
        <f>IF('Unit Costs'!G9="N/A","N/A",IF($I$12=1,IF('Unit Costs'!G33="Blocker",MAX(0,(IF(Fabric!$F$13="",(($B$9*'Unit Costs'!G9)+Fabric!$D$13)-Fabric!$H$13,(($B$9*'Unit Costs'!G9)+Fabric!$D$13)*(1-Fabric!$F$13)))*IF(Fabric!$D$14="",1,Fabric!$D$14))+IF($K$14=2,IF(Fabric!$D$14&gt;1,'Unit Costs'!$I$14+(Fabric!$D$14-1),'Unit Costs'!$I$14)),IF(OR('Unit Costs'!G33="Single Sided",'Unit Costs'!G33="No Restrictions",AND('Unit Costs'!G33="No Edges",OR(SUM($D$14:$G$14)=4,SUM(Fabric!$F$7:$H$10)=0))),MAX(0,(IF(Fabric!$F$13="",(($B$9*IF($K$10=1,'Unit Costs'!G9,'Unit Costs'!G9/2))+Fabric!$D$13)-Fabric!$H$13,(($B$9*IF($K$10=1,'Unit Costs'!G9,'Unit Costs'!G9/2))+Fabric!$D$13)*(1-Fabric!$F$13)))*IF(Fabric!$D$14="",1,Fabric!$D$14))+IF($K$14=2,'Unit Costs'!$I$14+IF(Fabric!$D$14&gt;1,Fabric!$D$14-1,0),0),"N/A")),IF('Unit Costs'!G33="No Restrictions",MAX(0,(IF(Fabric!$F$13="",((IF($I$12=2,($B$10*IF($K$10=1,'Unit Costs'!G9,'Unit Costs'!G9/2))+$C$13,IF($I$12=3,($B$10*IF($K$10=1,'Unit Costs'!G9,'Unit Costs'!G9/2))*2,(($B$10*IF($K$10=1,'Unit Costs'!G9,'Unit Costs'!G9/2))*2)+$C$13)))+Fabric!$D$13)-Fabric!$H$13,((IF($I$12=2,($B$10*IF($K$10=1,'Unit Costs'!G9,'Unit Costs'!G9/2))+$C$13,IF($I$12=3,($B$10*IF($K$10=1,'Unit Costs'!G9,'Unit Costs'!G9/2))*2,(($B$10*IF($K$10=1,'Unit Costs'!G9,'Unit Costs'!G9/2))*2)+$C$13)))+Fabric!$D$13)*(1-Fabric!$F$13)))*IF(Fabric!$D$14="",1,Fabric!$D$14))+IF($K$14=2,'Unit Costs'!$I$14+IF(Fabric!$D$14&gt;1,Fabric!$D$14-1,0),0),"N/A")))</f>
        <v>N/A</v>
      </c>
      <c r="H27" s="9"/>
      <c r="I27" s="9"/>
      <c r="J27" s="9" t="s">
        <v>463</v>
      </c>
      <c r="K27" s="658" t="str">
        <f>CONCATENATE(ROUND(IF($I$12=1,$D$8+SUM($F$10:$G$10),$D$8+IF(AND($F$14=2,$F$10&gt;0.5),$F$10,0.5)+IF(AND($G$14=2,$G$10&gt;0.5),$G$10,0.5)),4),"""")</f>
        <v>0"</v>
      </c>
      <c r="L27" s="9"/>
      <c r="M27" s="205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2:29" ht="15" customHeight="1" x14ac:dyDescent="0.3">
      <c r="B28" s="675" t="s">
        <v>9</v>
      </c>
      <c r="C28" s="671">
        <f>IF('Unit Costs'!C10="N/A","N/A",IF($I$12=1,IF('Unit Costs'!C34="Blocker",MAX(0,(IF(Fabric!$F$13="",(($B$9*'Unit Costs'!C10)+Fabric!$D$13)-Fabric!$H$13,(($B$9*'Unit Costs'!C10)+Fabric!$D$13)*(1-Fabric!$F$13)))*IF(Fabric!$D$14="",1,Fabric!$D$14))+IF($K$14=2,IF(Fabric!$D$14&gt;1,'Unit Costs'!$I$14+(Fabric!$D$14-1),'Unit Costs'!$I$14)),IF(OR('Unit Costs'!C34="Single Sided",'Unit Costs'!C34="No Restrictions",AND('Unit Costs'!C34="No Edges",OR(SUM($D$14:$G$14)=4,SUM(Fabric!$F$7:$H$10)=0))),MAX(0,(IF(Fabric!$F$13="",(($B$9*IF($K$10=1,'Unit Costs'!C10,'Unit Costs'!C10/2))+Fabric!$D$13)-Fabric!$H$13,(($B$9*IF($K$10=1,'Unit Costs'!C10,'Unit Costs'!C10/2))+Fabric!$D$13)*(1-Fabric!$F$13)))*IF(Fabric!$D$14="",1,Fabric!$D$14))+IF($K$14=2,'Unit Costs'!$I$14+IF(Fabric!$D$14&gt;1,Fabric!$D$14-1,0),0),"N/A")),IF('Unit Costs'!C34="No Restrictions",MAX(0,(IF(Fabric!$F$13="",((IF($I$12=2,($B$10*IF($K$10=1,'Unit Costs'!C10,'Unit Costs'!C10/2))+$C$13,IF($I$12=3,($B$10*IF($K$10=1,'Unit Costs'!C10,'Unit Costs'!C10/2))*2,(($B$10*IF($K$10=1,'Unit Costs'!C10,'Unit Costs'!C10/2))*2)+$C$13)))+Fabric!$D$13)-Fabric!$H$13,((IF($I$12=2,($B$10*IF($K$10=1,'Unit Costs'!C10,'Unit Costs'!C10/2))+$C$13,IF($I$12=3,($B$10*IF($K$10=1,'Unit Costs'!C10,'Unit Costs'!C10/2))*2,(($B$10*IF($K$10=1,'Unit Costs'!C10,'Unit Costs'!C10/2))*2)+$C$13)))+Fabric!$D$13)*(1-Fabric!$F$13)))*IF(Fabric!$D$14="",1,Fabric!$D$14))+IF($K$14=2,'Unit Costs'!$I$14+IF(Fabric!$D$14&gt;1,Fabric!$D$14-1,0),0),"N/A")))</f>
        <v>0</v>
      </c>
      <c r="D28" s="671" t="str">
        <f>IF('Unit Costs'!D10="N/A","N/A",IF($I$12=1,IF('Unit Costs'!D34="Blocker",MAX(0,(IF(Fabric!$F$13="",(($B$9*'Unit Costs'!D10)+Fabric!$D$13)-Fabric!$H$13,(($B$9*'Unit Costs'!D10)+Fabric!$D$13)*(1-Fabric!$F$13)))*IF(Fabric!$D$14="",1,Fabric!$D$14))+IF($K$14=2,IF(Fabric!$D$14&gt;1,'Unit Costs'!$I$14+(Fabric!$D$14-1),'Unit Costs'!$I$14)),IF(OR('Unit Costs'!D34="Single Sided",'Unit Costs'!D34="No Restrictions",AND('Unit Costs'!D34="No Edges",OR(SUM($D$14:$G$14)=4,SUM(Fabric!$F$7:$H$10)=0))),MAX(0,(IF(Fabric!$F$13="",(($B$9*IF($K$10=1,'Unit Costs'!D10,'Unit Costs'!D10/2))+Fabric!$D$13)-Fabric!$H$13,(($B$9*IF($K$10=1,'Unit Costs'!D10,'Unit Costs'!D10/2))+Fabric!$D$13)*(1-Fabric!$F$13)))*IF(Fabric!$D$14="",1,Fabric!$D$14))+IF($K$14=2,'Unit Costs'!$I$14+IF(Fabric!$D$14&gt;1,Fabric!$D$14-1,0),0),"N/A")),IF('Unit Costs'!D34="No Restrictions",MAX(0,(IF(Fabric!$F$13="",((IF($I$12=2,($B$10*IF($K$10=1,'Unit Costs'!D10,'Unit Costs'!D10/2))+$C$13,IF($I$12=3,($B$10*IF($K$10=1,'Unit Costs'!D10,'Unit Costs'!D10/2))*2,(($B$10*IF($K$10=1,'Unit Costs'!D10,'Unit Costs'!D10/2))*2)+$C$13)))+Fabric!$D$13)-Fabric!$H$13,((IF($I$12=2,($B$10*IF($K$10=1,'Unit Costs'!D10,'Unit Costs'!D10/2))+$C$13,IF($I$12=3,($B$10*IF($K$10=1,'Unit Costs'!D10,'Unit Costs'!D10/2))*2,(($B$10*IF($K$10=1,'Unit Costs'!D10,'Unit Costs'!D10/2))*2)+$C$13)))+Fabric!$D$13)*(1-Fabric!$F$13)))*IF(Fabric!$D$14="",1,Fabric!$D$14))+IF($K$14=2,'Unit Costs'!$I$14+IF(Fabric!$D$14&gt;1,Fabric!$D$14-1,0),0),"N/A")))</f>
        <v>N/A</v>
      </c>
      <c r="E28" s="676" t="s">
        <v>568</v>
      </c>
      <c r="F28" s="671">
        <f>IF('Unit Costs'!F10="N/A","N/A",IF($I$12=1,IF('Unit Costs'!F34="Blocker",MAX(0,(IF(Fabric!$F$13="",(($B$9*'Unit Costs'!F10)+Fabric!$D$13)-Fabric!$H$13,(($B$9*'Unit Costs'!F10)+Fabric!$D$13)*(1-Fabric!$F$13)))*IF(Fabric!$D$14="",1,Fabric!$D$14))+IF($K$14=2,IF(Fabric!$D$14&gt;1,'Unit Costs'!$I$14+(Fabric!$D$14-1),'Unit Costs'!$I$14)),IF(OR('Unit Costs'!F34="Single Sided",'Unit Costs'!F34="No Restrictions",AND('Unit Costs'!F34="No Edges",OR(SUM($D$14:$G$14)=4,SUM(Fabric!$F$7:$H$10)=0))),MAX(0,(IF(Fabric!$F$13="",(($B$9*IF($K$10=1,'Unit Costs'!F10,'Unit Costs'!F10/2))+Fabric!$D$13)-Fabric!$H$13,(($B$9*IF($K$10=1,'Unit Costs'!F10,'Unit Costs'!F10/2))+Fabric!$D$13)*(1-Fabric!$F$13)))*IF(Fabric!$D$14="",1,Fabric!$D$14))+IF($K$14=2,'Unit Costs'!$I$14+IF(Fabric!$D$14&gt;1,Fabric!$D$14-1,0),0),"N/A")),IF('Unit Costs'!F34="No Restrictions",MAX(0,(IF(Fabric!$F$13="",((IF($I$12=2,($B$10*IF($K$10=1,'Unit Costs'!F10,'Unit Costs'!F10/2))+$C$13,IF($I$12=3,($B$10*IF($K$10=1,'Unit Costs'!F10,'Unit Costs'!F10/2))*2,(($B$10*IF($K$10=1,'Unit Costs'!F10,'Unit Costs'!F10/2))*2)+$C$13)))+Fabric!$D$13)-Fabric!$H$13,((IF($I$12=2,($B$10*IF($K$10=1,'Unit Costs'!F10,'Unit Costs'!F10/2))+$C$13,IF($I$12=3,($B$10*IF($K$10=1,'Unit Costs'!F10,'Unit Costs'!F10/2))*2,(($B$10*IF($K$10=1,'Unit Costs'!F10,'Unit Costs'!F10/2))*2)+$C$13)))+Fabric!$D$13)*(1-Fabric!$F$13)))*IF(Fabric!$D$14="",1,Fabric!$D$14))+IF($K$14=2,'Unit Costs'!$I$14+IF(Fabric!$D$14&gt;1,Fabric!$D$14-1,0),0),"N/A")))</f>
        <v>0</v>
      </c>
      <c r="G28" s="671" t="str">
        <f>IF('Unit Costs'!G10="N/A","N/A",IF($I$12=1,IF('Unit Costs'!G34="Blocker",MAX(0,(IF(Fabric!$F$13="",(($B$9*'Unit Costs'!G10)+Fabric!$D$13)-Fabric!$H$13,(($B$9*'Unit Costs'!G10)+Fabric!$D$13)*(1-Fabric!$F$13)))*IF(Fabric!$D$14="",1,Fabric!$D$14))+IF($K$14=2,IF(Fabric!$D$14&gt;1,'Unit Costs'!$I$14+(Fabric!$D$14-1),'Unit Costs'!$I$14)),IF(OR('Unit Costs'!G34="Single Sided",'Unit Costs'!G34="No Restrictions",AND('Unit Costs'!G34="No Edges",OR(SUM($D$14:$G$14)=4,SUM(Fabric!$F$7:$H$10)=0))),MAX(0,(IF(Fabric!$F$13="",(($B$9*IF($K$10=1,'Unit Costs'!G10,'Unit Costs'!G10/2))+Fabric!$D$13)-Fabric!$H$13,(($B$9*IF($K$10=1,'Unit Costs'!G10,'Unit Costs'!G10/2))+Fabric!$D$13)*(1-Fabric!$F$13)))*IF(Fabric!$D$14="",1,Fabric!$D$14))+IF($K$14=2,'Unit Costs'!$I$14+IF(Fabric!$D$14&gt;1,Fabric!$D$14-1,0),0),"N/A")),IF('Unit Costs'!G34="No Restrictions",MAX(0,(IF(Fabric!$F$13="",((IF($I$12=2,($B$10*IF($K$10=1,'Unit Costs'!G10,'Unit Costs'!G10/2))+$C$13,IF($I$12=3,($B$10*IF($K$10=1,'Unit Costs'!G10,'Unit Costs'!G10/2))*2,(($B$10*IF($K$10=1,'Unit Costs'!G10,'Unit Costs'!G10/2))*2)+$C$13)))+Fabric!$D$13)-Fabric!$H$13,((IF($I$12=2,($B$10*IF($K$10=1,'Unit Costs'!G10,'Unit Costs'!G10/2))+$C$13,IF($I$12=3,($B$10*IF($K$10=1,'Unit Costs'!G10,'Unit Costs'!G10/2))*2,(($B$10*IF($K$10=1,'Unit Costs'!G10,'Unit Costs'!G10/2))*2)+$C$13)))+Fabric!$D$13)*(1-Fabric!$F$13)))*IF(Fabric!$D$14="",1,Fabric!$D$14))+IF($K$14=2,'Unit Costs'!$I$14+IF(Fabric!$D$14&gt;1,Fabric!$D$14-1,0),0),"N/A")))</f>
        <v>N/A</v>
      </c>
      <c r="H28" s="9"/>
      <c r="I28" s="9"/>
      <c r="J28" s="9" t="s">
        <v>464</v>
      </c>
      <c r="K28" s="658" t="str">
        <f>CONCATENATE(ROUND(IF($I$12=1,$E$8+SUM($D$10:$E$10),$E$8+IF(AND($D$14=2,$D$10&gt;0.5),$D$10,0.5)+IF(AND($E$14=2,$E$10&gt;0.5),$E$10,0.5)),4),"""")</f>
        <v>0"</v>
      </c>
      <c r="L28" s="9"/>
      <c r="M28" s="205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spans="2:29" ht="15" customHeight="1" x14ac:dyDescent="0.3">
      <c r="B29" s="675" t="s">
        <v>594</v>
      </c>
      <c r="C29" s="671">
        <f>IF('Unit Costs'!C11="N/A","N/A",IF($I$12=1,IF('Unit Costs'!C35="Blocker",MAX(0,(IF(Fabric!$F$13="",(($B$9*'Unit Costs'!C11)+Fabric!$D$13)-Fabric!$H$13,(($B$9*'Unit Costs'!C11)+Fabric!$D$13)*(1-Fabric!$F$13)))*IF(Fabric!$D$14="",1,Fabric!$D$14))+IF($K$14=2,IF(Fabric!$D$14&gt;1,'Unit Costs'!$I$14+(Fabric!$D$14-1),'Unit Costs'!$I$14)),IF(OR('Unit Costs'!C35="Single Sided",'Unit Costs'!C35="No Restrictions",AND('Unit Costs'!C35="No Edges",OR(SUM($D$14:$G$14)=4,SUM(Fabric!$F$7:$H$10)=0))),MAX(0,(IF(Fabric!$F$13="",(($B$9*IF($K$10=1,'Unit Costs'!C11,'Unit Costs'!C11/2))+Fabric!$D$13)-Fabric!$H$13,(($B$9*IF($K$10=1,'Unit Costs'!C11,'Unit Costs'!C11/2))+Fabric!$D$13)*(1-Fabric!$F$13)))*IF(Fabric!$D$14="",1,Fabric!$D$14))+IF($K$14=2,'Unit Costs'!$I$14+IF(Fabric!$D$14&gt;1,Fabric!$D$14-1,0),0),"N/A")),IF('Unit Costs'!C35="No Restrictions",MAX(0,(IF(Fabric!$F$13="",((IF($I$12=2,($B$10*IF($K$10=1,'Unit Costs'!C11,'Unit Costs'!C11/2))+$C$13,IF($I$12=3,($B$10*IF($K$10=1,'Unit Costs'!C11,'Unit Costs'!C11/2))*2,(($B$10*IF($K$10=1,'Unit Costs'!C11,'Unit Costs'!C11/2))*2)+$C$13)))+Fabric!$D$13)-Fabric!$H$13,((IF($I$12=2,($B$10*IF($K$10=1,'Unit Costs'!C11,'Unit Costs'!C11/2))+$C$13,IF($I$12=3,($B$10*IF($K$10=1,'Unit Costs'!C11,'Unit Costs'!C11/2))*2,(($B$10*IF($K$10=1,'Unit Costs'!C11,'Unit Costs'!C11/2))*2)+$C$13)))+Fabric!$D$13)*(1-Fabric!$F$13)))*IF(Fabric!$D$14="",1,Fabric!$D$14))+IF($K$14=2,'Unit Costs'!$I$14+IF(Fabric!$D$14&gt;1,Fabric!$D$14-1,0),0),"N/A")))</f>
        <v>0</v>
      </c>
      <c r="D29" s="671">
        <f>IF('Unit Costs'!D11="N/A","N/A",IF($I$12=1,IF('Unit Costs'!D35="Blocker",MAX(0,(IF(Fabric!$F$13="",(($B$9*'Unit Costs'!D11)+Fabric!$D$13)-Fabric!$H$13,(($B$9*'Unit Costs'!D11)+Fabric!$D$13)*(1-Fabric!$F$13)))*IF(Fabric!$D$14="",1,Fabric!$D$14))+IF($K$14=2,IF(Fabric!$D$14&gt;1,'Unit Costs'!$I$14+(Fabric!$D$14-1),'Unit Costs'!$I$14)),IF(OR('Unit Costs'!D35="Single Sided",'Unit Costs'!D35="No Restrictions",AND('Unit Costs'!D35="No Edges",OR(SUM($D$14:$G$14)=4,SUM(Fabric!$F$7:$H$10)=0))),MAX(0,(IF(Fabric!$F$13="",(($B$9*IF($K$10=1,'Unit Costs'!D11,'Unit Costs'!D11/2))+Fabric!$D$13)-Fabric!$H$13,(($B$9*IF($K$10=1,'Unit Costs'!D11,'Unit Costs'!D11/2))+Fabric!$D$13)*(1-Fabric!$F$13)))*IF(Fabric!$D$14="",1,Fabric!$D$14))+IF($K$14=2,'Unit Costs'!$I$14+IF(Fabric!$D$14&gt;1,Fabric!$D$14-1,0),0),"N/A")),IF('Unit Costs'!D35="No Restrictions",MAX(0,(IF(Fabric!$F$13="",((IF($I$12=2,($B$10*IF($K$10=1,'Unit Costs'!D11,'Unit Costs'!D11/2))+$C$13,IF($I$12=3,($B$10*IF($K$10=1,'Unit Costs'!D11,'Unit Costs'!D11/2))*2,(($B$10*IF($K$10=1,'Unit Costs'!D11,'Unit Costs'!D11/2))*2)+$C$13)))+Fabric!$D$13)-Fabric!$H$13,((IF($I$12=2,($B$10*IF($K$10=1,'Unit Costs'!D11,'Unit Costs'!D11/2))+$C$13,IF($I$12=3,($B$10*IF($K$10=1,'Unit Costs'!D11,'Unit Costs'!D11/2))*2,(($B$10*IF($K$10=1,'Unit Costs'!D11,'Unit Costs'!D11/2))*2)+$C$13)))+Fabric!$D$13)*(1-Fabric!$F$13)))*IF(Fabric!$D$14="",1,Fabric!$D$14))+IF($K$14=2,'Unit Costs'!$I$14+IF(Fabric!$D$14&gt;1,Fabric!$D$14-1,0),0),"N/A")))</f>
        <v>0</v>
      </c>
      <c r="E29" s="676" t="s">
        <v>569</v>
      </c>
      <c r="F29" s="671">
        <f>IF('Unit Costs'!F11="N/A","N/A",IF($I$12=1,IF('Unit Costs'!F35="Blocker",MAX(0,(IF(Fabric!$F$13="",(($B$9*'Unit Costs'!F11)+Fabric!$D$13)-Fabric!$H$13,(($B$9*'Unit Costs'!F11)+Fabric!$D$13)*(1-Fabric!$F$13)))*IF(Fabric!$D$14="",1,Fabric!$D$14))+IF($K$14=2,IF(Fabric!$D$14&gt;1,'Unit Costs'!$I$14+(Fabric!$D$14-1),'Unit Costs'!$I$14)),IF(OR('Unit Costs'!F35="Single Sided",'Unit Costs'!F35="No Restrictions",AND('Unit Costs'!F35="No Edges",OR(SUM($D$14:$G$14)=4,SUM(Fabric!$F$7:$H$10)=0))),MAX(0,(IF(Fabric!$F$13="",(($B$9*IF($K$10=1,'Unit Costs'!F11,'Unit Costs'!F11/2))+Fabric!$D$13)-Fabric!$H$13,(($B$9*IF($K$10=1,'Unit Costs'!F11,'Unit Costs'!F11/2))+Fabric!$D$13)*(1-Fabric!$F$13)))*IF(Fabric!$D$14="",1,Fabric!$D$14))+IF($K$14=2,'Unit Costs'!$I$14+IF(Fabric!$D$14&gt;1,Fabric!$D$14-1,0),0),"N/A")),IF('Unit Costs'!F35="No Restrictions",MAX(0,(IF(Fabric!$F$13="",((IF($I$12=2,($B$10*IF($K$10=1,'Unit Costs'!F11,'Unit Costs'!F11/2))+$C$13,IF($I$12=3,($B$10*IF($K$10=1,'Unit Costs'!F11,'Unit Costs'!F11/2))*2,(($B$10*IF($K$10=1,'Unit Costs'!F11,'Unit Costs'!F11/2))*2)+$C$13)))+Fabric!$D$13)-Fabric!$H$13,((IF($I$12=2,($B$10*IF($K$10=1,'Unit Costs'!F11,'Unit Costs'!F11/2))+$C$13,IF($I$12=3,($B$10*IF($K$10=1,'Unit Costs'!F11,'Unit Costs'!F11/2))*2,(($B$10*IF($K$10=1,'Unit Costs'!F11,'Unit Costs'!F11/2))*2)+$C$13)))+Fabric!$D$13)*(1-Fabric!$F$13)))*IF(Fabric!$D$14="",1,Fabric!$D$14))+IF($K$14=2,'Unit Costs'!$I$14+IF(Fabric!$D$14&gt;1,Fabric!$D$14-1,0),0),"N/A")))</f>
        <v>0</v>
      </c>
      <c r="G29" s="671" t="str">
        <f>IF('Unit Costs'!G11="N/A","N/A",IF($I$12=1,IF('Unit Costs'!G35="Blocker",MAX(0,(IF(Fabric!$F$13="",(($B$9*'Unit Costs'!G11)+Fabric!$D$13)-Fabric!$H$13,(($B$9*'Unit Costs'!G11)+Fabric!$D$13)*(1-Fabric!$F$13)))*IF(Fabric!$D$14="",1,Fabric!$D$14))+IF($K$14=2,IF(Fabric!$D$14&gt;1,'Unit Costs'!$I$14+(Fabric!$D$14-1),'Unit Costs'!$I$14)),IF(OR('Unit Costs'!G35="Single Sided",'Unit Costs'!G35="No Restrictions",AND('Unit Costs'!G35="No Edges",OR(SUM($D$14:$G$14)=4,SUM(Fabric!$F$7:$H$10)=0))),MAX(0,(IF(Fabric!$F$13="",(($B$9*IF($K$10=1,'Unit Costs'!G11,'Unit Costs'!G11/2))+Fabric!$D$13)-Fabric!$H$13,(($B$9*IF($K$10=1,'Unit Costs'!G11,'Unit Costs'!G11/2))+Fabric!$D$13)*(1-Fabric!$F$13)))*IF(Fabric!$D$14="",1,Fabric!$D$14))+IF($K$14=2,'Unit Costs'!$I$14+IF(Fabric!$D$14&gt;1,Fabric!$D$14-1,0),0),"N/A")),IF('Unit Costs'!G35="No Restrictions",MAX(0,(IF(Fabric!$F$13="",((IF($I$12=2,($B$10*IF($K$10=1,'Unit Costs'!G11,'Unit Costs'!G11/2))+$C$13,IF($I$12=3,($B$10*IF($K$10=1,'Unit Costs'!G11,'Unit Costs'!G11/2))*2,(($B$10*IF($K$10=1,'Unit Costs'!G11,'Unit Costs'!G11/2))*2)+$C$13)))+Fabric!$D$13)-Fabric!$H$13,((IF($I$12=2,($B$10*IF($K$10=1,'Unit Costs'!G11,'Unit Costs'!G11/2))+$C$13,IF($I$12=3,($B$10*IF($K$10=1,'Unit Costs'!G11,'Unit Costs'!G11/2))*2,(($B$10*IF($K$10=1,'Unit Costs'!G11,'Unit Costs'!G11/2))*2)+$C$13)))+Fabric!$D$13)*(1-Fabric!$F$13)))*IF(Fabric!$D$14="",1,Fabric!$D$14))+IF($K$14=2,'Unit Costs'!$I$14+IF(Fabric!$D$14&gt;1,Fabric!$D$14-1,0),0),"N/A")))</f>
        <v>N/A</v>
      </c>
      <c r="H29" s="9"/>
      <c r="I29" s="9"/>
      <c r="J29" s="9"/>
      <c r="K29" s="9"/>
      <c r="L29" s="9"/>
      <c r="M29" s="205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spans="2:29" ht="15" customHeight="1" x14ac:dyDescent="0.3">
      <c r="B30" s="675" t="s">
        <v>547</v>
      </c>
      <c r="C30" s="671">
        <f>IF('Unit Costs'!C12="N/A","N/A",IF($I$12=1,IF('Unit Costs'!C36="Blocker",MAX(0,(IF(Fabric!$F$13="",(($B$9*'Unit Costs'!C12)+Fabric!$D$13)-Fabric!$H$13,(($B$9*'Unit Costs'!C12)+Fabric!$D$13)*(1-Fabric!$F$13)))*IF(Fabric!$D$14="",1,Fabric!$D$14))+IF($K$14=2,IF(Fabric!$D$14&gt;1,'Unit Costs'!$I$14+(Fabric!$D$14-1),'Unit Costs'!$I$14)),IF(OR('Unit Costs'!C36="Single Sided",'Unit Costs'!C36="No Restrictions",AND('Unit Costs'!C36="No Edges",OR(SUM($D$14:$G$14)=4,SUM(Fabric!$F$7:$H$10)=0))),MAX(0,(IF(Fabric!$F$13="",(($B$9*IF($K$10=1,'Unit Costs'!C12,'Unit Costs'!C12/2))+Fabric!$D$13)-Fabric!$H$13,(($B$9*IF($K$10=1,'Unit Costs'!C12,'Unit Costs'!C12/2))+Fabric!$D$13)*(1-Fabric!$F$13)))*IF(Fabric!$D$14="",1,Fabric!$D$14))+IF($K$14=2,'Unit Costs'!$I$14+IF(Fabric!$D$14&gt;1,Fabric!$D$14-1,0),0),"N/A")),IF('Unit Costs'!C36="No Restrictions",MAX(0,(IF(Fabric!$F$13="",((IF($I$12=2,($B$10*IF($K$10=1,'Unit Costs'!C12,'Unit Costs'!C12/2))+$C$13,IF($I$12=3,($B$10*IF($K$10=1,'Unit Costs'!C12,'Unit Costs'!C12/2))*2,(($B$10*IF($K$10=1,'Unit Costs'!C12,'Unit Costs'!C12/2))*2)+$C$13)))+Fabric!$D$13)-Fabric!$H$13,((IF($I$12=2,($B$10*IF($K$10=1,'Unit Costs'!C12,'Unit Costs'!C12/2))+$C$13,IF($I$12=3,($B$10*IF($K$10=1,'Unit Costs'!C12,'Unit Costs'!C12/2))*2,(($B$10*IF($K$10=1,'Unit Costs'!C12,'Unit Costs'!C12/2))*2)+$C$13)))+Fabric!$D$13)*(1-Fabric!$F$13)))*IF(Fabric!$D$14="",1,Fabric!$D$14))+IF($K$14=2,'Unit Costs'!$I$14+IF(Fabric!$D$14&gt;1,Fabric!$D$14-1,0),0),"N/A")))</f>
        <v>0</v>
      </c>
      <c r="D30" s="671">
        <f>IF('Unit Costs'!D12="N/A","N/A",IF($I$12=1,IF('Unit Costs'!D36="Blocker",MAX(0,(IF(Fabric!$F$13="",(($B$9*'Unit Costs'!D12)+Fabric!$D$13)-Fabric!$H$13,(($B$9*'Unit Costs'!D12)+Fabric!$D$13)*(1-Fabric!$F$13)))*IF(Fabric!$D$14="",1,Fabric!$D$14))+IF($K$14=2,IF(Fabric!$D$14&gt;1,'Unit Costs'!$I$14+(Fabric!$D$14-1),'Unit Costs'!$I$14)),IF(OR('Unit Costs'!D36="Single Sided",'Unit Costs'!D36="No Restrictions",AND('Unit Costs'!D36="No Edges",OR(SUM($D$14:$G$14)=4,SUM(Fabric!$F$7:$H$10)=0))),MAX(0,(IF(Fabric!$F$13="",(($B$9*IF($K$10=1,'Unit Costs'!D12,'Unit Costs'!D12/2))+Fabric!$D$13)-Fabric!$H$13,(($B$9*IF($K$10=1,'Unit Costs'!D12,'Unit Costs'!D12/2))+Fabric!$D$13)*(1-Fabric!$F$13)))*IF(Fabric!$D$14="",1,Fabric!$D$14))+IF($K$14=2,'Unit Costs'!$I$14+IF(Fabric!$D$14&gt;1,Fabric!$D$14-1,0),0),"N/A")),IF('Unit Costs'!D36="No Restrictions",MAX(0,(IF(Fabric!$F$13="",((IF($I$12=2,($B$10*IF($K$10=1,'Unit Costs'!D12,'Unit Costs'!D12/2))+$C$13,IF($I$12=3,($B$10*IF($K$10=1,'Unit Costs'!D12,'Unit Costs'!D12/2))*2,(($B$10*IF($K$10=1,'Unit Costs'!D12,'Unit Costs'!D12/2))*2)+$C$13)))+Fabric!$D$13)-Fabric!$H$13,((IF($I$12=2,($B$10*IF($K$10=1,'Unit Costs'!D12,'Unit Costs'!D12/2))+$C$13,IF($I$12=3,($B$10*IF($K$10=1,'Unit Costs'!D12,'Unit Costs'!D12/2))*2,(($B$10*IF($K$10=1,'Unit Costs'!D12,'Unit Costs'!D12/2))*2)+$C$13)))+Fabric!$D$13)*(1-Fabric!$F$13)))*IF(Fabric!$D$14="",1,Fabric!$D$14))+IF($K$14=2,'Unit Costs'!$I$14+IF(Fabric!$D$14&gt;1,Fabric!$D$14-1,0),0),"N/A")))</f>
        <v>0</v>
      </c>
      <c r="E30" s="676" t="s">
        <v>570</v>
      </c>
      <c r="F30" s="671">
        <f>IF('Unit Costs'!F12="N/A","N/A",IF($I$12=1,IF('Unit Costs'!F36="Blocker",MAX(0,(IF(Fabric!$F$13="",(($B$9*'Unit Costs'!F12)+Fabric!$D$13)-Fabric!$H$13,(($B$9*'Unit Costs'!F12)+Fabric!$D$13)*(1-Fabric!$F$13)))*IF(Fabric!$D$14="",1,Fabric!$D$14))+IF($K$14=2,IF(Fabric!$D$14&gt;1,'Unit Costs'!$I$14+(Fabric!$D$14-1),'Unit Costs'!$I$14)),IF(OR('Unit Costs'!F36="Single Sided",'Unit Costs'!F36="No Restrictions",AND('Unit Costs'!F36="No Edges",OR(SUM($D$14:$G$14)=4,SUM(Fabric!$F$7:$H$10)=0))),MAX(0,(IF(Fabric!$F$13="",(($B$9*IF($K$10=1,'Unit Costs'!F12,'Unit Costs'!F12/2))+Fabric!$D$13)-Fabric!$H$13,(($B$9*IF($K$10=1,'Unit Costs'!F12,'Unit Costs'!F12/2))+Fabric!$D$13)*(1-Fabric!$F$13)))*IF(Fabric!$D$14="",1,Fabric!$D$14))+IF($K$14=2,'Unit Costs'!$I$14+IF(Fabric!$D$14&gt;1,Fabric!$D$14-1,0),0),"N/A")),IF('Unit Costs'!F36="No Restrictions",MAX(0,(IF(Fabric!$F$13="",((IF($I$12=2,($B$10*IF($K$10=1,'Unit Costs'!F12,'Unit Costs'!F12/2))+$C$13,IF($I$12=3,($B$10*IF($K$10=1,'Unit Costs'!F12,'Unit Costs'!F12/2))*2,(($B$10*IF($K$10=1,'Unit Costs'!F12,'Unit Costs'!F12/2))*2)+$C$13)))+Fabric!$D$13)-Fabric!$H$13,((IF($I$12=2,($B$10*IF($K$10=1,'Unit Costs'!F12,'Unit Costs'!F12/2))+$C$13,IF($I$12=3,($B$10*IF($K$10=1,'Unit Costs'!F12,'Unit Costs'!F12/2))*2,(($B$10*IF($K$10=1,'Unit Costs'!F12,'Unit Costs'!F12/2))*2)+$C$13)))+Fabric!$D$13)*(1-Fabric!$F$13)))*IF(Fabric!$D$14="",1,Fabric!$D$14))+IF($K$14=2,'Unit Costs'!$I$14+IF(Fabric!$D$14&gt;1,Fabric!$D$14-1,0),0),"N/A")))</f>
        <v>0</v>
      </c>
      <c r="G30" s="671">
        <f>IF('Unit Costs'!G12="N/A","N/A",IF($I$12=1,IF('Unit Costs'!G36="Blocker",MAX(0,(IF(Fabric!$F$13="",(($B$9*'Unit Costs'!G12)+Fabric!$D$13)-Fabric!$H$13,(($B$9*'Unit Costs'!G12)+Fabric!$D$13)*(1-Fabric!$F$13)))*IF(Fabric!$D$14="",1,Fabric!$D$14))+IF($K$14=2,IF(Fabric!$D$14&gt;1,'Unit Costs'!$I$14+(Fabric!$D$14-1),'Unit Costs'!$I$14)),IF(OR('Unit Costs'!G36="Single Sided",'Unit Costs'!G36="No Restrictions",AND('Unit Costs'!G36="No Edges",OR(SUM($D$14:$G$14)=4,SUM(Fabric!$F$7:$H$10)=0))),MAX(0,(IF(Fabric!$F$13="",(($B$9*IF($K$10=1,'Unit Costs'!G12,'Unit Costs'!G12/2))+Fabric!$D$13)-Fabric!$H$13,(($B$9*IF($K$10=1,'Unit Costs'!G12,'Unit Costs'!G12/2))+Fabric!$D$13)*(1-Fabric!$F$13)))*IF(Fabric!$D$14="",1,Fabric!$D$14))+IF($K$14=2,'Unit Costs'!$I$14+IF(Fabric!$D$14&gt;1,Fabric!$D$14-1,0),0),"N/A")),IF('Unit Costs'!G36="No Restrictions",MAX(0,(IF(Fabric!$F$13="",((IF($I$12=2,($B$10*IF($K$10=1,'Unit Costs'!G12,'Unit Costs'!G12/2))+$C$13,IF($I$12=3,($B$10*IF($K$10=1,'Unit Costs'!G12,'Unit Costs'!G12/2))*2,(($B$10*IF($K$10=1,'Unit Costs'!G12,'Unit Costs'!G12/2))*2)+$C$13)))+Fabric!$D$13)-Fabric!$H$13,((IF($I$12=2,($B$10*IF($K$10=1,'Unit Costs'!G12,'Unit Costs'!G12/2))+$C$13,IF($I$12=3,($B$10*IF($K$10=1,'Unit Costs'!G12,'Unit Costs'!G12/2))*2,(($B$10*IF($K$10=1,'Unit Costs'!G12,'Unit Costs'!G12/2))*2)+$C$13)))+Fabric!$D$13)*(1-Fabric!$F$13)))*IF(Fabric!$D$14="",1,Fabric!$D$14))+IF($K$14=2,'Unit Costs'!$I$14+IF(Fabric!$D$14&gt;1,Fabric!$D$14-1,0),0),"N/A")))</f>
        <v>0</v>
      </c>
      <c r="H30" s="9"/>
      <c r="I30" s="9"/>
      <c r="J30" s="9"/>
      <c r="K30" s="9"/>
      <c r="L30" s="9"/>
      <c r="M30" s="205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 spans="2:29" ht="15" customHeight="1" x14ac:dyDescent="0.3">
      <c r="B31" s="675" t="s">
        <v>548</v>
      </c>
      <c r="C31" s="671">
        <f>IF('Unit Costs'!C13="N/A","N/A",IF($I$12=1,IF('Unit Costs'!C37="Blocker",MAX(0,(IF(Fabric!$F$13="",(($B$9*'Unit Costs'!C13)+Fabric!$D$13)-Fabric!$H$13,(($B$9*'Unit Costs'!C13)+Fabric!$D$13)*(1-Fabric!$F$13)))*IF(Fabric!$D$14="",1,Fabric!$D$14))+IF($K$14=2,IF(Fabric!$D$14&gt;1,'Unit Costs'!$I$14+(Fabric!$D$14-1),'Unit Costs'!$I$14)),IF(OR('Unit Costs'!C37="Single Sided",'Unit Costs'!C37="No Restrictions",AND('Unit Costs'!C37="No Edges",OR(SUM($D$14:$G$14)=4,SUM(Fabric!$F$7:$H$10)=0))),MAX(0,(IF(Fabric!$F$13="",(($B$9*IF($K$10=1,'Unit Costs'!C13,'Unit Costs'!C13/2))+Fabric!$D$13)-Fabric!$H$13,(($B$9*IF($K$10=1,'Unit Costs'!C13,'Unit Costs'!C13/2))+Fabric!$D$13)*(1-Fabric!$F$13)))*IF(Fabric!$D$14="",1,Fabric!$D$14))+IF($K$14=2,'Unit Costs'!$I$14+IF(Fabric!$D$14&gt;1,Fabric!$D$14-1,0),0),"N/A")),IF('Unit Costs'!C37="No Restrictions",MAX(0,(IF(Fabric!$F$13="",((IF($I$12=2,($B$10*IF($K$10=1,'Unit Costs'!C13,'Unit Costs'!C13/2))+$C$13,IF($I$12=3,($B$10*IF($K$10=1,'Unit Costs'!C13,'Unit Costs'!C13/2))*2,(($B$10*IF($K$10=1,'Unit Costs'!C13,'Unit Costs'!C13/2))*2)+$C$13)))+Fabric!$D$13)-Fabric!$H$13,((IF($I$12=2,($B$10*IF($K$10=1,'Unit Costs'!C13,'Unit Costs'!C13/2))+$C$13,IF($I$12=3,($B$10*IF($K$10=1,'Unit Costs'!C13,'Unit Costs'!C13/2))*2,(($B$10*IF($K$10=1,'Unit Costs'!C13,'Unit Costs'!C13/2))*2)+$C$13)))+Fabric!$D$13)*(1-Fabric!$F$13)))*IF(Fabric!$D$14="",1,Fabric!$D$14))+IF($K$14=2,'Unit Costs'!$I$14+IF(Fabric!$D$14&gt;1,Fabric!$D$14-1,0),0),"N/A")))</f>
        <v>0</v>
      </c>
      <c r="D31" s="671">
        <f>IF('Unit Costs'!D13="N/A","N/A",IF($I$12=1,IF('Unit Costs'!D37="Blocker",MAX(0,(IF(Fabric!$F$13="",(($B$9*'Unit Costs'!D13)+Fabric!$D$13)-Fabric!$H$13,(($B$9*'Unit Costs'!D13)+Fabric!$D$13)*(1-Fabric!$F$13)))*IF(Fabric!$D$14="",1,Fabric!$D$14))+IF($K$14=2,IF(Fabric!$D$14&gt;1,'Unit Costs'!$I$14+(Fabric!$D$14-1),'Unit Costs'!$I$14)),IF(OR('Unit Costs'!D37="Single Sided",'Unit Costs'!D37="No Restrictions",AND('Unit Costs'!D37="No Edges",OR(SUM($D$14:$G$14)=4,SUM(Fabric!$F$7:$H$10)=0))),MAX(0,(IF(Fabric!$F$13="",(($B$9*IF($K$10=1,'Unit Costs'!D13,'Unit Costs'!D13/2))+Fabric!$D$13)-Fabric!$H$13,(($B$9*IF($K$10=1,'Unit Costs'!D13,'Unit Costs'!D13/2))+Fabric!$D$13)*(1-Fabric!$F$13)))*IF(Fabric!$D$14="",1,Fabric!$D$14))+IF($K$14=2,'Unit Costs'!$I$14+IF(Fabric!$D$14&gt;1,Fabric!$D$14-1,0),0),"N/A")),IF('Unit Costs'!D37="No Restrictions",MAX(0,(IF(Fabric!$F$13="",((IF($I$12=2,($B$10*IF($K$10=1,'Unit Costs'!D13,'Unit Costs'!D13/2))+$C$13,IF($I$12=3,($B$10*IF($K$10=1,'Unit Costs'!D13,'Unit Costs'!D13/2))*2,(($B$10*IF($K$10=1,'Unit Costs'!D13,'Unit Costs'!D13/2))*2)+$C$13)))+Fabric!$D$13)-Fabric!$H$13,((IF($I$12=2,($B$10*IF($K$10=1,'Unit Costs'!D13,'Unit Costs'!D13/2))+$C$13,IF($I$12=3,($B$10*IF($K$10=1,'Unit Costs'!D13,'Unit Costs'!D13/2))*2,(($B$10*IF($K$10=1,'Unit Costs'!D13,'Unit Costs'!D13/2))*2)+$C$13)))+Fabric!$D$13)*(1-Fabric!$F$13)))*IF(Fabric!$D$14="",1,Fabric!$D$14))+IF($K$14=2,'Unit Costs'!$I$14+IF(Fabric!$D$14&gt;1,Fabric!$D$14-1,0),0),"N/A")))</f>
        <v>0</v>
      </c>
      <c r="E31" s="676" t="s">
        <v>549</v>
      </c>
      <c r="F31" s="671">
        <f>IF('Unit Costs'!F13="N/A","N/A",IF($I$12=1,IF('Unit Costs'!F37="Blocker",MAX(0,(IF(Fabric!$F$13="",(($B$9*'Unit Costs'!F13)+Fabric!$D$13)-Fabric!$H$13,(($B$9*'Unit Costs'!F13)+Fabric!$D$13)*(1-Fabric!$F$13)))*IF(Fabric!$D$14="",1,Fabric!$D$14))+IF($K$14=2,IF(Fabric!$D$14&gt;1,'Unit Costs'!$I$14+(Fabric!$D$14-1),'Unit Costs'!$I$14)),IF(OR('Unit Costs'!F37="Single Sided",'Unit Costs'!F37="No Restrictions",AND('Unit Costs'!F37="No Edges",OR(SUM($D$14:$G$14)=4,SUM(Fabric!$F$7:$H$10)=0))),MAX(0,(IF(Fabric!$F$13="",(($B$9*IF($K$10=1,'Unit Costs'!F13,'Unit Costs'!F13/2))+Fabric!$D$13)-Fabric!$H$13,(($B$9*IF($K$10=1,'Unit Costs'!F13,'Unit Costs'!F13/2))+Fabric!$D$13)*(1-Fabric!$F$13)))*IF(Fabric!$D$14="",1,Fabric!$D$14))+IF($K$14=2,'Unit Costs'!$I$14+IF(Fabric!$D$14&gt;1,Fabric!$D$14-1,0),0),"N/A")),IF('Unit Costs'!F37="No Restrictions",MAX(0,(IF(Fabric!$F$13="",((IF($I$12=2,($B$10*IF($K$10=1,'Unit Costs'!F13,'Unit Costs'!F13/2))+$C$13,IF($I$12=3,($B$10*IF($K$10=1,'Unit Costs'!F13,'Unit Costs'!F13/2))*2,(($B$10*IF($K$10=1,'Unit Costs'!F13,'Unit Costs'!F13/2))*2)+$C$13)))+Fabric!$D$13)-Fabric!$H$13,((IF($I$12=2,($B$10*IF($K$10=1,'Unit Costs'!F13,'Unit Costs'!F13/2))+$C$13,IF($I$12=3,($B$10*IF($K$10=1,'Unit Costs'!F13,'Unit Costs'!F13/2))*2,(($B$10*IF($K$10=1,'Unit Costs'!F13,'Unit Costs'!F13/2))*2)+$C$13)))+Fabric!$D$13)*(1-Fabric!$F$13)))*IF(Fabric!$D$14="",1,Fabric!$D$14))+IF($K$14=2,'Unit Costs'!$I$14+IF(Fabric!$D$14&gt;1,Fabric!$D$14-1,0),0),"N/A")))</f>
        <v>0</v>
      </c>
      <c r="G31" s="671">
        <f>IF('Unit Costs'!G13="N/A","N/A",IF($I$12=1,IF('Unit Costs'!G37="Blocker",MAX(0,(IF(Fabric!$F$13="",(($B$9*'Unit Costs'!G13)+Fabric!$D$13)-Fabric!$H$13,(($B$9*'Unit Costs'!G13)+Fabric!$D$13)*(1-Fabric!$F$13)))*IF(Fabric!$D$14="",1,Fabric!$D$14))+IF($K$14=2,IF(Fabric!$D$14&gt;1,'Unit Costs'!$I$14+(Fabric!$D$14-1),'Unit Costs'!$I$14)),IF(OR('Unit Costs'!G37="Single Sided",'Unit Costs'!G37="No Restrictions",AND('Unit Costs'!G37="No Edges",OR(SUM($D$14:$G$14)=4,SUM(Fabric!$F$7:$H$10)=0))),MAX(0,(IF(Fabric!$F$13="",(($B$9*IF($K$10=1,'Unit Costs'!G13,'Unit Costs'!G13/2))+Fabric!$D$13)-Fabric!$H$13,(($B$9*IF($K$10=1,'Unit Costs'!G13,'Unit Costs'!G13/2))+Fabric!$D$13)*(1-Fabric!$F$13)))*IF(Fabric!$D$14="",1,Fabric!$D$14))+IF($K$14=2,'Unit Costs'!$I$14+IF(Fabric!$D$14&gt;1,Fabric!$D$14-1,0),0),"N/A")),IF('Unit Costs'!G37="No Restrictions",MAX(0,(IF(Fabric!$F$13="",((IF($I$12=2,($B$10*IF($K$10=1,'Unit Costs'!G13,'Unit Costs'!G13/2))+$C$13,IF($I$12=3,($B$10*IF($K$10=1,'Unit Costs'!G13,'Unit Costs'!G13/2))*2,(($B$10*IF($K$10=1,'Unit Costs'!G13,'Unit Costs'!G13/2))*2)+$C$13)))+Fabric!$D$13)-Fabric!$H$13,((IF($I$12=2,($B$10*IF($K$10=1,'Unit Costs'!G13,'Unit Costs'!G13/2))+$C$13,IF($I$12=3,($B$10*IF($K$10=1,'Unit Costs'!G13,'Unit Costs'!G13/2))*2,(($B$10*IF($K$10=1,'Unit Costs'!G13,'Unit Costs'!G13/2))*2)+$C$13)))+Fabric!$D$13)*(1-Fabric!$F$13)))*IF(Fabric!$D$14="",1,Fabric!$D$14))+IF($K$14=2,'Unit Costs'!$I$14+IF(Fabric!$D$14&gt;1,Fabric!$D$14-1,0),0),"N/A")))</f>
        <v>0</v>
      </c>
      <c r="H31" s="9"/>
      <c r="I31" s="9"/>
      <c r="J31" s="9"/>
      <c r="K31" s="9"/>
      <c r="L31" s="9"/>
      <c r="M31" s="205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9" ht="15" customHeight="1" x14ac:dyDescent="0.3">
      <c r="B32" s="675" t="s">
        <v>550</v>
      </c>
      <c r="C32" s="671">
        <f>IF('Unit Costs'!C14="N/A","N/A",IF($I$12=1,IF('Unit Costs'!C38="Blocker",MAX(0,(IF(Fabric!$F$13="",(($B$9*'Unit Costs'!C14)+Fabric!$D$13)-Fabric!$H$13,(($B$9*'Unit Costs'!C14)+Fabric!$D$13)*(1-Fabric!$F$13)))*IF(Fabric!$D$14="",1,Fabric!$D$14))+IF($K$14=2,IF(Fabric!$D$14&gt;1,'Unit Costs'!$I$14+(Fabric!$D$14-1),'Unit Costs'!$I$14)),IF(OR('Unit Costs'!C38="Single Sided",'Unit Costs'!C38="No Restrictions",AND('Unit Costs'!C38="No Edges",OR(SUM($D$14:$G$14)=4,SUM(Fabric!$F$7:$H$10)=0))),MAX(0,(IF(Fabric!$F$13="",(($B$9*IF($K$10=1,'Unit Costs'!C14,'Unit Costs'!C14/2))+Fabric!$D$13)-Fabric!$H$13,(($B$9*IF($K$10=1,'Unit Costs'!C14,'Unit Costs'!C14/2))+Fabric!$D$13)*(1-Fabric!$F$13)))*IF(Fabric!$D$14="",1,Fabric!$D$14))+IF($K$14=2,'Unit Costs'!$I$14+IF(Fabric!$D$14&gt;1,Fabric!$D$14-1,0),0),"N/A")),IF('Unit Costs'!C38="No Restrictions",MAX(0,(IF(Fabric!$F$13="",((IF($I$12=2,($B$10*IF($K$10=1,'Unit Costs'!C14,'Unit Costs'!C14/2))+$C$13,IF($I$12=3,($B$10*IF($K$10=1,'Unit Costs'!C14,'Unit Costs'!C14/2))*2,(($B$10*IF($K$10=1,'Unit Costs'!C14,'Unit Costs'!C14/2))*2)+$C$13)))+Fabric!$D$13)-Fabric!$H$13,((IF($I$12=2,($B$10*IF($K$10=1,'Unit Costs'!C14,'Unit Costs'!C14/2))+$C$13,IF($I$12=3,($B$10*IF($K$10=1,'Unit Costs'!C14,'Unit Costs'!C14/2))*2,(($B$10*IF($K$10=1,'Unit Costs'!C14,'Unit Costs'!C14/2))*2)+$C$13)))+Fabric!$D$13)*(1-Fabric!$F$13)))*IF(Fabric!$D$14="",1,Fabric!$D$14))+IF($K$14=2,'Unit Costs'!$I$14+IF(Fabric!$D$14&gt;1,Fabric!$D$14-1,0),0),"N/A")))</f>
        <v>0</v>
      </c>
      <c r="D32" s="671" t="str">
        <f>IF('Unit Costs'!D14="N/A","N/A",IF($I$12=1,IF('Unit Costs'!D38="Blocker",MAX(0,(IF(Fabric!$F$13="",(($B$9*'Unit Costs'!D14)+Fabric!$D$13)-Fabric!$H$13,(($B$9*'Unit Costs'!D14)+Fabric!$D$13)*(1-Fabric!$F$13)))*IF(Fabric!$D$14="",1,Fabric!$D$14))+IF($K$14=2,IF(Fabric!$D$14&gt;1,'Unit Costs'!$I$14+(Fabric!$D$14-1),'Unit Costs'!$I$14)),IF(OR('Unit Costs'!D38="Single Sided",'Unit Costs'!D38="No Restrictions",AND('Unit Costs'!D38="No Edges",OR(SUM($D$14:$G$14)=4,SUM(Fabric!$F$7:$H$10)=0))),MAX(0,(IF(Fabric!$F$13="",(($B$9*IF($K$10=1,'Unit Costs'!D14,'Unit Costs'!D14/2))+Fabric!$D$13)-Fabric!$H$13,(($B$9*IF($K$10=1,'Unit Costs'!D14,'Unit Costs'!D14/2))+Fabric!$D$13)*(1-Fabric!$F$13)))*IF(Fabric!$D$14="",1,Fabric!$D$14))+IF($K$14=2,'Unit Costs'!$I$14+IF(Fabric!$D$14&gt;1,Fabric!$D$14-1,0),0),"N/A")),IF('Unit Costs'!D38="No Restrictions",MAX(0,(IF(Fabric!$F$13="",((IF($I$12=2,($B$10*IF($K$10=1,'Unit Costs'!D14,'Unit Costs'!D14/2))+$C$13,IF($I$12=3,($B$10*IF($K$10=1,'Unit Costs'!D14,'Unit Costs'!D14/2))*2,(($B$10*IF($K$10=1,'Unit Costs'!D14,'Unit Costs'!D14/2))*2)+$C$13)))+Fabric!$D$13)-Fabric!$H$13,((IF($I$12=2,($B$10*IF($K$10=1,'Unit Costs'!D14,'Unit Costs'!D14/2))+$C$13,IF($I$12=3,($B$10*IF($K$10=1,'Unit Costs'!D14,'Unit Costs'!D14/2))*2,(($B$10*IF($K$10=1,'Unit Costs'!D14,'Unit Costs'!D14/2))*2)+$C$13)))+Fabric!$D$13)*(1-Fabric!$F$13)))*IF(Fabric!$D$14="",1,Fabric!$D$14))+IF($K$14=2,'Unit Costs'!$I$14+IF(Fabric!$D$14&gt;1,Fabric!$D$14-1,0),0),"N/A")))</f>
        <v>N/A</v>
      </c>
      <c r="E32" s="676" t="s">
        <v>561</v>
      </c>
      <c r="F32" s="671">
        <f>IF('Unit Costs'!F14="N/A","N/A",IF($I$12=1,IF('Unit Costs'!F38="Blocker",MAX(0,(IF(Fabric!$F$13="",(($B$9*'Unit Costs'!F14)+Fabric!$D$13)-Fabric!$H$13,(($B$9*'Unit Costs'!F14)+Fabric!$D$13)*(1-Fabric!$F$13)))*IF(Fabric!$D$14="",1,Fabric!$D$14))+IF($K$14=2,IF(Fabric!$D$14&gt;1,'Unit Costs'!$I$14+(Fabric!$D$14-1),'Unit Costs'!$I$14)),IF(OR('Unit Costs'!F38="Single Sided",'Unit Costs'!F38="No Restrictions",AND('Unit Costs'!F38="No Edges",OR(SUM($D$14:$G$14)=4,SUM(Fabric!$F$7:$H$10)=0))),MAX(0,(IF(Fabric!$F$13="",(($B$9*IF($K$10=1,'Unit Costs'!F14,'Unit Costs'!F14/2))+Fabric!$D$13)-Fabric!$H$13,(($B$9*IF($K$10=1,'Unit Costs'!F14,'Unit Costs'!F14/2))+Fabric!$D$13)*(1-Fabric!$F$13)))*IF(Fabric!$D$14="",1,Fabric!$D$14))+IF($K$14=2,'Unit Costs'!$I$14+IF(Fabric!$D$14&gt;1,Fabric!$D$14-1,0),0),"N/A")),IF('Unit Costs'!F38="No Restrictions",MAX(0,(IF(Fabric!$F$13="",((IF($I$12=2,($B$10*IF($K$10=1,'Unit Costs'!F14,'Unit Costs'!F14/2))+$C$13,IF($I$12=3,($B$10*IF($K$10=1,'Unit Costs'!F14,'Unit Costs'!F14/2))*2,(($B$10*IF($K$10=1,'Unit Costs'!F14,'Unit Costs'!F14/2))*2)+$C$13)))+Fabric!$D$13)-Fabric!$H$13,((IF($I$12=2,($B$10*IF($K$10=1,'Unit Costs'!F14,'Unit Costs'!F14/2))+$C$13,IF($I$12=3,($B$10*IF($K$10=1,'Unit Costs'!F14,'Unit Costs'!F14/2))*2,(($B$10*IF($K$10=1,'Unit Costs'!F14,'Unit Costs'!F14/2))*2)+$C$13)))+Fabric!$D$13)*(1-Fabric!$F$13)))*IF(Fabric!$D$14="",1,Fabric!$D$14))+IF($K$14=2,'Unit Costs'!$I$14+IF(Fabric!$D$14&gt;1,Fabric!$D$14-1,0),0),"N/A")))</f>
        <v>0</v>
      </c>
      <c r="G32" s="671">
        <f>IF('Unit Costs'!G14="N/A","N/A",IF($I$12=1,IF('Unit Costs'!G38="Blocker",MAX(0,(IF(Fabric!$F$13="",(($B$9*'Unit Costs'!G14)+Fabric!$D$13)-Fabric!$H$13,(($B$9*'Unit Costs'!G14)+Fabric!$D$13)*(1-Fabric!$F$13)))*IF(Fabric!$D$14="",1,Fabric!$D$14))+IF($K$14=2,IF(Fabric!$D$14&gt;1,'Unit Costs'!$I$14+(Fabric!$D$14-1),'Unit Costs'!$I$14)),IF(OR('Unit Costs'!G38="Single Sided",'Unit Costs'!G38="No Restrictions",AND('Unit Costs'!G38="No Edges",OR(SUM($D$14:$G$14)=4,SUM(Fabric!$F$7:$H$10)=0))),MAX(0,(IF(Fabric!$F$13="",(($B$9*IF($K$10=1,'Unit Costs'!G14,'Unit Costs'!G14/2))+Fabric!$D$13)-Fabric!$H$13,(($B$9*IF($K$10=1,'Unit Costs'!G14,'Unit Costs'!G14/2))+Fabric!$D$13)*(1-Fabric!$F$13)))*IF(Fabric!$D$14="",1,Fabric!$D$14))+IF($K$14=2,'Unit Costs'!$I$14+IF(Fabric!$D$14&gt;1,Fabric!$D$14-1,0),0),"N/A")),IF('Unit Costs'!G38="No Restrictions",MAX(0,(IF(Fabric!$F$13="",((IF($I$12=2,($B$10*IF($K$10=1,'Unit Costs'!G14,'Unit Costs'!G14/2))+$C$13,IF($I$12=3,($B$10*IF($K$10=1,'Unit Costs'!G14,'Unit Costs'!G14/2))*2,(($B$10*IF($K$10=1,'Unit Costs'!G14,'Unit Costs'!G14/2))*2)+$C$13)))+Fabric!$D$13)-Fabric!$H$13,((IF($I$12=2,($B$10*IF($K$10=1,'Unit Costs'!G14,'Unit Costs'!G14/2))+$C$13,IF($I$12=3,($B$10*IF($K$10=1,'Unit Costs'!G14,'Unit Costs'!G14/2))*2,(($B$10*IF($K$10=1,'Unit Costs'!G14,'Unit Costs'!G14/2))*2)+$C$13)))+Fabric!$D$13)*(1-Fabric!$F$13)))*IF(Fabric!$D$14="",1,Fabric!$D$14))+IF($K$14=2,'Unit Costs'!$I$14+IF(Fabric!$D$14&gt;1,Fabric!$D$14-1,0),0),"N/A")))</f>
        <v>0</v>
      </c>
      <c r="H32" s="9"/>
      <c r="I32" s="9"/>
      <c r="J32" s="9"/>
      <c r="K32" s="9"/>
      <c r="L32" s="9"/>
      <c r="M32" s="20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2:24" ht="15" customHeight="1" x14ac:dyDescent="0.3">
      <c r="B33" s="675" t="s">
        <v>551</v>
      </c>
      <c r="C33" s="671" t="str">
        <f>IF('Unit Costs'!C15="N/A","N/A",IF($I$12=1,IF('Unit Costs'!C39="Blocker",MAX(0,(IF(Fabric!$F$13="",(($B$9*'Unit Costs'!C15)+Fabric!$D$13)-Fabric!$H$13,(($B$9*'Unit Costs'!C15)+Fabric!$D$13)*(1-Fabric!$F$13)))*IF(Fabric!$D$14="",1,Fabric!$D$14))+IF($K$14=2,IF(Fabric!$D$14&gt;1,'Unit Costs'!$I$14+(Fabric!$D$14-1),'Unit Costs'!$I$14)),IF(OR('Unit Costs'!C39="Single Sided",'Unit Costs'!C39="No Restrictions",AND('Unit Costs'!C39="No Edges",OR(SUM($D$14:$G$14)=4,SUM(Fabric!$F$7:$H$10)=0))),MAX(0,(IF(Fabric!$F$13="",(($B$9*IF($K$10=1,'Unit Costs'!C15,'Unit Costs'!C15/2))+Fabric!$D$13)-Fabric!$H$13,(($B$9*IF($K$10=1,'Unit Costs'!C15,'Unit Costs'!C15/2))+Fabric!$D$13)*(1-Fabric!$F$13)))*IF(Fabric!$D$14="",1,Fabric!$D$14))+IF($K$14=2,'Unit Costs'!$I$14+IF(Fabric!$D$14&gt;1,Fabric!$D$14-1,0),0),"N/A")),IF('Unit Costs'!C39="No Restrictions",MAX(0,(IF(Fabric!$F$13="",((IF($I$12=2,($B$10*IF($K$10=1,'Unit Costs'!C15,'Unit Costs'!C15/2))+$C$13,IF($I$12=3,($B$10*IF($K$10=1,'Unit Costs'!C15,'Unit Costs'!C15/2))*2,(($B$10*IF($K$10=1,'Unit Costs'!C15,'Unit Costs'!C15/2))*2)+$C$13)))+Fabric!$D$13)-Fabric!$H$13,((IF($I$12=2,($B$10*IF($K$10=1,'Unit Costs'!C15,'Unit Costs'!C15/2))+$C$13,IF($I$12=3,($B$10*IF($K$10=1,'Unit Costs'!C15,'Unit Costs'!C15/2))*2,(($B$10*IF($K$10=1,'Unit Costs'!C15,'Unit Costs'!C15/2))*2)+$C$13)))+Fabric!$D$13)*(1-Fabric!$F$13)))*IF(Fabric!$D$14="",1,Fabric!$D$14))+IF($K$14=2,'Unit Costs'!$I$14+IF(Fabric!$D$14&gt;1,Fabric!$D$14-1,0),0),"N/A")))</f>
        <v>N/A</v>
      </c>
      <c r="D33" s="671">
        <f>IF('Unit Costs'!D15="N/A","N/A",IF($I$12=1,IF('Unit Costs'!D39="Blocker",MAX(0,(IF(Fabric!$F$13="",(($B$9*'Unit Costs'!D15)+Fabric!$D$13)-Fabric!$H$13,(($B$9*'Unit Costs'!D15)+Fabric!$D$13)*(1-Fabric!$F$13)))*IF(Fabric!$D$14="",1,Fabric!$D$14))+IF($K$14=2,IF(Fabric!$D$14&gt;1,'Unit Costs'!$I$14+(Fabric!$D$14-1),'Unit Costs'!$I$14)),IF(OR('Unit Costs'!D39="Single Sided",'Unit Costs'!D39="No Restrictions",AND('Unit Costs'!D39="No Edges",OR(SUM($D$14:$G$14)=4,SUM(Fabric!$F$7:$H$10)=0))),MAX(0,(IF(Fabric!$F$13="",(($B$9*IF($K$10=1,'Unit Costs'!D15,'Unit Costs'!D15/2))+Fabric!$D$13)-Fabric!$H$13,(($B$9*IF($K$10=1,'Unit Costs'!D15,'Unit Costs'!D15/2))+Fabric!$D$13)*(1-Fabric!$F$13)))*IF(Fabric!$D$14="",1,Fabric!$D$14))+IF($K$14=2,'Unit Costs'!$I$14+IF(Fabric!$D$14&gt;1,Fabric!$D$14-1,0),0),"N/A")),IF('Unit Costs'!D39="No Restrictions",MAX(0,(IF(Fabric!$F$13="",((IF($I$12=2,($B$10*IF($K$10=1,'Unit Costs'!D15,'Unit Costs'!D15/2))+$C$13,IF($I$12=3,($B$10*IF($K$10=1,'Unit Costs'!D15,'Unit Costs'!D15/2))*2,(($B$10*IF($K$10=1,'Unit Costs'!D15,'Unit Costs'!D15/2))*2)+$C$13)))+Fabric!$D$13)-Fabric!$H$13,((IF($I$12=2,($B$10*IF($K$10=1,'Unit Costs'!D15,'Unit Costs'!D15/2))+$C$13,IF($I$12=3,($B$10*IF($K$10=1,'Unit Costs'!D15,'Unit Costs'!D15/2))*2,(($B$10*IF($K$10=1,'Unit Costs'!D15,'Unit Costs'!D15/2))*2)+$C$13)))+Fabric!$D$13)*(1-Fabric!$F$13)))*IF(Fabric!$D$14="",1,Fabric!$D$14))+IF($K$14=2,'Unit Costs'!$I$14+IF(Fabric!$D$14&gt;1,Fabric!$D$14-1,0),0),"N/A")))</f>
        <v>0</v>
      </c>
      <c r="E33" s="676" t="s">
        <v>571</v>
      </c>
      <c r="F33" s="671">
        <f>IF('Unit Costs'!F15="N/A","N/A",IF($I$12=1,IF('Unit Costs'!F39="Blocker",MAX(0,(IF(Fabric!$F$13="",(($B$9*'Unit Costs'!F15)+Fabric!$D$13)-Fabric!$H$13,(($B$9*'Unit Costs'!F15)+Fabric!$D$13)*(1-Fabric!$F$13)))*IF(Fabric!$D$14="",1,Fabric!$D$14))+IF($K$14=2,IF(Fabric!$D$14&gt;1,'Unit Costs'!$I$14+(Fabric!$D$14-1),'Unit Costs'!$I$14)),IF(OR('Unit Costs'!F39="Single Sided",'Unit Costs'!F39="No Restrictions",AND('Unit Costs'!F39="No Edges",OR(SUM($D$14:$G$14)=4,SUM(Fabric!$F$7:$H$10)=0))),MAX(0,(IF(Fabric!$F$13="",(($B$9*IF($K$10=1,'Unit Costs'!F15,'Unit Costs'!F15/2))+Fabric!$D$13)-Fabric!$H$13,(($B$9*IF($K$10=1,'Unit Costs'!F15,'Unit Costs'!F15/2))+Fabric!$D$13)*(1-Fabric!$F$13)))*IF(Fabric!$D$14="",1,Fabric!$D$14))+IF($K$14=2,'Unit Costs'!$I$14+IF(Fabric!$D$14&gt;1,Fabric!$D$14-1,0),0),"N/A")),IF('Unit Costs'!F39="No Restrictions",MAX(0,(IF(Fabric!$F$13="",((IF($I$12=2,($B$10*IF($K$10=1,'Unit Costs'!F15,'Unit Costs'!F15/2))+$C$13,IF($I$12=3,($B$10*IF($K$10=1,'Unit Costs'!F15,'Unit Costs'!F15/2))*2,(($B$10*IF($K$10=1,'Unit Costs'!F15,'Unit Costs'!F15/2))*2)+$C$13)))+Fabric!$D$13)-Fabric!$H$13,((IF($I$12=2,($B$10*IF($K$10=1,'Unit Costs'!F15,'Unit Costs'!F15/2))+$C$13,IF($I$12=3,($B$10*IF($K$10=1,'Unit Costs'!F15,'Unit Costs'!F15/2))*2,(($B$10*IF($K$10=1,'Unit Costs'!F15,'Unit Costs'!F15/2))*2)+$C$13)))+Fabric!$D$13)*(1-Fabric!$F$13)))*IF(Fabric!$D$14="",1,Fabric!$D$14))+IF($K$14=2,'Unit Costs'!$I$14+IF(Fabric!$D$14&gt;1,Fabric!$D$14-1,0),0),"N/A")))</f>
        <v>0</v>
      </c>
      <c r="G33" s="671" t="str">
        <f>IF('Unit Costs'!G15="N/A","N/A",IF($I$12=1,IF('Unit Costs'!G39="Blocker",MAX(0,(IF(Fabric!$F$13="",(($B$9*'Unit Costs'!G15)+Fabric!$D$13)-Fabric!$H$13,(($B$9*'Unit Costs'!G15)+Fabric!$D$13)*(1-Fabric!$F$13)))*IF(Fabric!$D$14="",1,Fabric!$D$14))+IF($K$14=2,IF(Fabric!$D$14&gt;1,'Unit Costs'!$I$14+(Fabric!$D$14-1),'Unit Costs'!$I$14)),IF(OR('Unit Costs'!G39="Single Sided",'Unit Costs'!G39="No Restrictions",AND('Unit Costs'!G39="No Edges",OR(SUM($D$14:$G$14)=4,SUM(Fabric!$F$7:$H$10)=0))),MAX(0,(IF(Fabric!$F$13="",(($B$9*IF($K$10=1,'Unit Costs'!G15,'Unit Costs'!G15/2))+Fabric!$D$13)-Fabric!$H$13,(($B$9*IF($K$10=1,'Unit Costs'!G15,'Unit Costs'!G15/2))+Fabric!$D$13)*(1-Fabric!$F$13)))*IF(Fabric!$D$14="",1,Fabric!$D$14))+IF($K$14=2,'Unit Costs'!$I$14+IF(Fabric!$D$14&gt;1,Fabric!$D$14-1,0),0),"N/A")),IF('Unit Costs'!G39="No Restrictions",MAX(0,(IF(Fabric!$F$13="",((IF($I$12=2,($B$10*IF($K$10=1,'Unit Costs'!G15,'Unit Costs'!G15/2))+$C$13,IF($I$12=3,($B$10*IF($K$10=1,'Unit Costs'!G15,'Unit Costs'!G15/2))*2,(($B$10*IF($K$10=1,'Unit Costs'!G15,'Unit Costs'!G15/2))*2)+$C$13)))+Fabric!$D$13)-Fabric!$H$13,((IF($I$12=2,($B$10*IF($K$10=1,'Unit Costs'!G15,'Unit Costs'!G15/2))+$C$13,IF($I$12=3,($B$10*IF($K$10=1,'Unit Costs'!G15,'Unit Costs'!G15/2))*2,(($B$10*IF($K$10=1,'Unit Costs'!G15,'Unit Costs'!G15/2))*2)+$C$13)))+Fabric!$D$13)*(1-Fabric!$F$13)))*IF(Fabric!$D$14="",1,Fabric!$D$14))+IF($K$14=2,'Unit Costs'!$I$14+IF(Fabric!$D$14&gt;1,Fabric!$D$14-1,0),0),"N/A")))</f>
        <v>N/A</v>
      </c>
      <c r="H33" s="9"/>
      <c r="I33" s="9"/>
      <c r="J33" s="9" t="s">
        <v>159</v>
      </c>
      <c r="K33" s="677" t="str">
        <f>CONCATENATE(ROUNDUP((SQRT((IF(Fabric!$K$23=0,0,Fabric!$K$22^2))+(IF(Fabric!$K$22=0,0,Fabric!$K$23^2))))/0.25,0)*0.25,"""")</f>
        <v>0"</v>
      </c>
      <c r="L33" s="9"/>
      <c r="M33" s="205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2:24" ht="15" customHeight="1" x14ac:dyDescent="0.3">
      <c r="B34" s="675" t="s">
        <v>552</v>
      </c>
      <c r="C34" s="671" t="str">
        <f>IF('Unit Costs'!C16="N/A","N/A",IF($I$12=1,IF('Unit Costs'!C40="Blocker",MAX(0,(IF(Fabric!$F$13="",(($B$9*'Unit Costs'!C16)+Fabric!$D$13)-Fabric!$H$13,(($B$9*'Unit Costs'!C16)+Fabric!$D$13)*(1-Fabric!$F$13)))*IF(Fabric!$D$14="",1,Fabric!$D$14))+IF($K$14=2,IF(Fabric!$D$14&gt;1,'Unit Costs'!$I$14+(Fabric!$D$14-1),'Unit Costs'!$I$14)),IF(OR('Unit Costs'!C40="Single Sided",'Unit Costs'!C40="No Restrictions",AND('Unit Costs'!C40="No Edges",OR(SUM($D$14:$G$14)=4,SUM(Fabric!$F$7:$H$10)=0))),MAX(0,(IF(Fabric!$F$13="",(($B$9*IF($K$10=1,'Unit Costs'!C16,'Unit Costs'!C16/2))+Fabric!$D$13)-Fabric!$H$13,(($B$9*IF($K$10=1,'Unit Costs'!C16,'Unit Costs'!C16/2))+Fabric!$D$13)*(1-Fabric!$F$13)))*IF(Fabric!$D$14="",1,Fabric!$D$14))+IF($K$14=2,'Unit Costs'!$I$14+IF(Fabric!$D$14&gt;1,Fabric!$D$14-1,0),0),"N/A")),IF('Unit Costs'!C40="No Restrictions",MAX(0,(IF(Fabric!$F$13="",((IF($I$12=2,($B$10*IF($K$10=1,'Unit Costs'!C16,'Unit Costs'!C16/2))+$C$13,IF($I$12=3,($B$10*IF($K$10=1,'Unit Costs'!C16,'Unit Costs'!C16/2))*2,(($B$10*IF($K$10=1,'Unit Costs'!C16,'Unit Costs'!C16/2))*2)+$C$13)))+Fabric!$D$13)-Fabric!$H$13,((IF($I$12=2,($B$10*IF($K$10=1,'Unit Costs'!C16,'Unit Costs'!C16/2))+$C$13,IF($I$12=3,($B$10*IF($K$10=1,'Unit Costs'!C16,'Unit Costs'!C16/2))*2,(($B$10*IF($K$10=1,'Unit Costs'!C16,'Unit Costs'!C16/2))*2)+$C$13)))+Fabric!$D$13)*(1-Fabric!$F$13)))*IF(Fabric!$D$14="",1,Fabric!$D$14))+IF($K$14=2,'Unit Costs'!$I$14+IF(Fabric!$D$14&gt;1,Fabric!$D$14-1,0),0),"N/A")))</f>
        <v>N/A</v>
      </c>
      <c r="D34" s="671">
        <f>IF('Unit Costs'!D16="N/A","N/A",IF($I$12=1,IF('Unit Costs'!D40="Blocker",MAX(0,(IF(Fabric!$F$13="",(($B$9*'Unit Costs'!D16)+Fabric!$D$13)-Fabric!$H$13,(($B$9*'Unit Costs'!D16)+Fabric!$D$13)*(1-Fabric!$F$13)))*IF(Fabric!$D$14="",1,Fabric!$D$14))+IF($K$14=2,IF(Fabric!$D$14&gt;1,'Unit Costs'!$I$14+(Fabric!$D$14-1),'Unit Costs'!$I$14)),IF(OR('Unit Costs'!D40="Single Sided",'Unit Costs'!D40="No Restrictions",AND('Unit Costs'!D40="No Edges",OR(SUM($D$14:$G$14)=4,SUM(Fabric!$F$7:$H$10)=0))),MAX(0,(IF(Fabric!$F$13="",(($B$9*IF($K$10=1,'Unit Costs'!D16,'Unit Costs'!D16/2))+Fabric!$D$13)-Fabric!$H$13,(($B$9*IF($K$10=1,'Unit Costs'!D16,'Unit Costs'!D16/2))+Fabric!$D$13)*(1-Fabric!$F$13)))*IF(Fabric!$D$14="",1,Fabric!$D$14))+IF($K$14=2,'Unit Costs'!$I$14+IF(Fabric!$D$14&gt;1,Fabric!$D$14-1,0),0),"N/A")),IF('Unit Costs'!D40="No Restrictions",MAX(0,(IF(Fabric!$F$13="",((IF($I$12=2,($B$10*IF($K$10=1,'Unit Costs'!D16,'Unit Costs'!D16/2))+$C$13,IF($I$12=3,($B$10*IF($K$10=1,'Unit Costs'!D16,'Unit Costs'!D16/2))*2,(($B$10*IF($K$10=1,'Unit Costs'!D16,'Unit Costs'!D16/2))*2)+$C$13)))+Fabric!$D$13)-Fabric!$H$13,((IF($I$12=2,($B$10*IF($K$10=1,'Unit Costs'!D16,'Unit Costs'!D16/2))+$C$13,IF($I$12=3,($B$10*IF($K$10=1,'Unit Costs'!D16,'Unit Costs'!D16/2))*2,(($B$10*IF($K$10=1,'Unit Costs'!D16,'Unit Costs'!D16/2))*2)+$C$13)))+Fabric!$D$13)*(1-Fabric!$F$13)))*IF(Fabric!$D$14="",1,Fabric!$D$14))+IF($K$14=2,'Unit Costs'!$I$14+IF(Fabric!$D$14&gt;1,Fabric!$D$14-1,0),0),"N/A")))</f>
        <v>0</v>
      </c>
      <c r="E34" s="676" t="s">
        <v>572</v>
      </c>
      <c r="F34" s="671">
        <f>IF('Unit Costs'!F16="N/A","N/A",IF($I$12=1,IF('Unit Costs'!F40="Blocker",MAX(0,(IF(Fabric!$F$13="",(($B$9*'Unit Costs'!F16)+Fabric!$D$13)-Fabric!$H$13,(($B$9*'Unit Costs'!F16)+Fabric!$D$13)*(1-Fabric!$F$13)))*IF(Fabric!$D$14="",1,Fabric!$D$14))+IF($K$14=2,IF(Fabric!$D$14&gt;1,'Unit Costs'!$I$14+(Fabric!$D$14-1),'Unit Costs'!$I$14)),IF(OR('Unit Costs'!F40="Single Sided",'Unit Costs'!F40="No Restrictions",AND('Unit Costs'!F40="No Edges",OR(SUM($D$14:$G$14)=4,SUM(Fabric!$F$7:$H$10)=0))),MAX(0,(IF(Fabric!$F$13="",(($B$9*IF($K$10=1,'Unit Costs'!F16,'Unit Costs'!F16/2))+Fabric!$D$13)-Fabric!$H$13,(($B$9*IF($K$10=1,'Unit Costs'!F16,'Unit Costs'!F16/2))+Fabric!$D$13)*(1-Fabric!$F$13)))*IF(Fabric!$D$14="",1,Fabric!$D$14))+IF($K$14=2,'Unit Costs'!$I$14+IF(Fabric!$D$14&gt;1,Fabric!$D$14-1,0),0),"N/A")),IF('Unit Costs'!F40="No Restrictions",MAX(0,(IF(Fabric!$F$13="",((IF($I$12=2,($B$10*IF($K$10=1,'Unit Costs'!F16,'Unit Costs'!F16/2))+$C$13,IF($I$12=3,($B$10*IF($K$10=1,'Unit Costs'!F16,'Unit Costs'!F16/2))*2,(($B$10*IF($K$10=1,'Unit Costs'!F16,'Unit Costs'!F16/2))*2)+$C$13)))+Fabric!$D$13)-Fabric!$H$13,((IF($I$12=2,($B$10*IF($K$10=1,'Unit Costs'!F16,'Unit Costs'!F16/2))+$C$13,IF($I$12=3,($B$10*IF($K$10=1,'Unit Costs'!F16,'Unit Costs'!F16/2))*2,(($B$10*IF($K$10=1,'Unit Costs'!F16,'Unit Costs'!F16/2))*2)+$C$13)))+Fabric!$D$13)*(1-Fabric!$F$13)))*IF(Fabric!$D$14="",1,Fabric!$D$14))+IF($K$14=2,'Unit Costs'!$I$14+IF(Fabric!$D$14&gt;1,Fabric!$D$14-1,0),0),"N/A")))</f>
        <v>0</v>
      </c>
      <c r="G34" s="671">
        <f>IF('Unit Costs'!G16="N/A","N/A",IF($I$12=1,IF('Unit Costs'!G40="Blocker",MAX(0,(IF(Fabric!$F$13="",(($B$9*'Unit Costs'!G16)+Fabric!$D$13)-Fabric!$H$13,(($B$9*'Unit Costs'!G16)+Fabric!$D$13)*(1-Fabric!$F$13)))*IF(Fabric!$D$14="",1,Fabric!$D$14))+IF($K$14=2,IF(Fabric!$D$14&gt;1,'Unit Costs'!$I$14+(Fabric!$D$14-1),'Unit Costs'!$I$14)),IF(OR('Unit Costs'!G40="Single Sided",'Unit Costs'!G40="No Restrictions",AND('Unit Costs'!G40="No Edges",OR(SUM($D$14:$G$14)=4,SUM(Fabric!$F$7:$H$10)=0))),MAX(0,(IF(Fabric!$F$13="",(($B$9*IF($K$10=1,'Unit Costs'!G16,'Unit Costs'!G16/2))+Fabric!$D$13)-Fabric!$H$13,(($B$9*IF($K$10=1,'Unit Costs'!G16,'Unit Costs'!G16/2))+Fabric!$D$13)*(1-Fabric!$F$13)))*IF(Fabric!$D$14="",1,Fabric!$D$14))+IF($K$14=2,'Unit Costs'!$I$14+IF(Fabric!$D$14&gt;1,Fabric!$D$14-1,0),0),"N/A")),IF('Unit Costs'!G40="No Restrictions",MAX(0,(IF(Fabric!$F$13="",((IF($I$12=2,($B$10*IF($K$10=1,'Unit Costs'!G16,'Unit Costs'!G16/2))+$C$13,IF($I$12=3,($B$10*IF($K$10=1,'Unit Costs'!G16,'Unit Costs'!G16/2))*2,(($B$10*IF($K$10=1,'Unit Costs'!G16,'Unit Costs'!G16/2))*2)+$C$13)))+Fabric!$D$13)-Fabric!$H$13,((IF($I$12=2,($B$10*IF($K$10=1,'Unit Costs'!G16,'Unit Costs'!G16/2))+$C$13,IF($I$12=3,($B$10*IF($K$10=1,'Unit Costs'!G16,'Unit Costs'!G16/2))*2,(($B$10*IF($K$10=1,'Unit Costs'!G16,'Unit Costs'!G16/2))*2)+$C$13)))+Fabric!$D$13)*(1-Fabric!$F$13)))*IF(Fabric!$D$14="",1,Fabric!$D$14))+IF($K$14=2,'Unit Costs'!$I$14+IF(Fabric!$D$14&gt;1,Fabric!$D$14-1,0),0),"N/A")))</f>
        <v>0</v>
      </c>
      <c r="H34" s="9"/>
      <c r="I34" s="9"/>
      <c r="J34" s="9"/>
      <c r="K34" s="9"/>
      <c r="L34" s="9"/>
      <c r="M34" s="20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2:24" ht="15" customHeight="1" x14ac:dyDescent="0.3">
      <c r="B35" s="675" t="s">
        <v>555</v>
      </c>
      <c r="C35" s="671">
        <f>IF('Unit Costs'!C17="N/A","N/A",IF($I$12=1,IF('Unit Costs'!C41="Blocker",MAX(0,(IF(Fabric!$F$13="",(($B$9*'Unit Costs'!C17)+Fabric!$D$13)-Fabric!$H$13,(($B$9*'Unit Costs'!C17)+Fabric!$D$13)*(1-Fabric!$F$13)))*IF(Fabric!$D$14="",1,Fabric!$D$14))+IF($K$14=2,IF(Fabric!$D$14&gt;1,'Unit Costs'!$I$14+(Fabric!$D$14-1),'Unit Costs'!$I$14)),IF(OR('Unit Costs'!C41="Single Sided",'Unit Costs'!C41="No Restrictions",AND('Unit Costs'!C41="No Edges",OR(SUM($D$14:$G$14)=4,SUM(Fabric!$F$7:$H$10)=0))),MAX(0,(IF(Fabric!$F$13="",(($B$9*IF($K$10=1,'Unit Costs'!C17,'Unit Costs'!C17/2))+Fabric!$D$13)-Fabric!$H$13,(($B$9*IF($K$10=1,'Unit Costs'!C17,'Unit Costs'!C17/2))+Fabric!$D$13)*(1-Fabric!$F$13)))*IF(Fabric!$D$14="",1,Fabric!$D$14))+IF($K$14=2,'Unit Costs'!$I$14+IF(Fabric!$D$14&gt;1,Fabric!$D$14-1,0),0),"N/A")),IF('Unit Costs'!C41="No Restrictions",MAX(0,(IF(Fabric!$F$13="",((IF($I$12=2,($B$10*IF($K$10=1,'Unit Costs'!C17,'Unit Costs'!C17/2))+$C$13,IF($I$12=3,($B$10*IF($K$10=1,'Unit Costs'!C17,'Unit Costs'!C17/2))*2,(($B$10*IF($K$10=1,'Unit Costs'!C17,'Unit Costs'!C17/2))*2)+$C$13)))+Fabric!$D$13)-Fabric!$H$13,((IF($I$12=2,($B$10*IF($K$10=1,'Unit Costs'!C17,'Unit Costs'!C17/2))+$C$13,IF($I$12=3,($B$10*IF($K$10=1,'Unit Costs'!C17,'Unit Costs'!C17/2))*2,(($B$10*IF($K$10=1,'Unit Costs'!C17,'Unit Costs'!C17/2))*2)+$C$13)))+Fabric!$D$13)*(1-Fabric!$F$13)))*IF(Fabric!$D$14="",1,Fabric!$D$14))+IF($K$14=2,'Unit Costs'!$I$14+IF(Fabric!$D$14&gt;1,Fabric!$D$14-1,0),0),"N/A")))</f>
        <v>0</v>
      </c>
      <c r="D35" s="671">
        <f>IF('Unit Costs'!D17="N/A","N/A",IF($I$12=1,IF('Unit Costs'!D41="Blocker",MAX(0,(IF(Fabric!$F$13="",(($B$9*'Unit Costs'!D17)+Fabric!$D$13)-Fabric!$H$13,(($B$9*'Unit Costs'!D17)+Fabric!$D$13)*(1-Fabric!$F$13)))*IF(Fabric!$D$14="",1,Fabric!$D$14))+IF($K$14=2,IF(Fabric!$D$14&gt;1,'Unit Costs'!$I$14+(Fabric!$D$14-1),'Unit Costs'!$I$14)),IF(OR('Unit Costs'!D41="Single Sided",'Unit Costs'!D41="No Restrictions",AND('Unit Costs'!D41="No Edges",OR(SUM($D$14:$G$14)=4,SUM(Fabric!$F$7:$H$10)=0))),MAX(0,(IF(Fabric!$F$13="",(($B$9*IF($K$10=1,'Unit Costs'!D17,'Unit Costs'!D17/2))+Fabric!$D$13)-Fabric!$H$13,(($B$9*IF($K$10=1,'Unit Costs'!D17,'Unit Costs'!D17/2))+Fabric!$D$13)*(1-Fabric!$F$13)))*IF(Fabric!$D$14="",1,Fabric!$D$14))+IF($K$14=2,'Unit Costs'!$I$14+IF(Fabric!$D$14&gt;1,Fabric!$D$14-1,0),0),"N/A")),IF('Unit Costs'!D41="No Restrictions",MAX(0,(IF(Fabric!$F$13="",((IF($I$12=2,($B$10*IF($K$10=1,'Unit Costs'!D17,'Unit Costs'!D17/2))+$C$13,IF($I$12=3,($B$10*IF($K$10=1,'Unit Costs'!D17,'Unit Costs'!D17/2))*2,(($B$10*IF($K$10=1,'Unit Costs'!D17,'Unit Costs'!D17/2))*2)+$C$13)))+Fabric!$D$13)-Fabric!$H$13,((IF($I$12=2,($B$10*IF($K$10=1,'Unit Costs'!D17,'Unit Costs'!D17/2))+$C$13,IF($I$12=3,($B$10*IF($K$10=1,'Unit Costs'!D17,'Unit Costs'!D17/2))*2,(($B$10*IF($K$10=1,'Unit Costs'!D17,'Unit Costs'!D17/2))*2)+$C$13)))+Fabric!$D$13)*(1-Fabric!$F$13)))*IF(Fabric!$D$14="",1,Fabric!$D$14))+IF($K$14=2,'Unit Costs'!$I$14+IF(Fabric!$D$14&gt;1,Fabric!$D$14-1,0),0),"N/A")))</f>
        <v>0</v>
      </c>
      <c r="E35" s="676" t="s">
        <v>574</v>
      </c>
      <c r="F35" s="671" t="str">
        <f>IF('Unit Costs'!F17="N/A","N/A",IF($I$12=1,IF('Unit Costs'!F41="Blocker",MAX(0,(IF(Fabric!$F$13="",(($B$9*'Unit Costs'!F17)+Fabric!$D$13)-Fabric!$H$13,(($B$9*'Unit Costs'!F17)+Fabric!$D$13)*(1-Fabric!$F$13)))*IF(Fabric!$D$14="",1,Fabric!$D$14))+IF($K$14=2,IF(Fabric!$D$14&gt;1,'Unit Costs'!$I$14+(Fabric!$D$14-1),'Unit Costs'!$I$14)),IF(OR('Unit Costs'!F41="Single Sided",'Unit Costs'!F41="No Restrictions",AND('Unit Costs'!F41="No Edges",OR(SUM($D$14:$G$14)=4,SUM(Fabric!$F$7:$H$10)=0))),MAX(0,(IF(Fabric!$F$13="",(($B$9*IF($K$10=1,'Unit Costs'!F17,'Unit Costs'!F17/2))+Fabric!$D$13)-Fabric!$H$13,(($B$9*IF($K$10=1,'Unit Costs'!F17,'Unit Costs'!F17/2))+Fabric!$D$13)*(1-Fabric!$F$13)))*IF(Fabric!$D$14="",1,Fabric!$D$14))+IF($K$14=2,'Unit Costs'!$I$14+IF(Fabric!$D$14&gt;1,Fabric!$D$14-1,0),0),"N/A")),IF('Unit Costs'!F41="No Restrictions",MAX(0,(IF(Fabric!$F$13="",((IF($I$12=2,($B$10*IF($K$10=1,'Unit Costs'!F17,'Unit Costs'!F17/2))+$C$13,IF($I$12=3,($B$10*IF($K$10=1,'Unit Costs'!F17,'Unit Costs'!F17/2))*2,(($B$10*IF($K$10=1,'Unit Costs'!F17,'Unit Costs'!F17/2))*2)+$C$13)))+Fabric!$D$13)-Fabric!$H$13,((IF($I$12=2,($B$10*IF($K$10=1,'Unit Costs'!F17,'Unit Costs'!F17/2))+$C$13,IF($I$12=3,($B$10*IF($K$10=1,'Unit Costs'!F17,'Unit Costs'!F17/2))*2,(($B$10*IF($K$10=1,'Unit Costs'!F17,'Unit Costs'!F17/2))*2)+$C$13)))+Fabric!$D$13)*(1-Fabric!$F$13)))*IF(Fabric!$D$14="",1,Fabric!$D$14))+IF($K$14=2,'Unit Costs'!$I$14+IF(Fabric!$D$14&gt;1,Fabric!$D$14-1,0),0),"N/A")))</f>
        <v>N/A</v>
      </c>
      <c r="G35" s="671">
        <f>IF('Unit Costs'!G17="N/A","N/A",IF($I$12=1,IF('Unit Costs'!G41="Blocker",MAX(0,(IF(Fabric!$F$13="",(($B$9*'Unit Costs'!G17)+Fabric!$D$13)-Fabric!$H$13,(($B$9*'Unit Costs'!G17)+Fabric!$D$13)*(1-Fabric!$F$13)))*IF(Fabric!$D$14="",1,Fabric!$D$14))+IF($K$14=2,IF(Fabric!$D$14&gt;1,'Unit Costs'!$I$14+(Fabric!$D$14-1),'Unit Costs'!$I$14)),IF(OR('Unit Costs'!G41="Single Sided",'Unit Costs'!G41="No Restrictions",AND('Unit Costs'!G41="No Edges",OR(SUM($D$14:$G$14)=4,SUM(Fabric!$F$7:$H$10)=0))),MAX(0,(IF(Fabric!$F$13="",(($B$9*IF($K$10=1,'Unit Costs'!G17,'Unit Costs'!G17/2))+Fabric!$D$13)-Fabric!$H$13,(($B$9*IF($K$10=1,'Unit Costs'!G17,'Unit Costs'!G17/2))+Fabric!$D$13)*(1-Fabric!$F$13)))*IF(Fabric!$D$14="",1,Fabric!$D$14))+IF($K$14=2,'Unit Costs'!$I$14+IF(Fabric!$D$14&gt;1,Fabric!$D$14-1,0),0),"N/A")),IF('Unit Costs'!G41="No Restrictions",MAX(0,(IF(Fabric!$F$13="",((IF($I$12=2,($B$10*IF($K$10=1,'Unit Costs'!G17,'Unit Costs'!G17/2))+$C$13,IF($I$12=3,($B$10*IF($K$10=1,'Unit Costs'!G17,'Unit Costs'!G17/2))*2,(($B$10*IF($K$10=1,'Unit Costs'!G17,'Unit Costs'!G17/2))*2)+$C$13)))+Fabric!$D$13)-Fabric!$H$13,((IF($I$12=2,($B$10*IF($K$10=1,'Unit Costs'!G17,'Unit Costs'!G17/2))+$C$13,IF($I$12=3,($B$10*IF($K$10=1,'Unit Costs'!G17,'Unit Costs'!G17/2))*2,(($B$10*IF($K$10=1,'Unit Costs'!G17,'Unit Costs'!G17/2))*2)+$C$13)))+Fabric!$D$13)*(1-Fabric!$F$13)))*IF(Fabric!$D$14="",1,Fabric!$D$14))+IF($K$14=2,'Unit Costs'!$I$14+IF(Fabric!$D$14&gt;1,Fabric!$D$14-1,0),0),"N/A")))</f>
        <v>0</v>
      </c>
      <c r="H35" s="9"/>
      <c r="I35" s="9"/>
      <c r="J35" s="9"/>
      <c r="K35" s="9"/>
      <c r="L35" s="9"/>
      <c r="M35" s="20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spans="2:24" ht="15" customHeight="1" x14ac:dyDescent="0.3">
      <c r="B36" s="675" t="s">
        <v>557</v>
      </c>
      <c r="C36" s="671">
        <f>IF('Unit Costs'!C18="N/A","N/A",IF($I$12=1,IF('Unit Costs'!C42="Blocker",MAX(0,(IF(Fabric!$F$13="",(($B$9*'Unit Costs'!C18)+Fabric!$D$13)-Fabric!$H$13,(($B$9*'Unit Costs'!C18)+Fabric!$D$13)*(1-Fabric!$F$13)))*IF(Fabric!$D$14="",1,Fabric!$D$14))+IF($K$14=2,IF(Fabric!$D$14&gt;1,'Unit Costs'!$I$14+(Fabric!$D$14-1),'Unit Costs'!$I$14)),IF(OR('Unit Costs'!C42="Single Sided",'Unit Costs'!C42="No Restrictions",AND('Unit Costs'!C42="No Edges",OR(SUM($D$14:$G$14)=4,SUM(Fabric!$F$7:$H$10)=0))),MAX(0,(IF(Fabric!$F$13="",(($B$9*IF($K$10=1,'Unit Costs'!C18,'Unit Costs'!C18/2))+Fabric!$D$13)-Fabric!$H$13,(($B$9*IF($K$10=1,'Unit Costs'!C18,'Unit Costs'!C18/2))+Fabric!$D$13)*(1-Fabric!$F$13)))*IF(Fabric!$D$14="",1,Fabric!$D$14))+IF($K$14=2,'Unit Costs'!$I$14+IF(Fabric!$D$14&gt;1,Fabric!$D$14-1,0),0),"N/A")),IF('Unit Costs'!C42="No Restrictions",MAX(0,(IF(Fabric!$F$13="",((IF($I$12=2,($B$10*IF($K$10=1,'Unit Costs'!C18,'Unit Costs'!C18/2))+$C$13,IF($I$12=3,($B$10*IF($K$10=1,'Unit Costs'!C18,'Unit Costs'!C18/2))*2,(($B$10*IF($K$10=1,'Unit Costs'!C18,'Unit Costs'!C18/2))*2)+$C$13)))+Fabric!$D$13)-Fabric!$H$13,((IF($I$12=2,($B$10*IF($K$10=1,'Unit Costs'!C18,'Unit Costs'!C18/2))+$C$13,IF($I$12=3,($B$10*IF($K$10=1,'Unit Costs'!C18,'Unit Costs'!C18/2))*2,(($B$10*IF($K$10=1,'Unit Costs'!C18,'Unit Costs'!C18/2))*2)+$C$13)))+Fabric!$D$13)*(1-Fabric!$F$13)))*IF(Fabric!$D$14="",1,Fabric!$D$14))+IF($K$14=2,'Unit Costs'!$I$14+IF(Fabric!$D$14&gt;1,Fabric!$D$14-1,0),0),"N/A")))</f>
        <v>0</v>
      </c>
      <c r="D36" s="671">
        <f>IF('Unit Costs'!D18="N/A","N/A",IF($I$12=1,IF('Unit Costs'!D42="Blocker",MAX(0,(IF(Fabric!$F$13="",(($B$9*'Unit Costs'!D18)+Fabric!$D$13)-Fabric!$H$13,(($B$9*'Unit Costs'!D18)+Fabric!$D$13)*(1-Fabric!$F$13)))*IF(Fabric!$D$14="",1,Fabric!$D$14))+IF($K$14=2,IF(Fabric!$D$14&gt;1,'Unit Costs'!$I$14+(Fabric!$D$14-1),'Unit Costs'!$I$14)),IF(OR('Unit Costs'!D42="Single Sided",'Unit Costs'!D42="No Restrictions",AND('Unit Costs'!D42="No Edges",OR(SUM($D$14:$G$14)=4,SUM(Fabric!$F$7:$H$10)=0))),MAX(0,(IF(Fabric!$F$13="",(($B$9*IF($K$10=1,'Unit Costs'!D18,'Unit Costs'!D18/2))+Fabric!$D$13)-Fabric!$H$13,(($B$9*IF($K$10=1,'Unit Costs'!D18,'Unit Costs'!D18/2))+Fabric!$D$13)*(1-Fabric!$F$13)))*IF(Fabric!$D$14="",1,Fabric!$D$14))+IF($K$14=2,'Unit Costs'!$I$14+IF(Fabric!$D$14&gt;1,Fabric!$D$14-1,0),0),"N/A")),IF('Unit Costs'!D42="No Restrictions",MAX(0,(IF(Fabric!$F$13="",((IF($I$12=2,($B$10*IF($K$10=1,'Unit Costs'!D18,'Unit Costs'!D18/2))+$C$13,IF($I$12=3,($B$10*IF($K$10=1,'Unit Costs'!D18,'Unit Costs'!D18/2))*2,(($B$10*IF($K$10=1,'Unit Costs'!D18,'Unit Costs'!D18/2))*2)+$C$13)))+Fabric!$D$13)-Fabric!$H$13,((IF($I$12=2,($B$10*IF($K$10=1,'Unit Costs'!D18,'Unit Costs'!D18/2))+$C$13,IF($I$12=3,($B$10*IF($K$10=1,'Unit Costs'!D18,'Unit Costs'!D18/2))*2,(($B$10*IF($K$10=1,'Unit Costs'!D18,'Unit Costs'!D18/2))*2)+$C$13)))+Fabric!$D$13)*(1-Fabric!$F$13)))*IF(Fabric!$D$14="",1,Fabric!$D$14))+IF($K$14=2,'Unit Costs'!$I$14+IF(Fabric!$D$14&gt;1,Fabric!$D$14-1,0),0),"N/A")))</f>
        <v>0</v>
      </c>
      <c r="E36" s="9" t="s">
        <v>575</v>
      </c>
      <c r="F36" s="671">
        <f>IF('Unit Costs'!F18="N/A","N/A",IF($I$12=1,IF('Unit Costs'!F42="Blocker",MAX(0,(IF(Fabric!$F$13="",(($B$9*'Unit Costs'!F18)+Fabric!$D$13)-Fabric!$H$13,(($B$9*'Unit Costs'!F18)+Fabric!$D$13)*(1-Fabric!$F$13)))*IF(Fabric!$D$14="",1,Fabric!$D$14))+IF($K$14=2,IF(Fabric!$D$14&gt;1,'Unit Costs'!$I$14+(Fabric!$D$14-1),'Unit Costs'!$I$14)),IF(OR('Unit Costs'!F42="Single Sided",'Unit Costs'!F42="No Restrictions",AND('Unit Costs'!F42="No Edges",OR(SUM($D$14:$G$14)=4,SUM(Fabric!$F$7:$H$10)=0))),MAX(0,(IF(Fabric!$F$13="",(($B$9*IF($K$10=1,'Unit Costs'!F18,'Unit Costs'!F18/2))+Fabric!$D$13)-Fabric!$H$13,(($B$9*IF($K$10=1,'Unit Costs'!F18,'Unit Costs'!F18/2))+Fabric!$D$13)*(1-Fabric!$F$13)))*IF(Fabric!$D$14="",1,Fabric!$D$14))+IF($K$14=2,'Unit Costs'!$I$14+IF(Fabric!$D$14&gt;1,Fabric!$D$14-1,0),0),"N/A")),IF('Unit Costs'!F42="No Restrictions",MAX(0,(IF(Fabric!$F$13="",((IF($I$12=2,($B$10*IF($K$10=1,'Unit Costs'!F18,'Unit Costs'!F18/2))+$C$13,IF($I$12=3,($B$10*IF($K$10=1,'Unit Costs'!F18,'Unit Costs'!F18/2))*2,(($B$10*IF($K$10=1,'Unit Costs'!F18,'Unit Costs'!F18/2))*2)+$C$13)))+Fabric!$D$13)-Fabric!$H$13,((IF($I$12=2,($B$10*IF($K$10=1,'Unit Costs'!F18,'Unit Costs'!F18/2))+$C$13,IF($I$12=3,($B$10*IF($K$10=1,'Unit Costs'!F18,'Unit Costs'!F18/2))*2,(($B$10*IF($K$10=1,'Unit Costs'!F18,'Unit Costs'!F18/2))*2)+$C$13)))+Fabric!$D$13)*(1-Fabric!$F$13)))*IF(Fabric!$D$14="",1,Fabric!$D$14))+IF($K$14=2,'Unit Costs'!$I$14+IF(Fabric!$D$14&gt;1,Fabric!$D$14-1,0),0),"N/A")))</f>
        <v>0</v>
      </c>
      <c r="G36" s="671">
        <f>IF('Unit Costs'!G18="N/A","N/A",IF($I$12=1,IF('Unit Costs'!G42="Blocker",MAX(0,(IF(Fabric!$F$13="",(($B$9*'Unit Costs'!G18)+Fabric!$D$13)-Fabric!$H$13,(($B$9*'Unit Costs'!G18)+Fabric!$D$13)*(1-Fabric!$F$13)))*IF(Fabric!$D$14="",1,Fabric!$D$14))+IF($K$14=2,IF(Fabric!$D$14&gt;1,'Unit Costs'!$I$14+(Fabric!$D$14-1),'Unit Costs'!$I$14)),IF(OR('Unit Costs'!G42="Single Sided",'Unit Costs'!G42="No Restrictions",AND('Unit Costs'!G42="No Edges",OR(SUM($D$14:$G$14)=4,SUM(Fabric!$F$7:$H$10)=0))),MAX(0,(IF(Fabric!$F$13="",(($B$9*IF($K$10=1,'Unit Costs'!G18,'Unit Costs'!G18/2))+Fabric!$D$13)-Fabric!$H$13,(($B$9*IF($K$10=1,'Unit Costs'!G18,'Unit Costs'!G18/2))+Fabric!$D$13)*(1-Fabric!$F$13)))*IF(Fabric!$D$14="",1,Fabric!$D$14))+IF($K$14=2,'Unit Costs'!$I$14+IF(Fabric!$D$14&gt;1,Fabric!$D$14-1,0),0),"N/A")),IF('Unit Costs'!G42="No Restrictions",MAX(0,(IF(Fabric!$F$13="",((IF($I$12=2,($B$10*IF($K$10=1,'Unit Costs'!G18,'Unit Costs'!G18/2))+$C$13,IF($I$12=3,($B$10*IF($K$10=1,'Unit Costs'!G18,'Unit Costs'!G18/2))*2,(($B$10*IF($K$10=1,'Unit Costs'!G18,'Unit Costs'!G18/2))*2)+$C$13)))+Fabric!$D$13)-Fabric!$H$13,((IF($I$12=2,($B$10*IF($K$10=1,'Unit Costs'!G18,'Unit Costs'!G18/2))+$C$13,IF($I$12=3,($B$10*IF($K$10=1,'Unit Costs'!G18,'Unit Costs'!G18/2))*2,(($B$10*IF($K$10=1,'Unit Costs'!G18,'Unit Costs'!G18/2))*2)+$C$13)))+Fabric!$D$13)*(1-Fabric!$F$13)))*IF(Fabric!$D$14="",1,Fabric!$D$14))+IF($K$14=2,'Unit Costs'!$I$14+IF(Fabric!$D$14&gt;1,Fabric!$D$14-1,0),0),"N/A")))</f>
        <v>0</v>
      </c>
      <c r="H36" s="9"/>
      <c r="I36" s="9"/>
      <c r="J36" s="9"/>
      <c r="K36" s="9"/>
      <c r="L36" s="9"/>
      <c r="M36" s="20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 spans="2:24" ht="15" customHeight="1" x14ac:dyDescent="0.3">
      <c r="B37" s="675" t="s">
        <v>558</v>
      </c>
      <c r="C37" s="671">
        <f>IF('Unit Costs'!C19="N/A","N/A",IF($I$12=1,IF('Unit Costs'!C43="Blocker",MAX(0,(IF(Fabric!$F$13="",(($B$9*'Unit Costs'!C19)+Fabric!$D$13)-Fabric!$H$13,(($B$9*'Unit Costs'!C19)+Fabric!$D$13)*(1-Fabric!$F$13)))*IF(Fabric!$D$14="",1,Fabric!$D$14))+IF($K$14=2,IF(Fabric!$D$14&gt;1,'Unit Costs'!$I$14+(Fabric!$D$14-1),'Unit Costs'!$I$14)),IF(OR('Unit Costs'!C43="Single Sided",'Unit Costs'!C43="No Restrictions",AND('Unit Costs'!C43="No Edges",OR(SUM($D$14:$G$14)=4,SUM(Fabric!$F$7:$H$10)=0))),MAX(0,(IF(Fabric!$F$13="",(($B$9*IF($K$10=1,'Unit Costs'!C19,'Unit Costs'!C19/2))+Fabric!$D$13)-Fabric!$H$13,(($B$9*IF($K$10=1,'Unit Costs'!C19,'Unit Costs'!C19/2))+Fabric!$D$13)*(1-Fabric!$F$13)))*IF(Fabric!$D$14="",1,Fabric!$D$14))+IF($K$14=2,'Unit Costs'!$I$14+IF(Fabric!$D$14&gt;1,Fabric!$D$14-1,0),0),"N/A")),IF('Unit Costs'!C43="No Restrictions",MAX(0,(IF(Fabric!$F$13="",((IF($I$12=2,($B$10*IF($K$10=1,'Unit Costs'!C19,'Unit Costs'!C19/2))+$C$13,IF($I$12=3,($B$10*IF($K$10=1,'Unit Costs'!C19,'Unit Costs'!C19/2))*2,(($B$10*IF($K$10=1,'Unit Costs'!C19,'Unit Costs'!C19/2))*2)+$C$13)))+Fabric!$D$13)-Fabric!$H$13,((IF($I$12=2,($B$10*IF($K$10=1,'Unit Costs'!C19,'Unit Costs'!C19/2))+$C$13,IF($I$12=3,($B$10*IF($K$10=1,'Unit Costs'!C19,'Unit Costs'!C19/2))*2,(($B$10*IF($K$10=1,'Unit Costs'!C19,'Unit Costs'!C19/2))*2)+$C$13)))+Fabric!$D$13)*(1-Fabric!$F$13)))*IF(Fabric!$D$14="",1,Fabric!$D$14))+IF($K$14=2,'Unit Costs'!$I$14+IF(Fabric!$D$14&gt;1,Fabric!$D$14-1,0),0),"N/A")))</f>
        <v>0</v>
      </c>
      <c r="D37" s="671" t="str">
        <f>IF('Unit Costs'!D19="N/A","N/A",IF($I$12=1,IF('Unit Costs'!D43="Blocker",MAX(0,(IF(Fabric!$F$13="",(($B$9*'Unit Costs'!D19)+Fabric!$D$13)-Fabric!$H$13,(($B$9*'Unit Costs'!D19)+Fabric!$D$13)*(1-Fabric!$F$13)))*IF(Fabric!$D$14="",1,Fabric!$D$14))+IF($K$14=2,IF(Fabric!$D$14&gt;1,'Unit Costs'!$I$14+(Fabric!$D$14-1),'Unit Costs'!$I$14)),IF(OR('Unit Costs'!D43="Single Sided",'Unit Costs'!D43="No Restrictions",AND('Unit Costs'!D43="No Edges",OR(SUM($D$14:$G$14)=4,SUM(Fabric!$F$7:$H$10)=0))),MAX(0,(IF(Fabric!$F$13="",(($B$9*IF($K$10=1,'Unit Costs'!D19,'Unit Costs'!D19/2))+Fabric!$D$13)-Fabric!$H$13,(($B$9*IF($K$10=1,'Unit Costs'!D19,'Unit Costs'!D19/2))+Fabric!$D$13)*(1-Fabric!$F$13)))*IF(Fabric!$D$14="",1,Fabric!$D$14))+IF($K$14=2,'Unit Costs'!$I$14+IF(Fabric!$D$14&gt;1,Fabric!$D$14-1,0),0),"N/A")),IF('Unit Costs'!D43="No Restrictions",MAX(0,(IF(Fabric!$F$13="",((IF($I$12=2,($B$10*IF($K$10=1,'Unit Costs'!D19,'Unit Costs'!D19/2))+$C$13,IF($I$12=3,($B$10*IF($K$10=1,'Unit Costs'!D19,'Unit Costs'!D19/2))*2,(($B$10*IF($K$10=1,'Unit Costs'!D19,'Unit Costs'!D19/2))*2)+$C$13)))+Fabric!$D$13)-Fabric!$H$13,((IF($I$12=2,($B$10*IF($K$10=1,'Unit Costs'!D19,'Unit Costs'!D19/2))+$C$13,IF($I$12=3,($B$10*IF($K$10=1,'Unit Costs'!D19,'Unit Costs'!D19/2))*2,(($B$10*IF($K$10=1,'Unit Costs'!D19,'Unit Costs'!D19/2))*2)+$C$13)))+Fabric!$D$13)*(1-Fabric!$F$13)))*IF(Fabric!$D$14="",1,Fabric!$D$14))+IF($K$14=2,'Unit Costs'!$I$14+IF(Fabric!$D$14&gt;1,Fabric!$D$14-1,0),0),"N/A")))</f>
        <v>N/A</v>
      </c>
      <c r="E37" s="676" t="s">
        <v>576</v>
      </c>
      <c r="F37" s="671">
        <f>IF('Unit Costs'!F19="N/A","N/A",IF($I$12=1,IF('Unit Costs'!F43="Blocker",MAX(0,(IF(Fabric!$F$13="",(($B$9*'Unit Costs'!F19)+Fabric!$D$13)-Fabric!$H$13,(($B$9*'Unit Costs'!F19)+Fabric!$D$13)*(1-Fabric!$F$13)))*IF(Fabric!$D$14="",1,Fabric!$D$14))+IF($K$14=2,IF(Fabric!$D$14&gt;1,'Unit Costs'!$I$14+(Fabric!$D$14-1),'Unit Costs'!$I$14)),IF(OR('Unit Costs'!F43="Single Sided",'Unit Costs'!F43="No Restrictions",AND('Unit Costs'!F43="No Edges",OR(SUM($D$14:$G$14)=4,SUM(Fabric!$F$7:$H$10)=0))),MAX(0,(IF(Fabric!$F$13="",(($B$9*IF($K$10=1,'Unit Costs'!F19,'Unit Costs'!F19/2))+Fabric!$D$13)-Fabric!$H$13,(($B$9*IF($K$10=1,'Unit Costs'!F19,'Unit Costs'!F19/2))+Fabric!$D$13)*(1-Fabric!$F$13)))*IF(Fabric!$D$14="",1,Fabric!$D$14))+IF($K$14=2,'Unit Costs'!$I$14+IF(Fabric!$D$14&gt;1,Fabric!$D$14-1,0),0),"N/A")),IF('Unit Costs'!F43="No Restrictions",MAX(0,(IF(Fabric!$F$13="",((IF($I$12=2,($B$10*IF($K$10=1,'Unit Costs'!F19,'Unit Costs'!F19/2))+$C$13,IF($I$12=3,($B$10*IF($K$10=1,'Unit Costs'!F19,'Unit Costs'!F19/2))*2,(($B$10*IF($K$10=1,'Unit Costs'!F19,'Unit Costs'!F19/2))*2)+$C$13)))+Fabric!$D$13)-Fabric!$H$13,((IF($I$12=2,($B$10*IF($K$10=1,'Unit Costs'!F19,'Unit Costs'!F19/2))+$C$13,IF($I$12=3,($B$10*IF($K$10=1,'Unit Costs'!F19,'Unit Costs'!F19/2))*2,(($B$10*IF($K$10=1,'Unit Costs'!F19,'Unit Costs'!F19/2))*2)+$C$13)))+Fabric!$D$13)*(1-Fabric!$F$13)))*IF(Fabric!$D$14="",1,Fabric!$D$14))+IF($K$14=2,'Unit Costs'!$I$14+IF(Fabric!$D$14&gt;1,Fabric!$D$14-1,0),0),"N/A")))</f>
        <v>0</v>
      </c>
      <c r="G37" s="671" t="str">
        <f>IF('Unit Costs'!G19="N/A","N/A",IF($I$12=1,IF('Unit Costs'!G43="Blocker",MAX(0,(IF(Fabric!$F$13="",(($B$9*'Unit Costs'!G19)+Fabric!$D$13)-Fabric!$H$13,(($B$9*'Unit Costs'!G19)+Fabric!$D$13)*(1-Fabric!$F$13)))*IF(Fabric!$D$14="",1,Fabric!$D$14))+IF($K$14=2,IF(Fabric!$D$14&gt;1,'Unit Costs'!$I$14+(Fabric!$D$14-1),'Unit Costs'!$I$14)),IF(OR('Unit Costs'!G43="Single Sided",'Unit Costs'!G43="No Restrictions",AND('Unit Costs'!G43="No Edges",OR(SUM($D$14:$G$14)=4,SUM(Fabric!$F$7:$H$10)=0))),MAX(0,(IF(Fabric!$F$13="",(($B$9*IF($K$10=1,'Unit Costs'!G19,'Unit Costs'!G19/2))+Fabric!$D$13)-Fabric!$H$13,(($B$9*IF($K$10=1,'Unit Costs'!G19,'Unit Costs'!G19/2))+Fabric!$D$13)*(1-Fabric!$F$13)))*IF(Fabric!$D$14="",1,Fabric!$D$14))+IF($K$14=2,'Unit Costs'!$I$14+IF(Fabric!$D$14&gt;1,Fabric!$D$14-1,0),0),"N/A")),IF('Unit Costs'!G43="No Restrictions",MAX(0,(IF(Fabric!$F$13="",((IF($I$12=2,($B$10*IF($K$10=1,'Unit Costs'!G19,'Unit Costs'!G19/2))+$C$13,IF($I$12=3,($B$10*IF($K$10=1,'Unit Costs'!G19,'Unit Costs'!G19/2))*2,(($B$10*IF($K$10=1,'Unit Costs'!G19,'Unit Costs'!G19/2))*2)+$C$13)))+Fabric!$D$13)-Fabric!$H$13,((IF($I$12=2,($B$10*IF($K$10=1,'Unit Costs'!G19,'Unit Costs'!G19/2))+$C$13,IF($I$12=3,($B$10*IF($K$10=1,'Unit Costs'!G19,'Unit Costs'!G19/2))*2,(($B$10*IF($K$10=1,'Unit Costs'!G19,'Unit Costs'!G19/2))*2)+$C$13)))+Fabric!$D$13)*(1-Fabric!$F$13)))*IF(Fabric!$D$14="",1,Fabric!$D$14))+IF($K$14=2,'Unit Costs'!$I$14+IF(Fabric!$D$14&gt;1,Fabric!$D$14-1,0),0),"N/A")))</f>
        <v>N/A</v>
      </c>
      <c r="H37" s="9"/>
      <c r="I37" s="9"/>
      <c r="J37" s="9"/>
      <c r="K37" s="9"/>
      <c r="L37" s="9"/>
      <c r="M37" s="20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2:24" ht="15" customHeight="1" x14ac:dyDescent="0.3">
      <c r="B38" s="675" t="s">
        <v>559</v>
      </c>
      <c r="C38" s="671">
        <f>IF('Unit Costs'!C20="N/A","N/A",IF($I$12=1,IF('Unit Costs'!C44="Blocker",MAX(0,(IF(Fabric!$F$13="",(($B$9*'Unit Costs'!C20)+Fabric!$D$13)-Fabric!$H$13,(($B$9*'Unit Costs'!C20)+Fabric!$D$13)*(1-Fabric!$F$13)))*IF(Fabric!$D$14="",1,Fabric!$D$14))+IF($K$14=2,IF(Fabric!$D$14&gt;1,'Unit Costs'!$I$14+(Fabric!$D$14-1),'Unit Costs'!$I$14)),IF(OR('Unit Costs'!C44="Single Sided",'Unit Costs'!C44="No Restrictions",AND('Unit Costs'!C44="No Edges",OR(SUM($D$14:$G$14)=4,SUM(Fabric!$F$7:$H$10)=0))),MAX(0,(IF(Fabric!$F$13="",(($B$9*IF($K$10=1,'Unit Costs'!C20,'Unit Costs'!C20/2))+Fabric!$D$13)-Fabric!$H$13,(($B$9*IF($K$10=1,'Unit Costs'!C20,'Unit Costs'!C20/2))+Fabric!$D$13)*(1-Fabric!$F$13)))*IF(Fabric!$D$14="",1,Fabric!$D$14))+IF($K$14=2,'Unit Costs'!$I$14+IF(Fabric!$D$14&gt;1,Fabric!$D$14-1,0),0),"N/A")),IF('Unit Costs'!C44="No Restrictions",MAX(0,(IF(Fabric!$F$13="",((IF($I$12=2,($B$10*IF($K$10=1,'Unit Costs'!C20,'Unit Costs'!C20/2))+$C$13,IF($I$12=3,($B$10*IF($K$10=1,'Unit Costs'!C20,'Unit Costs'!C20/2))*2,(($B$10*IF($K$10=1,'Unit Costs'!C20,'Unit Costs'!C20/2))*2)+$C$13)))+Fabric!$D$13)-Fabric!$H$13,((IF($I$12=2,($B$10*IF($K$10=1,'Unit Costs'!C20,'Unit Costs'!C20/2))+$C$13,IF($I$12=3,($B$10*IF($K$10=1,'Unit Costs'!C20,'Unit Costs'!C20/2))*2,(($B$10*IF($K$10=1,'Unit Costs'!C20,'Unit Costs'!C20/2))*2)+$C$13)))+Fabric!$D$13)*(1-Fabric!$F$13)))*IF(Fabric!$D$14="",1,Fabric!$D$14))+IF($K$14=2,'Unit Costs'!$I$14+IF(Fabric!$D$14&gt;1,Fabric!$D$14-1,0),0),"N/A")))</f>
        <v>0</v>
      </c>
      <c r="D38" s="671">
        <f>IF('Unit Costs'!D20="N/A","N/A",IF($I$12=1,IF('Unit Costs'!D44="Blocker",MAX(0,(IF(Fabric!$F$13="",(($B$9*'Unit Costs'!D20)+Fabric!$D$13)-Fabric!$H$13,(($B$9*'Unit Costs'!D20)+Fabric!$D$13)*(1-Fabric!$F$13)))*IF(Fabric!$D$14="",1,Fabric!$D$14))+IF($K$14=2,IF(Fabric!$D$14&gt;1,'Unit Costs'!$I$14+(Fabric!$D$14-1),'Unit Costs'!$I$14)),IF(OR('Unit Costs'!D44="Single Sided",'Unit Costs'!D44="No Restrictions",AND('Unit Costs'!D44="No Edges",OR(SUM($D$14:$G$14)=4,SUM(Fabric!$F$7:$H$10)=0))),MAX(0,(IF(Fabric!$F$13="",(($B$9*IF($K$10=1,'Unit Costs'!D20,'Unit Costs'!D20/2))+Fabric!$D$13)-Fabric!$H$13,(($B$9*IF($K$10=1,'Unit Costs'!D20,'Unit Costs'!D20/2))+Fabric!$D$13)*(1-Fabric!$F$13)))*IF(Fabric!$D$14="",1,Fabric!$D$14))+IF($K$14=2,'Unit Costs'!$I$14+IF(Fabric!$D$14&gt;1,Fabric!$D$14-1,0),0),"N/A")),IF('Unit Costs'!D44="No Restrictions",MAX(0,(IF(Fabric!$F$13="",((IF($I$12=2,($B$10*IF($K$10=1,'Unit Costs'!D20,'Unit Costs'!D20/2))+$C$13,IF($I$12=3,($B$10*IF($K$10=1,'Unit Costs'!D20,'Unit Costs'!D20/2))*2,(($B$10*IF($K$10=1,'Unit Costs'!D20,'Unit Costs'!D20/2))*2)+$C$13)))+Fabric!$D$13)-Fabric!$H$13,((IF($I$12=2,($B$10*IF($K$10=1,'Unit Costs'!D20,'Unit Costs'!D20/2))+$C$13,IF($I$12=3,($B$10*IF($K$10=1,'Unit Costs'!D20,'Unit Costs'!D20/2))*2,(($B$10*IF($K$10=1,'Unit Costs'!D20,'Unit Costs'!D20/2))*2)+$C$13)))+Fabric!$D$13)*(1-Fabric!$F$13)))*IF(Fabric!$D$14="",1,Fabric!$D$14))+IF($K$14=2,'Unit Costs'!$I$14+IF(Fabric!$D$14&gt;1,Fabric!$D$14-1,0),0),"N/A")))</f>
        <v>0</v>
      </c>
      <c r="E38" s="676" t="s">
        <v>577</v>
      </c>
      <c r="F38" s="671">
        <f>IF('Unit Costs'!F20="N/A","N/A",IF($I$12=1,IF('Unit Costs'!F44="Blocker",MAX(0,(IF(Fabric!$F$13="",(($B$9*'Unit Costs'!F20)+Fabric!$D$13)-Fabric!$H$13,(($B$9*'Unit Costs'!F20)+Fabric!$D$13)*(1-Fabric!$F$13)))*IF(Fabric!$D$14="",1,Fabric!$D$14))+IF($K$14=2,IF(Fabric!$D$14&gt;1,'Unit Costs'!$I$14+(Fabric!$D$14-1),'Unit Costs'!$I$14)),IF(OR('Unit Costs'!F44="Single Sided",'Unit Costs'!F44="No Restrictions",AND('Unit Costs'!F44="No Edges",OR(SUM($D$14:$G$14)=4,SUM(Fabric!$F$7:$H$10)=0))),MAX(0,(IF(Fabric!$F$13="",(($B$9*IF($K$10=1,'Unit Costs'!F20,'Unit Costs'!F20/2))+Fabric!$D$13)-Fabric!$H$13,(($B$9*IF($K$10=1,'Unit Costs'!F20,'Unit Costs'!F20/2))+Fabric!$D$13)*(1-Fabric!$F$13)))*IF(Fabric!$D$14="",1,Fabric!$D$14))+IF($K$14=2,'Unit Costs'!$I$14+IF(Fabric!$D$14&gt;1,Fabric!$D$14-1,0),0),"N/A")),IF('Unit Costs'!F44="No Restrictions",MAX(0,(IF(Fabric!$F$13="",((IF($I$12=2,($B$10*IF($K$10=1,'Unit Costs'!F20,'Unit Costs'!F20/2))+$C$13,IF($I$12=3,($B$10*IF($K$10=1,'Unit Costs'!F20,'Unit Costs'!F20/2))*2,(($B$10*IF($K$10=1,'Unit Costs'!F20,'Unit Costs'!F20/2))*2)+$C$13)))+Fabric!$D$13)-Fabric!$H$13,((IF($I$12=2,($B$10*IF($K$10=1,'Unit Costs'!F20,'Unit Costs'!F20/2))+$C$13,IF($I$12=3,($B$10*IF($K$10=1,'Unit Costs'!F20,'Unit Costs'!F20/2))*2,(($B$10*IF($K$10=1,'Unit Costs'!F20,'Unit Costs'!F20/2))*2)+$C$13)))+Fabric!$D$13)*(1-Fabric!$F$13)))*IF(Fabric!$D$14="",1,Fabric!$D$14))+IF($K$14=2,'Unit Costs'!$I$14+IF(Fabric!$D$14&gt;1,Fabric!$D$14-1,0),0),"N/A")))</f>
        <v>0</v>
      </c>
      <c r="G38" s="671">
        <f>IF('Unit Costs'!G20="N/A","N/A",IF($I$12=1,IF('Unit Costs'!G44="Blocker",MAX(0,(IF(Fabric!$F$13="",(($B$9*'Unit Costs'!G20)+Fabric!$D$13)-Fabric!$H$13,(($B$9*'Unit Costs'!G20)+Fabric!$D$13)*(1-Fabric!$F$13)))*IF(Fabric!$D$14="",1,Fabric!$D$14))+IF($K$14=2,IF(Fabric!$D$14&gt;1,'Unit Costs'!$I$14+(Fabric!$D$14-1),'Unit Costs'!$I$14)),IF(OR('Unit Costs'!G44="Single Sided",'Unit Costs'!G44="No Restrictions",AND('Unit Costs'!G44="No Edges",OR(SUM($D$14:$G$14)=4,SUM(Fabric!$F$7:$H$10)=0))),MAX(0,(IF(Fabric!$F$13="",(($B$9*IF($K$10=1,'Unit Costs'!G20,'Unit Costs'!G20/2))+Fabric!$D$13)-Fabric!$H$13,(($B$9*IF($K$10=1,'Unit Costs'!G20,'Unit Costs'!G20/2))+Fabric!$D$13)*(1-Fabric!$F$13)))*IF(Fabric!$D$14="",1,Fabric!$D$14))+IF($K$14=2,'Unit Costs'!$I$14+IF(Fabric!$D$14&gt;1,Fabric!$D$14-1,0),0),"N/A")),IF('Unit Costs'!G44="No Restrictions",MAX(0,(IF(Fabric!$F$13="",((IF($I$12=2,($B$10*IF($K$10=1,'Unit Costs'!G20,'Unit Costs'!G20/2))+$C$13,IF($I$12=3,($B$10*IF($K$10=1,'Unit Costs'!G20,'Unit Costs'!G20/2))*2,(($B$10*IF($K$10=1,'Unit Costs'!G20,'Unit Costs'!G20/2))*2)+$C$13)))+Fabric!$D$13)-Fabric!$H$13,((IF($I$12=2,($B$10*IF($K$10=1,'Unit Costs'!G20,'Unit Costs'!G20/2))+$C$13,IF($I$12=3,($B$10*IF($K$10=1,'Unit Costs'!G20,'Unit Costs'!G20/2))*2,(($B$10*IF($K$10=1,'Unit Costs'!G20,'Unit Costs'!G20/2))*2)+$C$13)))+Fabric!$D$13)*(1-Fabric!$F$13)))*IF(Fabric!$D$14="",1,Fabric!$D$14))+IF($K$14=2,'Unit Costs'!$I$14+IF(Fabric!$D$14&gt;1,Fabric!$D$14-1,0),0),"N/A")))</f>
        <v>0</v>
      </c>
      <c r="H38" s="9"/>
      <c r="I38" s="9"/>
      <c r="J38" s="9"/>
      <c r="K38" s="9"/>
      <c r="L38" s="9"/>
      <c r="M38" s="20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2:24" ht="15" customHeight="1" x14ac:dyDescent="0.3">
      <c r="B39" s="675" t="s">
        <v>560</v>
      </c>
      <c r="C39" s="671">
        <f>IF('Unit Costs'!C21="N/A","N/A",IF($I$12=1,IF('Unit Costs'!C45="Blocker",MAX(0,(IF(Fabric!$F$13="",(($B$9*'Unit Costs'!C21)+Fabric!$D$13)-Fabric!$H$13,(($B$9*'Unit Costs'!C21)+Fabric!$D$13)*(1-Fabric!$F$13)))*IF(Fabric!$D$14="",1,Fabric!$D$14))+IF($K$14=2,IF(Fabric!$D$14&gt;1,'Unit Costs'!$I$14+(Fabric!$D$14-1),'Unit Costs'!$I$14)),IF(OR('Unit Costs'!C45="Single Sided",'Unit Costs'!C45="No Restrictions",AND('Unit Costs'!C45="No Edges",OR(SUM($D$14:$G$14)=4,SUM(Fabric!$F$7:$H$10)=0))),MAX(0,(IF(Fabric!$F$13="",(($B$9*IF($K$10=1,'Unit Costs'!C21,'Unit Costs'!C21/2))+Fabric!$D$13)-Fabric!$H$13,(($B$9*IF($K$10=1,'Unit Costs'!C21,'Unit Costs'!C21/2))+Fabric!$D$13)*(1-Fabric!$F$13)))*IF(Fabric!$D$14="",1,Fabric!$D$14))+IF($K$14=2,'Unit Costs'!$I$14+IF(Fabric!$D$14&gt;1,Fabric!$D$14-1,0),0),"N/A")),IF('Unit Costs'!C45="No Restrictions",MAX(0,(IF(Fabric!$F$13="",((IF($I$12=2,($B$10*IF($K$10=1,'Unit Costs'!C21,'Unit Costs'!C21/2))+$C$13,IF($I$12=3,($B$10*IF($K$10=1,'Unit Costs'!C21,'Unit Costs'!C21/2))*2,(($B$10*IF($K$10=1,'Unit Costs'!C21,'Unit Costs'!C21/2))*2)+$C$13)))+Fabric!$D$13)-Fabric!$H$13,((IF($I$12=2,($B$10*IF($K$10=1,'Unit Costs'!C21,'Unit Costs'!C21/2))+$C$13,IF($I$12=3,($B$10*IF($K$10=1,'Unit Costs'!C21,'Unit Costs'!C21/2))*2,(($B$10*IF($K$10=1,'Unit Costs'!C21,'Unit Costs'!C21/2))*2)+$C$13)))+Fabric!$D$13)*(1-Fabric!$F$13)))*IF(Fabric!$D$14="",1,Fabric!$D$14))+IF($K$14=2,'Unit Costs'!$I$14+IF(Fabric!$D$14&gt;1,Fabric!$D$14-1,0),0),"N/A")))</f>
        <v>0</v>
      </c>
      <c r="D39" s="671">
        <f>IF('Unit Costs'!D21="N/A","N/A",IF($I$12=1,IF('Unit Costs'!D45="Blocker",MAX(0,(IF(Fabric!$F$13="",(($B$9*'Unit Costs'!D21)+Fabric!$D$13)-Fabric!$H$13,(($B$9*'Unit Costs'!D21)+Fabric!$D$13)*(1-Fabric!$F$13)))*IF(Fabric!$D$14="",1,Fabric!$D$14))+IF($K$14=2,IF(Fabric!$D$14&gt;1,'Unit Costs'!$I$14+(Fabric!$D$14-1),'Unit Costs'!$I$14)),IF(OR('Unit Costs'!D45="Single Sided",'Unit Costs'!D45="No Restrictions",AND('Unit Costs'!D45="No Edges",OR(SUM($D$14:$G$14)=4,SUM(Fabric!$F$7:$H$10)=0))),MAX(0,(IF(Fabric!$F$13="",(($B$9*IF($K$10=1,'Unit Costs'!D21,'Unit Costs'!D21/2))+Fabric!$D$13)-Fabric!$H$13,(($B$9*IF($K$10=1,'Unit Costs'!D21,'Unit Costs'!D21/2))+Fabric!$D$13)*(1-Fabric!$F$13)))*IF(Fabric!$D$14="",1,Fabric!$D$14))+IF($K$14=2,'Unit Costs'!$I$14+IF(Fabric!$D$14&gt;1,Fabric!$D$14-1,0),0),"N/A")),IF('Unit Costs'!D45="No Restrictions",MAX(0,(IF(Fabric!$F$13="",((IF($I$12=2,($B$10*IF($K$10=1,'Unit Costs'!D21,'Unit Costs'!D21/2))+$C$13,IF($I$12=3,($B$10*IF($K$10=1,'Unit Costs'!D21,'Unit Costs'!D21/2))*2,(($B$10*IF($K$10=1,'Unit Costs'!D21,'Unit Costs'!D21/2))*2)+$C$13)))+Fabric!$D$13)-Fabric!$H$13,((IF($I$12=2,($B$10*IF($K$10=1,'Unit Costs'!D21,'Unit Costs'!D21/2))+$C$13,IF($I$12=3,($B$10*IF($K$10=1,'Unit Costs'!D21,'Unit Costs'!D21/2))*2,(($B$10*IF($K$10=1,'Unit Costs'!D21,'Unit Costs'!D21/2))*2)+$C$13)))+Fabric!$D$13)*(1-Fabric!$F$13)))*IF(Fabric!$D$14="",1,Fabric!$D$14))+IF($K$14=2,'Unit Costs'!$I$14+IF(Fabric!$D$14&gt;1,Fabric!$D$14-1,0),0),"N/A")))</f>
        <v>0</v>
      </c>
      <c r="E39" s="676" t="s">
        <v>578</v>
      </c>
      <c r="F39" s="671">
        <f>IF('Unit Costs'!F21="N/A","N/A",IF($I$12=1,IF('Unit Costs'!F45="Blocker",MAX(0,(IF(Fabric!$F$13="",(($B$9*'Unit Costs'!F21)+Fabric!$D$13)-Fabric!$H$13,(($B$9*'Unit Costs'!F21)+Fabric!$D$13)*(1-Fabric!$F$13)))*IF(Fabric!$D$14="",1,Fabric!$D$14))+IF($K$14=2,IF(Fabric!$D$14&gt;1,'Unit Costs'!$I$14+(Fabric!$D$14-1),'Unit Costs'!$I$14)),IF(OR('Unit Costs'!F45="Single Sided",'Unit Costs'!F45="No Restrictions",AND('Unit Costs'!F45="No Edges",OR(SUM($D$14:$G$14)=4,SUM(Fabric!$F$7:$H$10)=0))),MAX(0,(IF(Fabric!$F$13="",(($B$9*IF($K$10=1,'Unit Costs'!F21,'Unit Costs'!F21/2))+Fabric!$D$13)-Fabric!$H$13,(($B$9*IF($K$10=1,'Unit Costs'!F21,'Unit Costs'!F21/2))+Fabric!$D$13)*(1-Fabric!$F$13)))*IF(Fabric!$D$14="",1,Fabric!$D$14))+IF($K$14=2,'Unit Costs'!$I$14+IF(Fabric!$D$14&gt;1,Fabric!$D$14-1,0),0),"N/A")),IF('Unit Costs'!F45="No Restrictions",MAX(0,(IF(Fabric!$F$13="",((IF($I$12=2,($B$10*IF($K$10=1,'Unit Costs'!F21,'Unit Costs'!F21/2))+$C$13,IF($I$12=3,($B$10*IF($K$10=1,'Unit Costs'!F21,'Unit Costs'!F21/2))*2,(($B$10*IF($K$10=1,'Unit Costs'!F21,'Unit Costs'!F21/2))*2)+$C$13)))+Fabric!$D$13)-Fabric!$H$13,((IF($I$12=2,($B$10*IF($K$10=1,'Unit Costs'!F21,'Unit Costs'!F21/2))+$C$13,IF($I$12=3,($B$10*IF($K$10=1,'Unit Costs'!F21,'Unit Costs'!F21/2))*2,(($B$10*IF($K$10=1,'Unit Costs'!F21,'Unit Costs'!F21/2))*2)+$C$13)))+Fabric!$D$13)*(1-Fabric!$F$13)))*IF(Fabric!$D$14="",1,Fabric!$D$14))+IF($K$14=2,'Unit Costs'!$I$14+IF(Fabric!$D$14&gt;1,Fabric!$D$14-1,0),0),"N/A")))</f>
        <v>0</v>
      </c>
      <c r="G39" s="671">
        <f>IF('Unit Costs'!G21="N/A","N/A",IF($I$12=1,IF('Unit Costs'!G45="Blocker",MAX(0,(IF(Fabric!$F$13="",(($B$9*'Unit Costs'!G21)+Fabric!$D$13)-Fabric!$H$13,(($B$9*'Unit Costs'!G21)+Fabric!$D$13)*(1-Fabric!$F$13)))*IF(Fabric!$D$14="",1,Fabric!$D$14))+IF($K$14=2,IF(Fabric!$D$14&gt;1,'Unit Costs'!$I$14+(Fabric!$D$14-1),'Unit Costs'!$I$14)),IF(OR('Unit Costs'!G45="Single Sided",'Unit Costs'!G45="No Restrictions",AND('Unit Costs'!G45="No Edges",OR(SUM($D$14:$G$14)=4,SUM(Fabric!$F$7:$H$10)=0))),MAX(0,(IF(Fabric!$F$13="",(($B$9*IF($K$10=1,'Unit Costs'!G21,'Unit Costs'!G21/2))+Fabric!$D$13)-Fabric!$H$13,(($B$9*IF($K$10=1,'Unit Costs'!G21,'Unit Costs'!G21/2))+Fabric!$D$13)*(1-Fabric!$F$13)))*IF(Fabric!$D$14="",1,Fabric!$D$14))+IF($K$14=2,'Unit Costs'!$I$14+IF(Fabric!$D$14&gt;1,Fabric!$D$14-1,0),0),"N/A")),IF('Unit Costs'!G45="No Restrictions",MAX(0,(IF(Fabric!$F$13="",((IF($I$12=2,($B$10*IF($K$10=1,'Unit Costs'!G21,'Unit Costs'!G21/2))+$C$13,IF($I$12=3,($B$10*IF($K$10=1,'Unit Costs'!G21,'Unit Costs'!G21/2))*2,(($B$10*IF($K$10=1,'Unit Costs'!G21,'Unit Costs'!G21/2))*2)+$C$13)))+Fabric!$D$13)-Fabric!$H$13,((IF($I$12=2,($B$10*IF($K$10=1,'Unit Costs'!G21,'Unit Costs'!G21/2))+$C$13,IF($I$12=3,($B$10*IF($K$10=1,'Unit Costs'!G21,'Unit Costs'!G21/2))*2,(($B$10*IF($K$10=1,'Unit Costs'!G21,'Unit Costs'!G21/2))*2)+$C$13)))+Fabric!$D$13)*(1-Fabric!$F$13)))*IF(Fabric!$D$14="",1,Fabric!$D$14))+IF($K$14=2,'Unit Costs'!$I$14+IF(Fabric!$D$14&gt;1,Fabric!$D$14-1,0),0),"N/A")))</f>
        <v>0</v>
      </c>
      <c r="H39" s="9"/>
      <c r="I39" s="9"/>
      <c r="J39" s="9"/>
      <c r="K39" s="9"/>
      <c r="L39" s="9"/>
      <c r="M39" s="20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2:24" ht="15" customHeight="1" x14ac:dyDescent="0.3">
      <c r="B40" s="675" t="s">
        <v>562</v>
      </c>
      <c r="C40" s="671">
        <f>IF('Unit Costs'!C22="N/A","N/A",IF($I$12=1,IF('Unit Costs'!C46="Blocker",MAX(0,(IF(Fabric!$F$13="",(($B$9*'Unit Costs'!C22)+Fabric!$D$13)-Fabric!$H$13,(($B$9*'Unit Costs'!C22)+Fabric!$D$13)*(1-Fabric!$F$13)))*IF(Fabric!$D$14="",1,Fabric!$D$14))+IF($K$14=2,IF(Fabric!$D$14&gt;1,'Unit Costs'!$I$14+(Fabric!$D$14-1),'Unit Costs'!$I$14)),IF(OR('Unit Costs'!C46="Single Sided",'Unit Costs'!C46="No Restrictions",AND('Unit Costs'!C46="No Edges",OR(SUM($D$14:$G$14)=4,SUM(Fabric!$F$7:$H$10)=0))),MAX(0,(IF(Fabric!$F$13="",(($B$9*IF($K$10=1,'Unit Costs'!C22,'Unit Costs'!C22/2))+Fabric!$D$13)-Fabric!$H$13,(($B$9*IF($K$10=1,'Unit Costs'!C22,'Unit Costs'!C22/2))+Fabric!$D$13)*(1-Fabric!$F$13)))*IF(Fabric!$D$14="",1,Fabric!$D$14))+IF($K$14=2,'Unit Costs'!$I$14+IF(Fabric!$D$14&gt;1,Fabric!$D$14-1,0),0),"N/A")),IF('Unit Costs'!C46="No Restrictions",MAX(0,(IF(Fabric!$F$13="",((IF($I$12=2,($B$10*IF($K$10=1,'Unit Costs'!C22,'Unit Costs'!C22/2))+$C$13,IF($I$12=3,($B$10*IF($K$10=1,'Unit Costs'!C22,'Unit Costs'!C22/2))*2,(($B$10*IF($K$10=1,'Unit Costs'!C22,'Unit Costs'!C22/2))*2)+$C$13)))+Fabric!$D$13)-Fabric!$H$13,((IF($I$12=2,($B$10*IF($K$10=1,'Unit Costs'!C22,'Unit Costs'!C22/2))+$C$13,IF($I$12=3,($B$10*IF($K$10=1,'Unit Costs'!C22,'Unit Costs'!C22/2))*2,(($B$10*IF($K$10=1,'Unit Costs'!C22,'Unit Costs'!C22/2))*2)+$C$13)))+Fabric!$D$13)*(1-Fabric!$F$13)))*IF(Fabric!$D$14="",1,Fabric!$D$14))+IF($K$14=2,'Unit Costs'!$I$14+IF(Fabric!$D$14&gt;1,Fabric!$D$14-1,0),0),"N/A")))</f>
        <v>0</v>
      </c>
      <c r="D40" s="671">
        <f>IF('Unit Costs'!D22="N/A","N/A",IF($I$12=1,IF('Unit Costs'!D46="Blocker",MAX(0,(IF(Fabric!$F$13="",(($B$9*'Unit Costs'!D22)+Fabric!$D$13)-Fabric!$H$13,(($B$9*'Unit Costs'!D22)+Fabric!$D$13)*(1-Fabric!$F$13)))*IF(Fabric!$D$14="",1,Fabric!$D$14))+IF($K$14=2,IF(Fabric!$D$14&gt;1,'Unit Costs'!$I$14+(Fabric!$D$14-1),'Unit Costs'!$I$14)),IF(OR('Unit Costs'!D46="Single Sided",'Unit Costs'!D46="No Restrictions",AND('Unit Costs'!D46="No Edges",OR(SUM($D$14:$G$14)=4,SUM(Fabric!$F$7:$H$10)=0))),MAX(0,(IF(Fabric!$F$13="",(($B$9*IF($K$10=1,'Unit Costs'!D22,'Unit Costs'!D22/2))+Fabric!$D$13)-Fabric!$H$13,(($B$9*IF($K$10=1,'Unit Costs'!D22,'Unit Costs'!D22/2))+Fabric!$D$13)*(1-Fabric!$F$13)))*IF(Fabric!$D$14="",1,Fabric!$D$14))+IF($K$14=2,'Unit Costs'!$I$14+IF(Fabric!$D$14&gt;1,Fabric!$D$14-1,0),0),"N/A")),IF('Unit Costs'!D46="No Restrictions",MAX(0,(IF(Fabric!$F$13="",((IF($I$12=2,($B$10*IF($K$10=1,'Unit Costs'!D22,'Unit Costs'!D22/2))+$C$13,IF($I$12=3,($B$10*IF($K$10=1,'Unit Costs'!D22,'Unit Costs'!D22/2))*2,(($B$10*IF($K$10=1,'Unit Costs'!D22,'Unit Costs'!D22/2))*2)+$C$13)))+Fabric!$D$13)-Fabric!$H$13,((IF($I$12=2,($B$10*IF($K$10=1,'Unit Costs'!D22,'Unit Costs'!D22/2))+$C$13,IF($I$12=3,($B$10*IF($K$10=1,'Unit Costs'!D22,'Unit Costs'!D22/2))*2,(($B$10*IF($K$10=1,'Unit Costs'!D22,'Unit Costs'!D22/2))*2)+$C$13)))+Fabric!$D$13)*(1-Fabric!$F$13)))*IF(Fabric!$D$14="",1,Fabric!$D$14))+IF($K$14=2,'Unit Costs'!$I$14+IF(Fabric!$D$14&gt;1,Fabric!$D$14-1,0),0),"N/A")))</f>
        <v>0</v>
      </c>
      <c r="E40" s="676" t="s">
        <v>579</v>
      </c>
      <c r="F40" s="671">
        <f>IF('Unit Costs'!F22="N/A","N/A",IF($I$12=1,IF('Unit Costs'!F46="Blocker",MAX(0,(IF(Fabric!$F$13="",(($B$9*'Unit Costs'!F22)+Fabric!$D$13)-Fabric!$H$13,(($B$9*'Unit Costs'!F22)+Fabric!$D$13)*(1-Fabric!$F$13)))*IF(Fabric!$D$14="",1,Fabric!$D$14))+IF($K$14=2,IF(Fabric!$D$14&gt;1,'Unit Costs'!$I$14+(Fabric!$D$14-1),'Unit Costs'!$I$14)),IF(OR('Unit Costs'!F46="Single Sided",'Unit Costs'!F46="No Restrictions",AND('Unit Costs'!F46="No Edges",OR(SUM($D$14:$G$14)=4,SUM(Fabric!$F$7:$H$10)=0))),MAX(0,(IF(Fabric!$F$13="",(($B$9*IF($K$10=1,'Unit Costs'!F22,'Unit Costs'!F22/2))+Fabric!$D$13)-Fabric!$H$13,(($B$9*IF($K$10=1,'Unit Costs'!F22,'Unit Costs'!F22/2))+Fabric!$D$13)*(1-Fabric!$F$13)))*IF(Fabric!$D$14="",1,Fabric!$D$14))+IF($K$14=2,'Unit Costs'!$I$14+IF(Fabric!$D$14&gt;1,Fabric!$D$14-1,0),0),"N/A")),IF('Unit Costs'!F46="No Restrictions",MAX(0,(IF(Fabric!$F$13="",((IF($I$12=2,($B$10*IF($K$10=1,'Unit Costs'!F22,'Unit Costs'!F22/2))+$C$13,IF($I$12=3,($B$10*IF($K$10=1,'Unit Costs'!F22,'Unit Costs'!F22/2))*2,(($B$10*IF($K$10=1,'Unit Costs'!F22,'Unit Costs'!F22/2))*2)+$C$13)))+Fabric!$D$13)-Fabric!$H$13,((IF($I$12=2,($B$10*IF($K$10=1,'Unit Costs'!F22,'Unit Costs'!F22/2))+$C$13,IF($I$12=3,($B$10*IF($K$10=1,'Unit Costs'!F22,'Unit Costs'!F22/2))*2,(($B$10*IF($K$10=1,'Unit Costs'!F22,'Unit Costs'!F22/2))*2)+$C$13)))+Fabric!$D$13)*(1-Fabric!$F$13)))*IF(Fabric!$D$14="",1,Fabric!$D$14))+IF($K$14=2,'Unit Costs'!$I$14+IF(Fabric!$D$14&gt;1,Fabric!$D$14-1,0),0),"N/A")))</f>
        <v>0</v>
      </c>
      <c r="G40" s="671">
        <f>IF('Unit Costs'!G22="N/A","N/A",IF($I$12=1,IF('Unit Costs'!G46="Blocker",MAX(0,(IF(Fabric!$F$13="",(($B$9*'Unit Costs'!G22)+Fabric!$D$13)-Fabric!$H$13,(($B$9*'Unit Costs'!G22)+Fabric!$D$13)*(1-Fabric!$F$13)))*IF(Fabric!$D$14="",1,Fabric!$D$14))+IF($K$14=2,IF(Fabric!$D$14&gt;1,'Unit Costs'!$I$14+(Fabric!$D$14-1),'Unit Costs'!$I$14)),IF(OR('Unit Costs'!G46="Single Sided",'Unit Costs'!G46="No Restrictions",AND('Unit Costs'!G46="No Edges",OR(SUM($D$14:$G$14)=4,SUM(Fabric!$F$7:$H$10)=0))),MAX(0,(IF(Fabric!$F$13="",(($B$9*IF($K$10=1,'Unit Costs'!G22,'Unit Costs'!G22/2))+Fabric!$D$13)-Fabric!$H$13,(($B$9*IF($K$10=1,'Unit Costs'!G22,'Unit Costs'!G22/2))+Fabric!$D$13)*(1-Fabric!$F$13)))*IF(Fabric!$D$14="",1,Fabric!$D$14))+IF($K$14=2,'Unit Costs'!$I$14+IF(Fabric!$D$14&gt;1,Fabric!$D$14-1,0),0),"N/A")),IF('Unit Costs'!G46="No Restrictions",MAX(0,(IF(Fabric!$F$13="",((IF($I$12=2,($B$10*IF($K$10=1,'Unit Costs'!G22,'Unit Costs'!G22/2))+$C$13,IF($I$12=3,($B$10*IF($K$10=1,'Unit Costs'!G22,'Unit Costs'!G22/2))*2,(($B$10*IF($K$10=1,'Unit Costs'!G22,'Unit Costs'!G22/2))*2)+$C$13)))+Fabric!$D$13)-Fabric!$H$13,((IF($I$12=2,($B$10*IF($K$10=1,'Unit Costs'!G22,'Unit Costs'!G22/2))+$C$13,IF($I$12=3,($B$10*IF($K$10=1,'Unit Costs'!G22,'Unit Costs'!G22/2))*2,(($B$10*IF($K$10=1,'Unit Costs'!G22,'Unit Costs'!G22/2))*2)+$C$13)))+Fabric!$D$13)*(1-Fabric!$F$13)))*IF(Fabric!$D$14="",1,Fabric!$D$14))+IF($K$14=2,'Unit Costs'!$I$14+IF(Fabric!$D$14&gt;1,Fabric!$D$14-1,0),0),"N/A")))</f>
        <v>0</v>
      </c>
      <c r="H40" s="9"/>
      <c r="I40" s="9"/>
      <c r="J40" s="9"/>
      <c r="K40" s="9"/>
      <c r="L40" s="9"/>
      <c r="M40" s="20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2:24" ht="15" customHeight="1" x14ac:dyDescent="0.3">
      <c r="B41" s="675" t="s">
        <v>563</v>
      </c>
      <c r="C41" s="671">
        <f>IF('Unit Costs'!C23="N/A","N/A",IF($I$12=1,IF('Unit Costs'!C47="Blocker",MAX(0,(IF(Fabric!$F$13="",(($B$9*'Unit Costs'!C23)+Fabric!$D$13)-Fabric!$H$13,(($B$9*'Unit Costs'!C23)+Fabric!$D$13)*(1-Fabric!$F$13)))*IF(Fabric!$D$14="",1,Fabric!$D$14))+IF($K$14=2,IF(Fabric!$D$14&gt;1,'Unit Costs'!$I$14+(Fabric!$D$14-1),'Unit Costs'!$I$14)),IF(OR('Unit Costs'!C47="Single Sided",'Unit Costs'!C47="No Restrictions",AND('Unit Costs'!C47="No Edges",OR(SUM($D$14:$G$14)=4,SUM(Fabric!$F$7:$H$10)=0))),MAX(0,(IF(Fabric!$F$13="",(($B$9*IF($K$10=1,'Unit Costs'!C23,'Unit Costs'!C23/2))+Fabric!$D$13)-Fabric!$H$13,(($B$9*IF($K$10=1,'Unit Costs'!C23,'Unit Costs'!C23/2))+Fabric!$D$13)*(1-Fabric!$F$13)))*IF(Fabric!$D$14="",1,Fabric!$D$14))+IF($K$14=2,'Unit Costs'!$I$14+IF(Fabric!$D$14&gt;1,Fabric!$D$14-1,0),0),"N/A")),IF('Unit Costs'!C47="No Restrictions",MAX(0,(IF(Fabric!$F$13="",((IF($I$12=2,($B$10*IF($K$10=1,'Unit Costs'!C23,'Unit Costs'!C23/2))+$C$13,IF($I$12=3,($B$10*IF($K$10=1,'Unit Costs'!C23,'Unit Costs'!C23/2))*2,(($B$10*IF($K$10=1,'Unit Costs'!C23,'Unit Costs'!C23/2))*2)+$C$13)))+Fabric!$D$13)-Fabric!$H$13,((IF($I$12=2,($B$10*IF($K$10=1,'Unit Costs'!C23,'Unit Costs'!C23/2))+$C$13,IF($I$12=3,($B$10*IF($K$10=1,'Unit Costs'!C23,'Unit Costs'!C23/2))*2,(($B$10*IF($K$10=1,'Unit Costs'!C23,'Unit Costs'!C23/2))*2)+$C$13)))+Fabric!$D$13)*(1-Fabric!$F$13)))*IF(Fabric!$D$14="",1,Fabric!$D$14))+IF($K$14=2,'Unit Costs'!$I$14+IF(Fabric!$D$14&gt;1,Fabric!$D$14-1,0),0),"N/A")))</f>
        <v>0</v>
      </c>
      <c r="D41" s="671" t="str">
        <f>IF('Unit Costs'!D23="N/A","N/A",IF($I$12=1,IF('Unit Costs'!D47="Blocker",MAX(0,(IF(Fabric!$F$13="",(($B$9*'Unit Costs'!D23)+Fabric!$D$13)-Fabric!$H$13,(($B$9*'Unit Costs'!D23)+Fabric!$D$13)*(1-Fabric!$F$13)))*IF(Fabric!$D$14="",1,Fabric!$D$14))+IF($K$14=2,IF(Fabric!$D$14&gt;1,'Unit Costs'!$I$14+(Fabric!$D$14-1),'Unit Costs'!$I$14)),IF(OR('Unit Costs'!D47="Single Sided",'Unit Costs'!D47="No Restrictions",AND('Unit Costs'!D47="No Edges",OR(SUM($D$14:$G$14)=4,SUM(Fabric!$F$7:$H$10)=0))),MAX(0,(IF(Fabric!$F$13="",(($B$9*IF($K$10=1,'Unit Costs'!D23,'Unit Costs'!D23/2))+Fabric!$D$13)-Fabric!$H$13,(($B$9*IF($K$10=1,'Unit Costs'!D23,'Unit Costs'!D23/2))+Fabric!$D$13)*(1-Fabric!$F$13)))*IF(Fabric!$D$14="",1,Fabric!$D$14))+IF($K$14=2,'Unit Costs'!$I$14+IF(Fabric!$D$14&gt;1,Fabric!$D$14-1,0),0),"N/A")),IF('Unit Costs'!D47="No Restrictions",MAX(0,(IF(Fabric!$F$13="",((IF($I$12=2,($B$10*IF($K$10=1,'Unit Costs'!D23,'Unit Costs'!D23/2))+$C$13,IF($I$12=3,($B$10*IF($K$10=1,'Unit Costs'!D23,'Unit Costs'!D23/2))*2,(($B$10*IF($K$10=1,'Unit Costs'!D23,'Unit Costs'!D23/2))*2)+$C$13)))+Fabric!$D$13)-Fabric!$H$13,((IF($I$12=2,($B$10*IF($K$10=1,'Unit Costs'!D23,'Unit Costs'!D23/2))+$C$13,IF($I$12=3,($B$10*IF($K$10=1,'Unit Costs'!D23,'Unit Costs'!D23/2))*2,(($B$10*IF($K$10=1,'Unit Costs'!D23,'Unit Costs'!D23/2))*2)+$C$13)))+Fabric!$D$13)*(1-Fabric!$F$13)))*IF(Fabric!$D$14="",1,Fabric!$D$14))+IF($K$14=2,'Unit Costs'!$I$14+IF(Fabric!$D$14&gt;1,Fabric!$D$14-1,0),0),"N/A")))</f>
        <v>N/A</v>
      </c>
      <c r="E41" s="676" t="s">
        <v>580</v>
      </c>
      <c r="F41" s="671">
        <f>IF('Unit Costs'!F23="N/A","N/A",IF($I$12=1,IF('Unit Costs'!F47="Blocker",MAX(0,(IF(Fabric!$F$13="",(($B$9*'Unit Costs'!F23)+Fabric!$D$13)-Fabric!$H$13,(($B$9*'Unit Costs'!F23)+Fabric!$D$13)*(1-Fabric!$F$13)))*IF(Fabric!$D$14="",1,Fabric!$D$14))+IF($K$14=2,IF(Fabric!$D$14&gt;1,'Unit Costs'!$I$14+(Fabric!$D$14-1),'Unit Costs'!$I$14)),IF(OR('Unit Costs'!F47="Single Sided",'Unit Costs'!F47="No Restrictions",AND('Unit Costs'!F47="No Edges",OR(SUM($D$14:$G$14)=4,SUM(Fabric!$F$7:$H$10)=0))),MAX(0,(IF(Fabric!$F$13="",(($B$9*IF($K$10=1,'Unit Costs'!F23,'Unit Costs'!F23/2))+Fabric!$D$13)-Fabric!$H$13,(($B$9*IF($K$10=1,'Unit Costs'!F23,'Unit Costs'!F23/2))+Fabric!$D$13)*(1-Fabric!$F$13)))*IF(Fabric!$D$14="",1,Fabric!$D$14))+IF($K$14=2,'Unit Costs'!$I$14+IF(Fabric!$D$14&gt;1,Fabric!$D$14-1,0),0),"N/A")),IF('Unit Costs'!F47="No Restrictions",MAX(0,(IF(Fabric!$F$13="",((IF($I$12=2,($B$10*IF($K$10=1,'Unit Costs'!F23,'Unit Costs'!F23/2))+$C$13,IF($I$12=3,($B$10*IF($K$10=1,'Unit Costs'!F23,'Unit Costs'!F23/2))*2,(($B$10*IF($K$10=1,'Unit Costs'!F23,'Unit Costs'!F23/2))*2)+$C$13)))+Fabric!$D$13)-Fabric!$H$13,((IF($I$12=2,($B$10*IF($K$10=1,'Unit Costs'!F23,'Unit Costs'!F23/2))+$C$13,IF($I$12=3,($B$10*IF($K$10=1,'Unit Costs'!F23,'Unit Costs'!F23/2))*2,(($B$10*IF($K$10=1,'Unit Costs'!F23,'Unit Costs'!F23/2))*2)+$C$13)))+Fabric!$D$13)*(1-Fabric!$F$13)))*IF(Fabric!$D$14="",1,Fabric!$D$14))+IF($K$14=2,'Unit Costs'!$I$14+IF(Fabric!$D$14&gt;1,Fabric!$D$14-1,0),0),"N/A")))</f>
        <v>0</v>
      </c>
      <c r="G41" s="671">
        <f>IF('Unit Costs'!G23="N/A","N/A",IF($I$12=1,IF('Unit Costs'!G47="Blocker",MAX(0,(IF(Fabric!$F$13="",(($B$9*'Unit Costs'!G23)+Fabric!$D$13)-Fabric!$H$13,(($B$9*'Unit Costs'!G23)+Fabric!$D$13)*(1-Fabric!$F$13)))*IF(Fabric!$D$14="",1,Fabric!$D$14))+IF($K$14=2,IF(Fabric!$D$14&gt;1,'Unit Costs'!$I$14+(Fabric!$D$14-1),'Unit Costs'!$I$14)),IF(OR('Unit Costs'!G47="Single Sided",'Unit Costs'!G47="No Restrictions",AND('Unit Costs'!G47="No Edges",OR(SUM($D$14:$G$14)=4,SUM(Fabric!$F$7:$H$10)=0))),MAX(0,(IF(Fabric!$F$13="",(($B$9*IF($K$10=1,'Unit Costs'!G23,'Unit Costs'!G23/2))+Fabric!$D$13)-Fabric!$H$13,(($B$9*IF($K$10=1,'Unit Costs'!G23,'Unit Costs'!G23/2))+Fabric!$D$13)*(1-Fabric!$F$13)))*IF(Fabric!$D$14="",1,Fabric!$D$14))+IF($K$14=2,'Unit Costs'!$I$14+IF(Fabric!$D$14&gt;1,Fabric!$D$14-1,0),0),"N/A")),IF('Unit Costs'!G47="No Restrictions",MAX(0,(IF(Fabric!$F$13="",((IF($I$12=2,($B$10*IF($K$10=1,'Unit Costs'!G23,'Unit Costs'!G23/2))+$C$13,IF($I$12=3,($B$10*IF($K$10=1,'Unit Costs'!G23,'Unit Costs'!G23/2))*2,(($B$10*IF($K$10=1,'Unit Costs'!G23,'Unit Costs'!G23/2))*2)+$C$13)))+Fabric!$D$13)-Fabric!$H$13,((IF($I$12=2,($B$10*IF($K$10=1,'Unit Costs'!G23,'Unit Costs'!G23/2))+$C$13,IF($I$12=3,($B$10*IF($K$10=1,'Unit Costs'!G23,'Unit Costs'!G23/2))*2,(($B$10*IF($K$10=1,'Unit Costs'!G23,'Unit Costs'!G23/2))*2)+$C$13)))+Fabric!$D$13)*(1-Fabric!$F$13)))*IF(Fabric!$D$14="",1,Fabric!$D$14))+IF($K$14=2,'Unit Costs'!$I$14+IF(Fabric!$D$14&gt;1,Fabric!$D$14-1,0),0),"N/A")))</f>
        <v>0</v>
      </c>
      <c r="H41" s="9"/>
      <c r="I41" s="9"/>
      <c r="J41" s="9"/>
      <c r="K41" s="9"/>
      <c r="L41" s="9"/>
      <c r="M41" s="20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2:24" ht="15" customHeight="1" x14ac:dyDescent="0.3">
      <c r="B42" s="675" t="s">
        <v>564</v>
      </c>
      <c r="C42" s="671">
        <f>IF('Unit Costs'!C24="N/A","N/A",IF($I$12=1,IF('Unit Costs'!C48="Blocker",MAX(0,(IF(Fabric!$F$13="",(($B$9*'Unit Costs'!C24)+Fabric!$D$13)-Fabric!$H$13,(($B$9*'Unit Costs'!C24)+Fabric!$D$13)*(1-Fabric!$F$13)))*IF(Fabric!$D$14="",1,Fabric!$D$14))+IF($K$14=2,IF(Fabric!$D$14&gt;1,'Unit Costs'!$I$14+(Fabric!$D$14-1),'Unit Costs'!$I$14)),IF(OR('Unit Costs'!C48="Single Sided",'Unit Costs'!C48="No Restrictions",AND('Unit Costs'!C48="No Edges",OR(SUM($D$14:$G$14)=4,SUM(Fabric!$F$7:$H$10)=0))),MAX(0,(IF(Fabric!$F$13="",(($B$9*IF($K$10=1,'Unit Costs'!C24,'Unit Costs'!C24/2))+Fabric!$D$13)-Fabric!$H$13,(($B$9*IF($K$10=1,'Unit Costs'!C24,'Unit Costs'!C24/2))+Fabric!$D$13)*(1-Fabric!$F$13)))*IF(Fabric!$D$14="",1,Fabric!$D$14))+IF($K$14=2,'Unit Costs'!$I$14+IF(Fabric!$D$14&gt;1,Fabric!$D$14-1,0),0),"N/A")),IF('Unit Costs'!C48="No Restrictions",MAX(0,(IF(Fabric!$F$13="",((IF($I$12=2,($B$10*IF($K$10=1,'Unit Costs'!C24,'Unit Costs'!C24/2))+$C$13,IF($I$12=3,($B$10*IF($K$10=1,'Unit Costs'!C24,'Unit Costs'!C24/2))*2,(($B$10*IF($K$10=1,'Unit Costs'!C24,'Unit Costs'!C24/2))*2)+$C$13)))+Fabric!$D$13)-Fabric!$H$13,((IF($I$12=2,($B$10*IF($K$10=1,'Unit Costs'!C24,'Unit Costs'!C24/2))+$C$13,IF($I$12=3,($B$10*IF($K$10=1,'Unit Costs'!C24,'Unit Costs'!C24/2))*2,(($B$10*IF($K$10=1,'Unit Costs'!C24,'Unit Costs'!C24/2))*2)+$C$13)))+Fabric!$D$13)*(1-Fabric!$F$13)))*IF(Fabric!$D$14="",1,Fabric!$D$14))+IF($K$14=2,'Unit Costs'!$I$14+IF(Fabric!$D$14&gt;1,Fabric!$D$14-1,0),0),"N/A")))</f>
        <v>0</v>
      </c>
      <c r="D42" s="671">
        <f>IF('Unit Costs'!D24="N/A","N/A",IF($I$12=1,IF('Unit Costs'!D48="Blocker",MAX(0,(IF(Fabric!$F$13="",(($B$9*'Unit Costs'!D24)+Fabric!$D$13)-Fabric!$H$13,(($B$9*'Unit Costs'!D24)+Fabric!$D$13)*(1-Fabric!$F$13)))*IF(Fabric!$D$14="",1,Fabric!$D$14))+IF($K$14=2,IF(Fabric!$D$14&gt;1,'Unit Costs'!$I$14+(Fabric!$D$14-1),'Unit Costs'!$I$14)),IF(OR('Unit Costs'!D48="Single Sided",'Unit Costs'!D48="No Restrictions",AND('Unit Costs'!D48="No Edges",OR(SUM($D$14:$G$14)=4,SUM(Fabric!$F$7:$H$10)=0))),MAX(0,(IF(Fabric!$F$13="",(($B$9*IF($K$10=1,'Unit Costs'!D24,'Unit Costs'!D24/2))+Fabric!$D$13)-Fabric!$H$13,(($B$9*IF($K$10=1,'Unit Costs'!D24,'Unit Costs'!D24/2))+Fabric!$D$13)*(1-Fabric!$F$13)))*IF(Fabric!$D$14="",1,Fabric!$D$14))+IF($K$14=2,'Unit Costs'!$I$14+IF(Fabric!$D$14&gt;1,Fabric!$D$14-1,0),0),"N/A")),IF('Unit Costs'!D48="No Restrictions",MAX(0,(IF(Fabric!$F$13="",((IF($I$12=2,($B$10*IF($K$10=1,'Unit Costs'!D24,'Unit Costs'!D24/2))+$C$13,IF($I$12=3,($B$10*IF($K$10=1,'Unit Costs'!D24,'Unit Costs'!D24/2))*2,(($B$10*IF($K$10=1,'Unit Costs'!D24,'Unit Costs'!D24/2))*2)+$C$13)))+Fabric!$D$13)-Fabric!$H$13,((IF($I$12=2,($B$10*IF($K$10=1,'Unit Costs'!D24,'Unit Costs'!D24/2))+$C$13,IF($I$12=3,($B$10*IF($K$10=1,'Unit Costs'!D24,'Unit Costs'!D24/2))*2,(($B$10*IF($K$10=1,'Unit Costs'!D24,'Unit Costs'!D24/2))*2)+$C$13)))+Fabric!$D$13)*(1-Fabric!$F$13)))*IF(Fabric!$D$14="",1,Fabric!$D$14))+IF($K$14=2,'Unit Costs'!$I$14+IF(Fabric!$D$14&gt;1,Fabric!$D$14-1,0),0),"N/A")))</f>
        <v>0</v>
      </c>
      <c r="E42" s="676" t="s">
        <v>581</v>
      </c>
      <c r="F42" s="671">
        <f>IF('Unit Costs'!F24="N/A","N/A",IF($I$12=1,IF('Unit Costs'!F48="Blocker",MAX(0,(IF(Fabric!$F$13="",(($B$9*'Unit Costs'!F24)+Fabric!$D$13)-Fabric!$H$13,(($B$9*'Unit Costs'!F24)+Fabric!$D$13)*(1-Fabric!$F$13)))*IF(Fabric!$D$14="",1,Fabric!$D$14))+IF($K$14=2,IF(Fabric!$D$14&gt;1,'Unit Costs'!$I$14+(Fabric!$D$14-1),'Unit Costs'!$I$14)),IF(OR('Unit Costs'!F48="Single Sided",'Unit Costs'!F48="No Restrictions",AND('Unit Costs'!F48="No Edges",OR(SUM($D$14:$G$14)=4,SUM(Fabric!$F$7:$H$10)=0))),MAX(0,(IF(Fabric!$F$13="",(($B$9*IF($K$10=1,'Unit Costs'!F24,'Unit Costs'!F24/2))+Fabric!$D$13)-Fabric!$H$13,(($B$9*IF($K$10=1,'Unit Costs'!F24,'Unit Costs'!F24/2))+Fabric!$D$13)*(1-Fabric!$F$13)))*IF(Fabric!$D$14="",1,Fabric!$D$14))+IF($K$14=2,'Unit Costs'!$I$14+IF(Fabric!$D$14&gt;1,Fabric!$D$14-1,0),0),"N/A")),IF('Unit Costs'!F48="No Restrictions",MAX(0,(IF(Fabric!$F$13="",((IF($I$12=2,($B$10*IF($K$10=1,'Unit Costs'!F24,'Unit Costs'!F24/2))+$C$13,IF($I$12=3,($B$10*IF($K$10=1,'Unit Costs'!F24,'Unit Costs'!F24/2))*2,(($B$10*IF($K$10=1,'Unit Costs'!F24,'Unit Costs'!F24/2))*2)+$C$13)))+Fabric!$D$13)-Fabric!$H$13,((IF($I$12=2,($B$10*IF($K$10=1,'Unit Costs'!F24,'Unit Costs'!F24/2))+$C$13,IF($I$12=3,($B$10*IF($K$10=1,'Unit Costs'!F24,'Unit Costs'!F24/2))*2,(($B$10*IF($K$10=1,'Unit Costs'!F24,'Unit Costs'!F24/2))*2)+$C$13)))+Fabric!$D$13)*(1-Fabric!$F$13)))*IF(Fabric!$D$14="",1,Fabric!$D$14))+IF($K$14=2,'Unit Costs'!$I$14+IF(Fabric!$D$14&gt;1,Fabric!$D$14-1,0),0),"N/A")))</f>
        <v>0</v>
      </c>
      <c r="G42" s="671">
        <f>IF('Unit Costs'!G24="N/A","N/A",IF($I$12=1,IF('Unit Costs'!G48="Blocker",MAX(0,(IF(Fabric!$F$13="",(($B$9*'Unit Costs'!G24)+Fabric!$D$13)-Fabric!$H$13,(($B$9*'Unit Costs'!G24)+Fabric!$D$13)*(1-Fabric!$F$13)))*IF(Fabric!$D$14="",1,Fabric!$D$14))+IF($K$14=2,IF(Fabric!$D$14&gt;1,'Unit Costs'!$I$14+(Fabric!$D$14-1),'Unit Costs'!$I$14)),IF(OR('Unit Costs'!G48="Single Sided",'Unit Costs'!G48="No Restrictions",AND('Unit Costs'!G48="No Edges",OR(SUM($D$14:$G$14)=4,SUM(Fabric!$F$7:$H$10)=0))),MAX(0,(IF(Fabric!$F$13="",(($B$9*IF($K$10=1,'Unit Costs'!G24,'Unit Costs'!G24/2))+Fabric!$D$13)-Fabric!$H$13,(($B$9*IF($K$10=1,'Unit Costs'!G24,'Unit Costs'!G24/2))+Fabric!$D$13)*(1-Fabric!$F$13)))*IF(Fabric!$D$14="",1,Fabric!$D$14))+IF($K$14=2,'Unit Costs'!$I$14+IF(Fabric!$D$14&gt;1,Fabric!$D$14-1,0),0),"N/A")),IF('Unit Costs'!G48="No Restrictions",MAX(0,(IF(Fabric!$F$13="",((IF($I$12=2,($B$10*IF($K$10=1,'Unit Costs'!G24,'Unit Costs'!G24/2))+$C$13,IF($I$12=3,($B$10*IF($K$10=1,'Unit Costs'!G24,'Unit Costs'!G24/2))*2,(($B$10*IF($K$10=1,'Unit Costs'!G24,'Unit Costs'!G24/2))*2)+$C$13)))+Fabric!$D$13)-Fabric!$H$13,((IF($I$12=2,($B$10*IF($K$10=1,'Unit Costs'!G24,'Unit Costs'!G24/2))+$C$13,IF($I$12=3,($B$10*IF($K$10=1,'Unit Costs'!G24,'Unit Costs'!G24/2))*2,(($B$10*IF($K$10=1,'Unit Costs'!G24,'Unit Costs'!G24/2))*2)+$C$13)))+Fabric!$D$13)*(1-Fabric!$F$13)))*IF(Fabric!$D$14="",1,Fabric!$D$14))+IF($K$14=2,'Unit Costs'!$I$14+IF(Fabric!$D$14&gt;1,Fabric!$D$14-1,0),0),"N/A")))</f>
        <v>0</v>
      </c>
      <c r="H42" s="9"/>
      <c r="I42" s="9"/>
      <c r="J42" s="9"/>
      <c r="K42" s="9"/>
      <c r="L42" s="9"/>
      <c r="M42" s="20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2:24" ht="15" customHeight="1" x14ac:dyDescent="0.3">
      <c r="B43" s="675" t="s">
        <v>565</v>
      </c>
      <c r="C43" s="671">
        <f>IF('Unit Costs'!C25="N/A","N/A",IF($I$12=1,IF('Unit Costs'!C49="Blocker",MAX(0,(IF(Fabric!$F$13="",(($B$9*'Unit Costs'!C25)+Fabric!$D$13)-Fabric!$H$13,(($B$9*'Unit Costs'!C25)+Fabric!$D$13)*(1-Fabric!$F$13)))*IF(Fabric!$D$14="",1,Fabric!$D$14))+IF($K$14=2,IF(Fabric!$D$14&gt;1,'Unit Costs'!$I$14+(Fabric!$D$14-1),'Unit Costs'!$I$14)),IF(OR('Unit Costs'!C49="Single Sided",'Unit Costs'!C49="No Restrictions",AND('Unit Costs'!C49="No Edges",OR(SUM($D$14:$G$14)=4,SUM(Fabric!$F$7:$H$10)=0))),MAX(0,(IF(Fabric!$F$13="",(($B$9*IF($K$10=1,'Unit Costs'!C25,'Unit Costs'!C25/2))+Fabric!$D$13)-Fabric!$H$13,(($B$9*IF($K$10=1,'Unit Costs'!C25,'Unit Costs'!C25/2))+Fabric!$D$13)*(1-Fabric!$F$13)))*IF(Fabric!$D$14="",1,Fabric!$D$14))+IF($K$14=2,'Unit Costs'!$I$14+IF(Fabric!$D$14&gt;1,Fabric!$D$14-1,0),0),"N/A")),IF('Unit Costs'!C49="No Restrictions",MAX(0,(IF(Fabric!$F$13="",((IF($I$12=2,($B$10*IF($K$10=1,'Unit Costs'!C25,'Unit Costs'!C25/2))+$C$13,IF($I$12=3,($B$10*IF($K$10=1,'Unit Costs'!C25,'Unit Costs'!C25/2))*2,(($B$10*IF($K$10=1,'Unit Costs'!C25,'Unit Costs'!C25/2))*2)+$C$13)))+Fabric!$D$13)-Fabric!$H$13,((IF($I$12=2,($B$10*IF($K$10=1,'Unit Costs'!C25,'Unit Costs'!C25/2))+$C$13,IF($I$12=3,($B$10*IF($K$10=1,'Unit Costs'!C25,'Unit Costs'!C25/2))*2,(($B$10*IF($K$10=1,'Unit Costs'!C25,'Unit Costs'!C25/2))*2)+$C$13)))+Fabric!$D$13)*(1-Fabric!$F$13)))*IF(Fabric!$D$14="",1,Fabric!$D$14))+IF($K$14=2,'Unit Costs'!$I$14+IF(Fabric!$D$14&gt;1,Fabric!$D$14-1,0),0),"N/A")))</f>
        <v>0</v>
      </c>
      <c r="D43" s="671">
        <f>IF('Unit Costs'!D25="N/A","N/A",IF($I$12=1,IF('Unit Costs'!D49="Blocker",MAX(0,(IF(Fabric!$F$13="",(($B$9*'Unit Costs'!D25)+Fabric!$D$13)-Fabric!$H$13,(($B$9*'Unit Costs'!D25)+Fabric!$D$13)*(1-Fabric!$F$13)))*IF(Fabric!$D$14="",1,Fabric!$D$14))+IF($K$14=2,IF(Fabric!$D$14&gt;1,'Unit Costs'!$I$14+(Fabric!$D$14-1),'Unit Costs'!$I$14)),IF(OR('Unit Costs'!D49="Single Sided",'Unit Costs'!D49="No Restrictions",AND('Unit Costs'!D49="No Edges",OR(SUM($D$14:$G$14)=4,SUM(Fabric!$F$7:$H$10)=0))),MAX(0,(IF(Fabric!$F$13="",(($B$9*IF($K$10=1,'Unit Costs'!D25,'Unit Costs'!D25/2))+Fabric!$D$13)-Fabric!$H$13,(($B$9*IF($K$10=1,'Unit Costs'!D25,'Unit Costs'!D25/2))+Fabric!$D$13)*(1-Fabric!$F$13)))*IF(Fabric!$D$14="",1,Fabric!$D$14))+IF($K$14=2,'Unit Costs'!$I$14+IF(Fabric!$D$14&gt;1,Fabric!$D$14-1,0),0),"N/A")),IF('Unit Costs'!D49="No Restrictions",MAX(0,(IF(Fabric!$F$13="",((IF($I$12=2,($B$10*IF($K$10=1,'Unit Costs'!D25,'Unit Costs'!D25/2))+$C$13,IF($I$12=3,($B$10*IF($K$10=1,'Unit Costs'!D25,'Unit Costs'!D25/2))*2,(($B$10*IF($K$10=1,'Unit Costs'!D25,'Unit Costs'!D25/2))*2)+$C$13)))+Fabric!$D$13)-Fabric!$H$13,((IF($I$12=2,($B$10*IF($K$10=1,'Unit Costs'!D25,'Unit Costs'!D25/2))+$C$13,IF($I$12=3,($B$10*IF($K$10=1,'Unit Costs'!D25,'Unit Costs'!D25/2))*2,(($B$10*IF($K$10=1,'Unit Costs'!D25,'Unit Costs'!D25/2))*2)+$C$13)))+Fabric!$D$13)*(1-Fabric!$F$13)))*IF(Fabric!$D$14="",1,Fabric!$D$14))+IF($K$14=2,'Unit Costs'!$I$14+IF(Fabric!$D$14&gt;1,Fabric!$D$14-1,0),0),"N/A")))</f>
        <v>0</v>
      </c>
      <c r="E43" s="676" t="s">
        <v>582</v>
      </c>
      <c r="F43" s="671">
        <f>IF('Unit Costs'!F25="N/A","N/A",IF($I$12=1,IF('Unit Costs'!F49="Blocker",MAX(0,(IF(Fabric!$F$13="",(($B$9*'Unit Costs'!F25)+Fabric!$D$13)-Fabric!$H$13,(($B$9*'Unit Costs'!F25)+Fabric!$D$13)*(1-Fabric!$F$13)))*IF(Fabric!$D$14="",1,Fabric!$D$14))+IF($K$14=2,IF(Fabric!$D$14&gt;1,'Unit Costs'!$I$14+(Fabric!$D$14-1),'Unit Costs'!$I$14)),IF(OR('Unit Costs'!F49="Single Sided",'Unit Costs'!F49="No Restrictions",AND('Unit Costs'!F49="No Edges",OR(SUM($D$14:$G$14)=4,SUM(Fabric!$F$7:$H$10)=0))),MAX(0,(IF(Fabric!$F$13="",(($B$9*IF($K$10=1,'Unit Costs'!F25,'Unit Costs'!F25/2))+Fabric!$D$13)-Fabric!$H$13,(($B$9*IF($K$10=1,'Unit Costs'!F25,'Unit Costs'!F25/2))+Fabric!$D$13)*(1-Fabric!$F$13)))*IF(Fabric!$D$14="",1,Fabric!$D$14))+IF($K$14=2,'Unit Costs'!$I$14+IF(Fabric!$D$14&gt;1,Fabric!$D$14-1,0),0),"N/A")),IF('Unit Costs'!F49="No Restrictions",MAX(0,(IF(Fabric!$F$13="",((IF($I$12=2,($B$10*IF($K$10=1,'Unit Costs'!F25,'Unit Costs'!F25/2))+$C$13,IF($I$12=3,($B$10*IF($K$10=1,'Unit Costs'!F25,'Unit Costs'!F25/2))*2,(($B$10*IF($K$10=1,'Unit Costs'!F25,'Unit Costs'!F25/2))*2)+$C$13)))+Fabric!$D$13)-Fabric!$H$13,((IF($I$12=2,($B$10*IF($K$10=1,'Unit Costs'!F25,'Unit Costs'!F25/2))+$C$13,IF($I$12=3,($B$10*IF($K$10=1,'Unit Costs'!F25,'Unit Costs'!F25/2))*2,(($B$10*IF($K$10=1,'Unit Costs'!F25,'Unit Costs'!F25/2))*2)+$C$13)))+Fabric!$D$13)*(1-Fabric!$F$13)))*IF(Fabric!$D$14="",1,Fabric!$D$14))+IF($K$14=2,'Unit Costs'!$I$14+IF(Fabric!$D$14&gt;1,Fabric!$D$14-1,0),0),"N/A")))</f>
        <v>0</v>
      </c>
      <c r="G43" s="671">
        <f>IF('Unit Costs'!G25="N/A","N/A",IF($I$12=1,IF('Unit Costs'!G49="Blocker",MAX(0,(IF(Fabric!$F$13="",(($B$9*'Unit Costs'!G25)+Fabric!$D$13)-Fabric!$H$13,(($B$9*'Unit Costs'!G25)+Fabric!$D$13)*(1-Fabric!$F$13)))*IF(Fabric!$D$14="",1,Fabric!$D$14))+IF($K$14=2,IF(Fabric!$D$14&gt;1,'Unit Costs'!$I$14+(Fabric!$D$14-1),'Unit Costs'!$I$14)),IF(OR('Unit Costs'!G49="Single Sided",'Unit Costs'!G49="No Restrictions",AND('Unit Costs'!G49="No Edges",OR(SUM($D$14:$G$14)=4,SUM(Fabric!$F$7:$H$10)=0))),MAX(0,(IF(Fabric!$F$13="",(($B$9*IF($K$10=1,'Unit Costs'!G25,'Unit Costs'!G25/2))+Fabric!$D$13)-Fabric!$H$13,(($B$9*IF($K$10=1,'Unit Costs'!G25,'Unit Costs'!G25/2))+Fabric!$D$13)*(1-Fabric!$F$13)))*IF(Fabric!$D$14="",1,Fabric!$D$14))+IF($K$14=2,'Unit Costs'!$I$14+IF(Fabric!$D$14&gt;1,Fabric!$D$14-1,0),0),"N/A")),IF('Unit Costs'!G49="No Restrictions",MAX(0,(IF(Fabric!$F$13="",((IF($I$12=2,($B$10*IF($K$10=1,'Unit Costs'!G25,'Unit Costs'!G25/2))+$C$13,IF($I$12=3,($B$10*IF($K$10=1,'Unit Costs'!G25,'Unit Costs'!G25/2))*2,(($B$10*IF($K$10=1,'Unit Costs'!G25,'Unit Costs'!G25/2))*2)+$C$13)))+Fabric!$D$13)-Fabric!$H$13,((IF($I$12=2,($B$10*IF($K$10=1,'Unit Costs'!G25,'Unit Costs'!G25/2))+$C$13,IF($I$12=3,($B$10*IF($K$10=1,'Unit Costs'!G25,'Unit Costs'!G25/2))*2,(($B$10*IF($K$10=1,'Unit Costs'!G25,'Unit Costs'!G25/2))*2)+$C$13)))+Fabric!$D$13)*(1-Fabric!$F$13)))*IF(Fabric!$D$14="",1,Fabric!$D$14))+IF($K$14=2,'Unit Costs'!$I$14+IF(Fabric!$D$14&gt;1,Fabric!$D$14-1,0),0),"N/A")))</f>
        <v>0</v>
      </c>
      <c r="H43" s="9"/>
      <c r="I43" s="9"/>
      <c r="J43" s="9"/>
      <c r="K43" s="9"/>
      <c r="L43" s="9"/>
      <c r="M43" s="20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2:24" ht="15" customHeight="1" x14ac:dyDescent="0.3">
      <c r="B44" s="678" t="s">
        <v>566</v>
      </c>
      <c r="C44" s="679">
        <f>IF('Unit Costs'!C26="N/A","N/A",IF($I$12=1,IF('Unit Costs'!C50="Blocker",MAX(0,(IF(Fabric!$F$13="",(($B$9*'Unit Costs'!C26)+Fabric!$D$13)-Fabric!$H$13,(($B$9*'Unit Costs'!C26)+Fabric!$D$13)*(1-Fabric!$F$13)))*IF(Fabric!$D$14="",1,Fabric!$D$14))+IF($K$14=2,IF(Fabric!$D$14&gt;1,'Unit Costs'!$I$14+(Fabric!$D$14-1),'Unit Costs'!$I$14)),IF(OR('Unit Costs'!C50="Single Sided",'Unit Costs'!C50="No Restrictions",AND('Unit Costs'!C50="No Edges",OR(SUM($D$14:$G$14)=4,SUM(Fabric!$F$7:$H$10)=0))),MAX(0,(IF(Fabric!$F$13="",(($B$9*IF($K$10=1,'Unit Costs'!C26,'Unit Costs'!C26/2))+Fabric!$D$13)-Fabric!$H$13,(($B$9*IF($K$10=1,'Unit Costs'!C26,'Unit Costs'!C26/2))+Fabric!$D$13)*(1-Fabric!$F$13)))*IF(Fabric!$D$14="",1,Fabric!$D$14))+IF($K$14=2,'Unit Costs'!$I$14+IF(Fabric!$D$14&gt;1,Fabric!$D$14-1,0),0),"N/A")),IF('Unit Costs'!C50="No Restrictions",MAX(0,(IF(Fabric!$F$13="",((IF($I$12=2,($B$10*IF($K$10=1,'Unit Costs'!C26,'Unit Costs'!C26/2))+$C$13,IF($I$12=3,($B$10*IF($K$10=1,'Unit Costs'!C26,'Unit Costs'!C26/2))*2,(($B$10*IF($K$10=1,'Unit Costs'!C26,'Unit Costs'!C26/2))*2)+$C$13)))+Fabric!$D$13)-Fabric!$H$13,((IF($I$12=2,($B$10*IF($K$10=1,'Unit Costs'!C26,'Unit Costs'!C26/2))+$C$13,IF($I$12=3,($B$10*IF($K$10=1,'Unit Costs'!C26,'Unit Costs'!C26/2))*2,(($B$10*IF($K$10=1,'Unit Costs'!C26,'Unit Costs'!C26/2))*2)+$C$13)))+Fabric!$D$13)*(1-Fabric!$F$13)))*IF(Fabric!$D$14="",1,Fabric!$D$14))+IF($K$14=2,'Unit Costs'!$I$14+IF(Fabric!$D$14&gt;1,Fabric!$D$14-1,0),0),"N/A")))</f>
        <v>0</v>
      </c>
      <c r="D44" s="679">
        <f>IF('Unit Costs'!D26="N/A","N/A",IF($I$12=1,IF('Unit Costs'!D50="Blocker",MAX(0,(IF(Fabric!$F$13="",(($B$9*'Unit Costs'!D26)+Fabric!$D$13)-Fabric!$H$13,(($B$9*'Unit Costs'!D26)+Fabric!$D$13)*(1-Fabric!$F$13)))*IF(Fabric!$D$14="",1,Fabric!$D$14))+IF($K$14=2,IF(Fabric!$D$14&gt;1,'Unit Costs'!$I$14+(Fabric!$D$14-1),'Unit Costs'!$I$14)),IF(OR('Unit Costs'!D50="Single Sided",'Unit Costs'!D50="No Restrictions",AND('Unit Costs'!D50="No Edges",OR(SUM($D$14:$G$14)=4,SUM(Fabric!$F$7:$H$10)=0))),MAX(0,(IF(Fabric!$F$13="",(($B$9*IF($K$10=1,'Unit Costs'!D26,'Unit Costs'!D26/2))+Fabric!$D$13)-Fabric!$H$13,(($B$9*IF($K$10=1,'Unit Costs'!D26,'Unit Costs'!D26/2))+Fabric!$D$13)*(1-Fabric!$F$13)))*IF(Fabric!$D$14="",1,Fabric!$D$14))+IF($K$14=2,'Unit Costs'!$I$14+IF(Fabric!$D$14&gt;1,Fabric!$D$14-1,0),0),"N/A")),IF('Unit Costs'!D50="No Restrictions",MAX(0,(IF(Fabric!$F$13="",((IF($I$12=2,($B$10*IF($K$10=1,'Unit Costs'!D26,'Unit Costs'!D26/2))+$C$13,IF($I$12=3,($B$10*IF($K$10=1,'Unit Costs'!D26,'Unit Costs'!D26/2))*2,(($B$10*IF($K$10=1,'Unit Costs'!D26,'Unit Costs'!D26/2))*2)+$C$13)))+Fabric!$D$13)-Fabric!$H$13,((IF($I$12=2,($B$10*IF($K$10=1,'Unit Costs'!D26,'Unit Costs'!D26/2))+$C$13,IF($I$12=3,($B$10*IF($K$10=1,'Unit Costs'!D26,'Unit Costs'!D26/2))*2,(($B$10*IF($K$10=1,'Unit Costs'!D26,'Unit Costs'!D26/2))*2)+$C$13)))+Fabric!$D$13)*(1-Fabric!$F$13)))*IF(Fabric!$D$14="",1,Fabric!$D$14))+IF($K$14=2,'Unit Costs'!$I$14+IF(Fabric!$D$14&gt;1,Fabric!$D$14-1,0),0),"N/A")))</f>
        <v>0</v>
      </c>
      <c r="E44" s="680" t="s">
        <v>573</v>
      </c>
      <c r="F44" s="679">
        <f>IF('Unit Costs'!F26="N/A","N/A",IF($I$12=1,IF('Unit Costs'!F50="Blocker",MAX(0,(IF(Fabric!$F$13="",(($B$9*'Unit Costs'!F26)+Fabric!$D$13)-Fabric!$H$13,(($B$9*'Unit Costs'!F26)+Fabric!$D$13)*(1-Fabric!$F$13)))*IF(Fabric!$D$14="",1,Fabric!$D$14))+IF($K$14=2,IF(Fabric!$D$14&gt;1,'Unit Costs'!$I$14+(Fabric!$D$14-1),'Unit Costs'!$I$14)),IF(OR('Unit Costs'!F50="Single Sided",'Unit Costs'!F50="No Restrictions",AND('Unit Costs'!F50="No Edges",OR(SUM($D$14:$G$14)=4,SUM(Fabric!$F$7:$H$10)=0))),MAX(0,(IF(Fabric!$F$13="",(($B$9*IF($K$10=1,'Unit Costs'!F26,'Unit Costs'!F26/2))+Fabric!$D$13)-Fabric!$H$13,(($B$9*IF($K$10=1,'Unit Costs'!F26,'Unit Costs'!F26/2))+Fabric!$D$13)*(1-Fabric!$F$13)))*IF(Fabric!$D$14="",1,Fabric!$D$14))+IF($K$14=2,'Unit Costs'!$I$14+IF(Fabric!$D$14&gt;1,Fabric!$D$14-1,0),0),"N/A")),IF('Unit Costs'!F50="No Restrictions",MAX(0,(IF(Fabric!$F$13="",((IF($I$12=2,($B$10*IF($K$10=1,'Unit Costs'!F26,'Unit Costs'!F26/2))+$C$13,IF($I$12=3,($B$10*IF($K$10=1,'Unit Costs'!F26,'Unit Costs'!F26/2))*2,(($B$10*IF($K$10=1,'Unit Costs'!F26,'Unit Costs'!F26/2))*2)+$C$13)))+Fabric!$D$13)-Fabric!$H$13,((IF($I$12=2,($B$10*IF($K$10=1,'Unit Costs'!F26,'Unit Costs'!F26/2))+$C$13,IF($I$12=3,($B$10*IF($K$10=1,'Unit Costs'!F26,'Unit Costs'!F26/2))*2,(($B$10*IF($K$10=1,'Unit Costs'!F26,'Unit Costs'!F26/2))*2)+$C$13)))+Fabric!$D$13)*(1-Fabric!$F$13)))*IF(Fabric!$D$14="",1,Fabric!$D$14))+IF($K$14=2,'Unit Costs'!$I$14+IF(Fabric!$D$14&gt;1,Fabric!$D$14-1,0),0),"N/A")))</f>
        <v>0</v>
      </c>
      <c r="G44" s="679">
        <f>IF('Unit Costs'!G26="N/A","N/A",IF($I$12=1,IF('Unit Costs'!G50="Blocker",MAX(0,(IF(Fabric!$F$13="",(($B$9*'Unit Costs'!G26)+Fabric!$D$13)-Fabric!$H$13,(($B$9*'Unit Costs'!G26)+Fabric!$D$13)*(1-Fabric!$F$13)))*IF(Fabric!$D$14="",1,Fabric!$D$14))+IF($K$14=2,IF(Fabric!$D$14&gt;1,'Unit Costs'!$I$14+(Fabric!$D$14-1),'Unit Costs'!$I$14)),IF(OR('Unit Costs'!G50="Single Sided",'Unit Costs'!G50="No Restrictions",AND('Unit Costs'!G50="No Edges",OR(SUM($D$14:$G$14)=4,SUM(Fabric!$F$7:$H$10)=0))),MAX(0,(IF(Fabric!$F$13="",(($B$9*IF($K$10=1,'Unit Costs'!G26,'Unit Costs'!G26/2))+Fabric!$D$13)-Fabric!$H$13,(($B$9*IF($K$10=1,'Unit Costs'!G26,'Unit Costs'!G26/2))+Fabric!$D$13)*(1-Fabric!$F$13)))*IF(Fabric!$D$14="",1,Fabric!$D$14))+IF($K$14=2,'Unit Costs'!$I$14+IF(Fabric!$D$14&gt;1,Fabric!$D$14-1,0),0),"N/A")),IF('Unit Costs'!G50="No Restrictions",MAX(0,(IF(Fabric!$F$13="",((IF($I$12=2,($B$10*IF($K$10=1,'Unit Costs'!G26,'Unit Costs'!G26/2))+$C$13,IF($I$12=3,($B$10*IF($K$10=1,'Unit Costs'!G26,'Unit Costs'!G26/2))*2,(($B$10*IF($K$10=1,'Unit Costs'!G26,'Unit Costs'!G26/2))*2)+$C$13)))+Fabric!$D$13)-Fabric!$H$13,((IF($I$12=2,($B$10*IF($K$10=1,'Unit Costs'!G26,'Unit Costs'!G26/2))+$C$13,IF($I$12=3,($B$10*IF($K$10=1,'Unit Costs'!G26,'Unit Costs'!G26/2))*2,(($B$10*IF($K$10=1,'Unit Costs'!G26,'Unit Costs'!G26/2))*2)+$C$13)))+Fabric!$D$13)*(1-Fabric!$F$13)))*IF(Fabric!$D$14="",1,Fabric!$D$14))+IF($K$14=2,'Unit Costs'!$I$14+IF(Fabric!$D$14&gt;1,Fabric!$D$14-1,0),0),"N/A")))</f>
        <v>0</v>
      </c>
      <c r="H44" s="681"/>
      <c r="I44" s="681"/>
      <c r="J44" s="681"/>
      <c r="K44" s="681"/>
      <c r="L44" s="681"/>
      <c r="M44" s="209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2:24" ht="15" customHeight="1" x14ac:dyDescent="0.3">
      <c r="D45" s="9"/>
      <c r="E45" s="671"/>
      <c r="F45" s="9"/>
      <c r="G45" s="671"/>
      <c r="H45" s="9"/>
      <c r="I45" s="9"/>
      <c r="J45" s="9"/>
      <c r="K45" s="9"/>
      <c r="L45" s="9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2:24" ht="15" customHeight="1" x14ac:dyDescent="0.3">
      <c r="D46" s="9"/>
      <c r="E46" s="671"/>
      <c r="F46" s="9"/>
      <c r="G46" s="671"/>
      <c r="H46" s="9"/>
      <c r="I46" s="9"/>
      <c r="J46" s="9"/>
      <c r="K46" s="9"/>
      <c r="L46" s="9"/>
    </row>
    <row r="47" spans="2:24" ht="15" customHeight="1" x14ac:dyDescent="0.3">
      <c r="D47" s="9"/>
      <c r="E47" s="671"/>
      <c r="F47" s="9"/>
      <c r="G47" s="671"/>
      <c r="H47" s="9"/>
      <c r="I47" s="9"/>
      <c r="J47" s="9"/>
      <c r="K47" s="9"/>
      <c r="L47" s="9"/>
    </row>
    <row r="48" spans="2:24" ht="15" customHeight="1" x14ac:dyDescent="0.3">
      <c r="D48" s="9"/>
      <c r="E48" s="671"/>
      <c r="F48" s="9"/>
      <c r="G48" s="671"/>
      <c r="H48" s="9"/>
      <c r="I48" s="9"/>
      <c r="J48" s="9"/>
      <c r="K48" s="9"/>
      <c r="L48" s="9"/>
      <c r="P48" s="28"/>
      <c r="Q48" s="28"/>
      <c r="R48" s="28"/>
      <c r="S48" s="28"/>
      <c r="T48" s="28"/>
    </row>
    <row r="49" spans="2:22" ht="15" customHeight="1" x14ac:dyDescent="0.3">
      <c r="B49" s="18" t="s">
        <v>593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001"/>
      <c r="Q49" s="28"/>
      <c r="R49" s="28"/>
      <c r="S49" s="28"/>
      <c r="T49" s="28"/>
    </row>
    <row r="50" spans="2:22" ht="15" customHeight="1" x14ac:dyDescent="0.3">
      <c r="B50" s="669">
        <f>D51*E51</f>
        <v>0</v>
      </c>
      <c r="C50" s="9" t="s">
        <v>482</v>
      </c>
      <c r="D50" s="9" t="s">
        <v>148</v>
      </c>
      <c r="E50" s="9" t="s">
        <v>149</v>
      </c>
      <c r="F50" s="9"/>
      <c r="G50" s="9"/>
      <c r="H50" s="9" t="s">
        <v>154</v>
      </c>
      <c r="I50" s="9" t="s">
        <v>163</v>
      </c>
      <c r="J50" s="9" t="s">
        <v>164</v>
      </c>
      <c r="K50" s="9" t="s">
        <v>165</v>
      </c>
      <c r="L50" s="9" t="s">
        <v>166</v>
      </c>
      <c r="M50" s="222"/>
      <c r="N50" s="9"/>
      <c r="O50" s="9"/>
      <c r="P50" s="458"/>
      <c r="Q50" s="28" t="s">
        <v>158</v>
      </c>
      <c r="R50" s="28"/>
      <c r="S50" s="28"/>
      <c r="T50" s="28"/>
    </row>
    <row r="51" spans="2:22" ht="15" customHeight="1" x14ac:dyDescent="0.3">
      <c r="B51" s="7"/>
      <c r="C51" s="9"/>
      <c r="D51" s="670">
        <f>MAX(0,IF(Alpha!$D$5="",IF(Alpha!$F$5="",(Alpha!$H$5/25.4),Alpha!$F$5*12),Alpha!$D$5))</f>
        <v>0</v>
      </c>
      <c r="E51" s="670">
        <f>MAX(0,IF(Alpha!$D$6="",IF(Alpha!$F$6="",(Alpha!$H$6/25.4),Alpha!$F$6*12),Alpha!$D$6))</f>
        <v>0</v>
      </c>
      <c r="F51" s="9"/>
      <c r="G51" s="9">
        <f>IFERROR(HLOOKUP(Alpha!$F$7,H50:L51,2,FALSE),"Invalid")</f>
        <v>1</v>
      </c>
      <c r="H51" s="272">
        <v>1</v>
      </c>
      <c r="I51" s="9">
        <v>1.3</v>
      </c>
      <c r="J51" s="9">
        <v>1.4</v>
      </c>
      <c r="K51" s="9">
        <v>1.5</v>
      </c>
      <c r="L51" s="9">
        <v>1.5</v>
      </c>
      <c r="M51" s="222"/>
      <c r="N51" s="9"/>
      <c r="O51" s="9"/>
      <c r="P51" s="458"/>
      <c r="Q51" s="28"/>
      <c r="R51" s="28"/>
      <c r="S51" s="28"/>
      <c r="T51" s="28"/>
      <c r="V51" s="220"/>
    </row>
    <row r="52" spans="2:22" ht="15" customHeight="1" x14ac:dyDescent="0.3">
      <c r="B52" s="7"/>
      <c r="C52" s="9"/>
      <c r="D52" s="670"/>
      <c r="E52" s="670"/>
      <c r="F52" s="9"/>
      <c r="G52" s="9"/>
      <c r="H52" s="272" t="s">
        <v>154</v>
      </c>
      <c r="I52" s="9" t="s">
        <v>489</v>
      </c>
      <c r="J52" s="9" t="s">
        <v>490</v>
      </c>
      <c r="K52" s="9"/>
      <c r="L52" s="9"/>
      <c r="M52" s="222"/>
      <c r="N52" s="272"/>
      <c r="O52" s="272"/>
      <c r="P52" s="458"/>
      <c r="Q52" s="28"/>
      <c r="R52" s="28"/>
      <c r="S52" s="28"/>
      <c r="T52" s="28"/>
      <c r="V52" s="220"/>
    </row>
    <row r="53" spans="2:22" ht="15" customHeight="1" x14ac:dyDescent="0.3">
      <c r="B53" s="7"/>
      <c r="C53" s="9"/>
      <c r="D53" s="670"/>
      <c r="E53" s="670"/>
      <c r="F53" s="9"/>
      <c r="G53" s="9">
        <f>IFERROR(HLOOKUP(Alpha!$H$7,$H$52:$J$53,2,FALSE),"Invalid")</f>
        <v>1</v>
      </c>
      <c r="H53" s="272">
        <v>1</v>
      </c>
      <c r="I53" s="9">
        <v>2</v>
      </c>
      <c r="J53" s="9">
        <v>3</v>
      </c>
      <c r="K53" s="9"/>
      <c r="L53" s="9"/>
      <c r="M53" s="222"/>
      <c r="N53" s="272"/>
      <c r="O53" s="272"/>
      <c r="P53" s="458"/>
      <c r="Q53" s="28"/>
      <c r="R53" s="28"/>
      <c r="S53" s="28"/>
      <c r="T53" s="28"/>
    </row>
    <row r="54" spans="2:22" ht="15" customHeight="1" x14ac:dyDescent="0.3">
      <c r="B54" s="7"/>
      <c r="C54" s="9"/>
      <c r="D54" s="670"/>
      <c r="E54" s="670"/>
      <c r="F54" s="9"/>
      <c r="G54" s="222"/>
      <c r="H54" s="272" t="s">
        <v>130</v>
      </c>
      <c r="I54" s="272" t="s">
        <v>129</v>
      </c>
      <c r="J54" s="9"/>
      <c r="K54" s="9"/>
      <c r="L54" s="9"/>
      <c r="M54" s="222"/>
      <c r="N54" s="272"/>
      <c r="O54" s="272"/>
      <c r="P54" s="458"/>
      <c r="Q54" s="28"/>
      <c r="R54" s="28"/>
      <c r="S54" s="28"/>
      <c r="T54" s="28"/>
    </row>
    <row r="55" spans="2:22" ht="15" customHeight="1" x14ac:dyDescent="0.3">
      <c r="B55" s="7"/>
      <c r="C55" s="9"/>
      <c r="D55" s="670"/>
      <c r="E55" s="670"/>
      <c r="F55" s="9"/>
      <c r="G55" s="272">
        <f>IFERROR(HLOOKUP(Alpha!$D$7,H54:I55,2,FALSE),"Invalid")</f>
        <v>1</v>
      </c>
      <c r="H55" s="272">
        <v>1</v>
      </c>
      <c r="I55" s="272">
        <v>2</v>
      </c>
      <c r="J55" s="9"/>
      <c r="K55" s="9"/>
      <c r="L55" s="9"/>
      <c r="M55" s="222"/>
      <c r="N55" s="272"/>
      <c r="O55" s="272"/>
      <c r="P55" s="458"/>
      <c r="Q55" s="28"/>
      <c r="R55" s="28"/>
      <c r="S55" s="28"/>
      <c r="T55" s="28"/>
    </row>
    <row r="56" spans="2:22" ht="15" customHeight="1" x14ac:dyDescent="0.3">
      <c r="B56" s="7"/>
      <c r="C56" s="9"/>
      <c r="D56" s="670"/>
      <c r="E56" s="670"/>
      <c r="F56" s="9"/>
      <c r="G56" s="9"/>
      <c r="H56" s="272"/>
      <c r="I56" s="9"/>
      <c r="J56" s="9"/>
      <c r="K56" s="9"/>
      <c r="L56" s="9"/>
      <c r="M56" s="222"/>
      <c r="N56" s="272"/>
      <c r="O56" s="272"/>
      <c r="P56" s="458"/>
      <c r="Q56" s="28"/>
      <c r="R56" s="28"/>
      <c r="S56" s="28"/>
      <c r="T56" s="28"/>
    </row>
    <row r="57" spans="2:22" ht="15" customHeight="1" x14ac:dyDescent="0.3">
      <c r="B57" s="669"/>
      <c r="C57" s="670"/>
      <c r="D57" s="670"/>
      <c r="E57" s="9"/>
      <c r="F57" s="9"/>
      <c r="G57" s="9"/>
      <c r="H57" s="272"/>
      <c r="I57" s="9"/>
      <c r="J57" s="9"/>
      <c r="K57" s="9"/>
      <c r="L57" s="9"/>
      <c r="O57" s="9" t="s">
        <v>162</v>
      </c>
      <c r="P57" s="8">
        <f>MAX(0,(IF(Alpha!$F$8="",((((IF($G$55=1,'Unit Costs'!C88,'Unit Costs'!C88/2))*($B$50/144))*$G$51)+Alpha!$D$8)-Alpha!$H$8,((((IF($G$55=1,'Unit Costs'!C88,'Unit Costs'!C88/2))*($B$50/144))*$G$51)+Alpha!$D$8)*(1-Alpha!$F$8)))*IF(Alpha!$D$9="",1,Alpha!$D$9))+IF($G$53=2,IF(Alpha!$D$9="",'Unit Costs'!$C$89,Alpha!$D$9*'Unit Costs'!$C$89),IF($G$53=3,'Unit Costs'!$C$90+IF(Alpha!$D$9&gt;1,Alpha!$D$9-1,0)))</f>
        <v>0</v>
      </c>
      <c r="Q57" s="28"/>
      <c r="R57" s="28"/>
      <c r="S57" s="28"/>
      <c r="T57" s="28"/>
    </row>
    <row r="58" spans="2:22" ht="15" customHeight="1" x14ac:dyDescent="0.3">
      <c r="B58" s="682" t="s">
        <v>167</v>
      </c>
      <c r="C58" s="683" t="s">
        <v>595</v>
      </c>
      <c r="D58" s="684" t="s">
        <v>597</v>
      </c>
      <c r="E58" s="685" t="s">
        <v>596</v>
      </c>
      <c r="F58" s="685" t="s">
        <v>791</v>
      </c>
      <c r="G58" s="26" t="s">
        <v>792</v>
      </c>
      <c r="H58" s="684" t="s">
        <v>168</v>
      </c>
      <c r="I58" s="683" t="s">
        <v>595</v>
      </c>
      <c r="J58" s="684" t="s">
        <v>597</v>
      </c>
      <c r="K58" s="685" t="s">
        <v>596</v>
      </c>
      <c r="L58" s="685" t="s">
        <v>791</v>
      </c>
      <c r="M58" s="26" t="s">
        <v>792</v>
      </c>
      <c r="O58" s="9"/>
      <c r="P58" s="205"/>
      <c r="Q58" s="28"/>
      <c r="R58" s="28"/>
      <c r="S58" s="28"/>
      <c r="T58" s="28"/>
      <c r="U58" s="220"/>
    </row>
    <row r="59" spans="2:22" ht="15" customHeight="1" x14ac:dyDescent="0.3">
      <c r="B59" s="228" t="s">
        <v>6</v>
      </c>
      <c r="C59" s="686">
        <f>MAX(0,(IF(Alpha!$F$8="",((IF($G$55=1,'Unit Costs'!C58,'Unit Costs'!C58/2)*$G$51)+Alpha!$D$8)-Alpha!$H$8,((IF($G$55=1,'Unit Costs'!C58,'Unit Costs'!C58/2)*$G$51)+Alpha!$D$8)*(1-Alpha!$F$8)))*IF(Alpha!$D$9="",1,Alpha!$D$9))+IF($G$53=2,IF(Alpha!$D$9="",'Unit Costs'!$C$89,Alpha!$D$9*'Unit Costs'!$C$89),IF($G$53=3,'Unit Costs'!$C$90+IF(Alpha!$D$9&gt;1,Alpha!$D$9-1,0)))</f>
        <v>21</v>
      </c>
      <c r="D59" s="686">
        <f>MAX(0,(IF(Alpha!$F$8="",((IF($G$55=1,'Unit Costs'!D58,'Unit Costs'!D58/2)*$G$51)+Alpha!$D$8)-Alpha!$H$8,((IF($G$55=1,'Unit Costs'!D58,'Unit Costs'!D58/2)*$G$51)+Alpha!$D$8)*(1-Alpha!$F$8)))*IF(Alpha!$D$9="",1,Alpha!$D$9))+IF($G$53=2,IF(Alpha!$D$9="",'Unit Costs'!$C$89,Alpha!$D$9*'Unit Costs'!$C$89),IF($G$53=3,'Unit Costs'!$C$90+IF(Alpha!$D$9&gt;1,Alpha!$D$9-1,0)))</f>
        <v>27</v>
      </c>
      <c r="E59" s="686">
        <f>MAX(0,(IF(Alpha!$F$8="",((IF($G$55=1,'Unit Costs'!E58,'Unit Costs'!E58/2)*$G$51)+Alpha!$D$8)-Alpha!$H$8,((IF($G$55=1,'Unit Costs'!E58,'Unit Costs'!E58/2)*$G$51)+Alpha!$D$8)*(1-Alpha!$F$8)))*IF(Alpha!$D$9="",1,Alpha!$D$9))+IF($G$53=2,IF(Alpha!$D$9="",'Unit Costs'!$C$89,Alpha!$D$9*'Unit Costs'!$C$89),IF($G$53=3,'Unit Costs'!$C$90+IF(Alpha!$D$9&gt;1,Alpha!$D$9-1,0)))</f>
        <v>33</v>
      </c>
      <c r="F59" s="686">
        <f>MAX(0,(IF(Alpha!$F$8="",((IF($G$55=1,'Unit Costs'!F58,'Unit Costs'!F58/2)*$G$51)+Alpha!$D$8)-Alpha!$H$8,((IF($G$55=1,'Unit Costs'!F58,'Unit Costs'!F58/2)*$G$51)+Alpha!$D$8)*(1-Alpha!$F$8)))*IF(Alpha!$D$9="",1,Alpha!$D$9))+IF($G$53=2,IF(Alpha!$D$9="",'Unit Costs'!$C$89,Alpha!$D$9*'Unit Costs'!$C$89),IF($G$53=3,'Unit Costs'!$C$90+IF(Alpha!$D$9&gt;1,Alpha!$D$9-1,0)))</f>
        <v>28</v>
      </c>
      <c r="G59" s="1013">
        <f>MAX(0,(IF(Alpha!$F$8="",((IF($G$55=1,'Unit Costs'!G58,'Unit Costs'!G58/2)*$G$51)+Alpha!$D$8)-Alpha!$H$8,((IF($G$55=1,'Unit Costs'!G58,'Unit Costs'!G58/2)*$G$51)+Alpha!$D$8)*(1-Alpha!$F$8)))*IF(Alpha!$D$9="",1,Alpha!$D$9))+IF($G$53=2,IF(Alpha!$D$9="",'Unit Costs'!$C$89,Alpha!$D$9*'Unit Costs'!$C$89),IF($G$53=3,'Unit Costs'!$C$90+IF(Alpha!$D$9&gt;1,Alpha!$D$9-1,0)))</f>
        <v>28</v>
      </c>
      <c r="H59" s="272" t="s">
        <v>45</v>
      </c>
      <c r="I59" s="687">
        <f>MAX(0,(IF(Alpha!$F$8="",((IF($G$55=1,'Unit Costs'!I58,'Unit Costs'!I58/2)*$G$51)+Alpha!$D$8)-Alpha!$H$8,((IF($G$55=1,'Unit Costs'!I58,'Unit Costs'!I58/2)*$G$51)+Alpha!$D$8)*(1-Alpha!$F$8)))*IF(Alpha!$D$9="",1,Alpha!$D$9))+IF($G$53=2,IF(Alpha!$D$9="",'Unit Costs'!$C$89,Alpha!$D$9*'Unit Costs'!$C$89),IF($G$53=3,'Unit Costs'!$C$90+IF(Alpha!$D$9&gt;1,Alpha!$D$9-1,0)))</f>
        <v>287</v>
      </c>
      <c r="J59" s="687">
        <f>MAX(0,(IF(Alpha!$F$8="",((IF($G$55=1,'Unit Costs'!J58,'Unit Costs'!J58/2)*$G$51)+Alpha!$D$8)-Alpha!$H$8,((IF($G$55=1,'Unit Costs'!J58,'Unit Costs'!J58/2)*$G$51)+Alpha!$D$8)*(1-Alpha!$F$8)))*IF(Alpha!$D$9="",1,Alpha!$D$9))+IF($G$53=2,IF(Alpha!$D$9="",'Unit Costs'!$C$89,Alpha!$D$9*'Unit Costs'!$C$89),IF($G$53=3,'Unit Costs'!$C$90+IF(Alpha!$D$9&gt;1,Alpha!$D$9-1,0)))</f>
        <v>318</v>
      </c>
      <c r="K59" s="687">
        <f>MAX(0,(IF(Alpha!$F$8="",((IF($G$55=1,'Unit Costs'!K58,'Unit Costs'!K58/2)*$G$51)+Alpha!$D$8)-Alpha!$H$8,((IF($G$55=1,'Unit Costs'!K58,'Unit Costs'!K58/2)*$G$51)+Alpha!$D$8)*(1-Alpha!$F$8)))*IF(Alpha!$D$9="",1,Alpha!$D$9))+IF($G$53=2,IF(Alpha!$D$9="",'Unit Costs'!$C$89,Alpha!$D$9*'Unit Costs'!$C$89),IF($G$53=3,'Unit Costs'!$C$90+IF(Alpha!$D$9&gt;1,Alpha!$D$9-1,0)))</f>
        <v>387</v>
      </c>
      <c r="L59" s="687">
        <f>MAX(0,(IF(Alpha!$F$8="",((IF($G$55=1,'Unit Costs'!L58,'Unit Costs'!L58/2)*$G$51)+Alpha!$D$8)-Alpha!$H$8,((IF($G$55=1,'Unit Costs'!L58,'Unit Costs'!L58/2)*$G$51)+Alpha!$D$8)*(1-Alpha!$F$8)))*IF(Alpha!$D$9="",1,Alpha!$D$9))+IF($G$53=2,IF(Alpha!$D$9="",'Unit Costs'!$C$89,Alpha!$D$9*'Unit Costs'!$C$89),IF($G$53=3,'Unit Costs'!$C$90+IF(Alpha!$D$9&gt;1,Alpha!$D$9-1,0)))</f>
        <v>325</v>
      </c>
      <c r="M59" s="1013">
        <f>MAX(0,(IF(Alpha!$F$8="",((IF($G$55=1,'Unit Costs'!M58,'Unit Costs'!M58/2)*$G$51)+Alpha!$D$8)-Alpha!$H$8,((IF($G$55=1,'Unit Costs'!M58,'Unit Costs'!M58/2)*$G$51)+Alpha!$D$8)*(1-Alpha!$F$8)))*IF(Alpha!$D$9="",1,Alpha!$D$9))+IF($G$53=2,IF(Alpha!$D$9="",'Unit Costs'!$C$89,Alpha!$D$9*'Unit Costs'!$C$89),IF($G$53=3,'Unit Costs'!$C$90+IF(Alpha!$D$9&gt;1,Alpha!$D$9-1,0)))</f>
        <v>325</v>
      </c>
      <c r="O59" s="9"/>
      <c r="P59" s="205"/>
      <c r="Q59" s="28"/>
      <c r="R59" s="28"/>
      <c r="S59" s="28"/>
      <c r="T59" s="28"/>
    </row>
    <row r="60" spans="2:22" ht="15" customHeight="1" x14ac:dyDescent="0.3">
      <c r="B60" s="228" t="s">
        <v>10</v>
      </c>
      <c r="C60" s="686">
        <f>MAX(0,(IF(Alpha!$F$8="",((IF($G$55=1,'Unit Costs'!C59,'Unit Costs'!C59/2)*$G$51)+Alpha!$D$8)-Alpha!$H$8,((IF($G$55=1,'Unit Costs'!C59,'Unit Costs'!C59/2)*$G$51)+Alpha!$D$8)*(1-Alpha!$F$8)))*IF(Alpha!$D$9="",1,Alpha!$D$9))+IF($G$53=2,IF(Alpha!$D$9="",'Unit Costs'!$C$89,Alpha!$D$9*'Unit Costs'!$C$89),IF($G$53=3,'Unit Costs'!$C$90+IF(Alpha!$D$9&gt;1,Alpha!$D$9-1,0)))</f>
        <v>30</v>
      </c>
      <c r="D60" s="686">
        <f>MAX(0,(IF(Alpha!$F$8="",((IF($G$55=1,'Unit Costs'!D59,'Unit Costs'!D59/2)*$G$51)+Alpha!$D$8)-Alpha!$H$8,((IF($G$55=1,'Unit Costs'!D59,'Unit Costs'!D59/2)*$G$51)+Alpha!$D$8)*(1-Alpha!$F$8)))*IF(Alpha!$D$9="",1,Alpha!$D$9))+IF($G$53=2,IF(Alpha!$D$9="",'Unit Costs'!$C$89,Alpha!$D$9*'Unit Costs'!$C$89),IF($G$53=3,'Unit Costs'!$C$90+IF(Alpha!$D$9&gt;1,Alpha!$D$9-1,0)))</f>
        <v>34</v>
      </c>
      <c r="E60" s="686">
        <f>MAX(0,(IF(Alpha!$F$8="",((IF($G$55=1,'Unit Costs'!E59,'Unit Costs'!E59/2)*$G$51)+Alpha!$D$8)-Alpha!$H$8,((IF($G$55=1,'Unit Costs'!E59,'Unit Costs'!E59/2)*$G$51)+Alpha!$D$8)*(1-Alpha!$F$8)))*IF(Alpha!$D$9="",1,Alpha!$D$9))+IF($G$53=2,IF(Alpha!$D$9="",'Unit Costs'!$C$89,Alpha!$D$9*'Unit Costs'!$C$89),IF($G$53=3,'Unit Costs'!$C$90+IF(Alpha!$D$9&gt;1,Alpha!$D$9-1,0)))</f>
        <v>41</v>
      </c>
      <c r="F60" s="686">
        <f>MAX(0,(IF(Alpha!$F$8="",((IF($G$55=1,'Unit Costs'!F59,'Unit Costs'!F59/2)*$G$51)+Alpha!$D$8)-Alpha!$H$8,((IF($G$55=1,'Unit Costs'!F59,'Unit Costs'!F59/2)*$G$51)+Alpha!$D$8)*(1-Alpha!$F$8)))*IF(Alpha!$D$9="",1,Alpha!$D$9))+IF($G$53=2,IF(Alpha!$D$9="",'Unit Costs'!$C$89,Alpha!$D$9*'Unit Costs'!$C$89),IF($G$53=3,'Unit Costs'!$C$90+IF(Alpha!$D$9&gt;1,Alpha!$D$9-1,0)))</f>
        <v>35</v>
      </c>
      <c r="G60" s="1013">
        <f>MAX(0,(IF(Alpha!$F$8="",((IF($G$55=1,'Unit Costs'!G59,'Unit Costs'!G59/2)*$G$51)+Alpha!$D$8)-Alpha!$H$8,((IF($G$55=1,'Unit Costs'!G59,'Unit Costs'!G59/2)*$G$51)+Alpha!$D$8)*(1-Alpha!$F$8)))*IF(Alpha!$D$9="",1,Alpha!$D$9))+IF($G$53=2,IF(Alpha!$D$9="",'Unit Costs'!$C$89,Alpha!$D$9*'Unit Costs'!$C$89),IF($G$53=3,'Unit Costs'!$C$90+IF(Alpha!$D$9&gt;1,Alpha!$D$9-1,0)))</f>
        <v>35</v>
      </c>
      <c r="H60" s="272" t="s">
        <v>48</v>
      </c>
      <c r="I60" s="687">
        <f>MAX(0,(IF(Alpha!$F$8="",((IF($G$55=1,'Unit Costs'!I59,'Unit Costs'!I59/2)*$G$51)+Alpha!$D$8)-Alpha!$H$8,((IF($G$55=1,'Unit Costs'!I59,'Unit Costs'!I59/2)*$G$51)+Alpha!$D$8)*(1-Alpha!$F$8)))*IF(Alpha!$D$9="",1,Alpha!$D$9))+IF($G$53=2,IF(Alpha!$D$9="",'Unit Costs'!$C$89,Alpha!$D$9*'Unit Costs'!$C$89),IF($G$53=3,'Unit Costs'!$C$90+IF(Alpha!$D$9&gt;1,Alpha!$D$9-1,0)))</f>
        <v>297</v>
      </c>
      <c r="J60" s="687">
        <f>MAX(0,(IF(Alpha!$F$8="",((IF($G$55=1,'Unit Costs'!J59,'Unit Costs'!J59/2)*$G$51)+Alpha!$D$8)-Alpha!$H$8,((IF($G$55=1,'Unit Costs'!J59,'Unit Costs'!J59/2)*$G$51)+Alpha!$D$8)*(1-Alpha!$F$8)))*IF(Alpha!$D$9="",1,Alpha!$D$9))+IF($G$53=2,IF(Alpha!$D$9="",'Unit Costs'!$C$89,Alpha!$D$9*'Unit Costs'!$C$89),IF($G$53=3,'Unit Costs'!$C$90+IF(Alpha!$D$9&gt;1,Alpha!$D$9-1,0)))</f>
        <v>325</v>
      </c>
      <c r="K60" s="687">
        <f>MAX(0,(IF(Alpha!$F$8="",((IF($G$55=1,'Unit Costs'!K59,'Unit Costs'!K59/2)*$G$51)+Alpha!$D$8)-Alpha!$H$8,((IF($G$55=1,'Unit Costs'!K59,'Unit Costs'!K59/2)*$G$51)+Alpha!$D$8)*(1-Alpha!$F$8)))*IF(Alpha!$D$9="",1,Alpha!$D$9))+IF($G$53=2,IF(Alpha!$D$9="",'Unit Costs'!$C$89,Alpha!$D$9*'Unit Costs'!$C$89),IF($G$53=3,'Unit Costs'!$C$90+IF(Alpha!$D$9&gt;1,Alpha!$D$9-1,0)))</f>
        <v>396</v>
      </c>
      <c r="L60" s="687">
        <f>MAX(0,(IF(Alpha!$F$8="",((IF($G$55=1,'Unit Costs'!L59,'Unit Costs'!L59/2)*$G$51)+Alpha!$D$8)-Alpha!$H$8,((IF($G$55=1,'Unit Costs'!L59,'Unit Costs'!L59/2)*$G$51)+Alpha!$D$8)*(1-Alpha!$F$8)))*IF(Alpha!$D$9="",1,Alpha!$D$9))+IF($G$53=2,IF(Alpha!$D$9="",'Unit Costs'!$C$89,Alpha!$D$9*'Unit Costs'!$C$89),IF($G$53=3,'Unit Costs'!$C$90+IF(Alpha!$D$9&gt;1,Alpha!$D$9-1,0)))</f>
        <v>334</v>
      </c>
      <c r="M60" s="1013">
        <f>MAX(0,(IF(Alpha!$F$8="",((IF($G$55=1,'Unit Costs'!M59,'Unit Costs'!M59/2)*$G$51)+Alpha!$D$8)-Alpha!$H$8,((IF($G$55=1,'Unit Costs'!M59,'Unit Costs'!M59/2)*$G$51)+Alpha!$D$8)*(1-Alpha!$F$8)))*IF(Alpha!$D$9="",1,Alpha!$D$9))+IF($G$53=2,IF(Alpha!$D$9="",'Unit Costs'!$C$89,Alpha!$D$9*'Unit Costs'!$C$89),IF($G$53=3,'Unit Costs'!$C$90+IF(Alpha!$D$9&gt;1,Alpha!$D$9-1,0)))</f>
        <v>334</v>
      </c>
      <c r="O60" s="9"/>
      <c r="P60" s="205"/>
      <c r="Q60" s="28"/>
      <c r="R60" s="28"/>
      <c r="S60" s="28"/>
      <c r="T60" s="28"/>
    </row>
    <row r="61" spans="2:22" ht="15" customHeight="1" x14ac:dyDescent="0.3">
      <c r="B61" s="228" t="s">
        <v>14</v>
      </c>
      <c r="C61" s="686">
        <f>MAX(0,(IF(Alpha!$F$8="",((IF($G$55=1,'Unit Costs'!C60,'Unit Costs'!C60/2)*$G$51)+Alpha!$D$8)-Alpha!$H$8,((IF($G$55=1,'Unit Costs'!C60,'Unit Costs'!C60/2)*$G$51)+Alpha!$D$8)*(1-Alpha!$F$8)))*IF(Alpha!$D$9="",1,Alpha!$D$9))+IF($G$53=2,IF(Alpha!$D$9="",'Unit Costs'!$C$89,Alpha!$D$9*'Unit Costs'!$C$89),IF($G$53=3,'Unit Costs'!$C$90+IF(Alpha!$D$9&gt;1,Alpha!$D$9-1,0)))</f>
        <v>40</v>
      </c>
      <c r="D61" s="686">
        <f>MAX(0,(IF(Alpha!$F$8="",((IF($G$55=1,'Unit Costs'!D60,'Unit Costs'!D60/2)*$G$51)+Alpha!$D$8)-Alpha!$H$8,((IF($G$55=1,'Unit Costs'!D60,'Unit Costs'!D60/2)*$G$51)+Alpha!$D$8)*(1-Alpha!$F$8)))*IF(Alpha!$D$9="",1,Alpha!$D$9))+IF($G$53=2,IF(Alpha!$D$9="",'Unit Costs'!$C$89,Alpha!$D$9*'Unit Costs'!$C$89),IF($G$53=3,'Unit Costs'!$C$90+IF(Alpha!$D$9&gt;1,Alpha!$D$9-1,0)))</f>
        <v>46</v>
      </c>
      <c r="E61" s="686">
        <f>MAX(0,(IF(Alpha!$F$8="",((IF($G$55=1,'Unit Costs'!E60,'Unit Costs'!E60/2)*$G$51)+Alpha!$D$8)-Alpha!$H$8,((IF($G$55=1,'Unit Costs'!E60,'Unit Costs'!E60/2)*$G$51)+Alpha!$D$8)*(1-Alpha!$F$8)))*IF(Alpha!$D$9="",1,Alpha!$D$9))+IF($G$53=2,IF(Alpha!$D$9="",'Unit Costs'!$C$89,Alpha!$D$9*'Unit Costs'!$C$89),IF($G$53=3,'Unit Costs'!$C$90+IF(Alpha!$D$9&gt;1,Alpha!$D$9-1,0)))</f>
        <v>57</v>
      </c>
      <c r="F61" s="686">
        <f>MAX(0,(IF(Alpha!$F$8="",((IF($G$55=1,'Unit Costs'!F60,'Unit Costs'!F60/2)*$G$51)+Alpha!$D$8)-Alpha!$H$8,((IF($G$55=1,'Unit Costs'!F60,'Unit Costs'!F60/2)*$G$51)+Alpha!$D$8)*(1-Alpha!$F$8)))*IF(Alpha!$D$9="",1,Alpha!$D$9))+IF($G$53=2,IF(Alpha!$D$9="",'Unit Costs'!$C$89,Alpha!$D$9*'Unit Costs'!$C$89),IF($G$53=3,'Unit Costs'!$C$90+IF(Alpha!$D$9&gt;1,Alpha!$D$9-1,0)))</f>
        <v>48</v>
      </c>
      <c r="G61" s="1013">
        <f>MAX(0,(IF(Alpha!$F$8="",((IF($G$55=1,'Unit Costs'!G60,'Unit Costs'!G60/2)*$G$51)+Alpha!$D$8)-Alpha!$H$8,((IF($G$55=1,'Unit Costs'!G60,'Unit Costs'!G60/2)*$G$51)+Alpha!$D$8)*(1-Alpha!$F$8)))*IF(Alpha!$D$9="",1,Alpha!$D$9))+IF($G$53=2,IF(Alpha!$D$9="",'Unit Costs'!$C$89,Alpha!$D$9*'Unit Costs'!$C$89),IF($G$53=3,'Unit Costs'!$C$90+IF(Alpha!$D$9&gt;1,Alpha!$D$9-1,0)))</f>
        <v>48</v>
      </c>
      <c r="H61" s="272" t="s">
        <v>51</v>
      </c>
      <c r="I61" s="687">
        <f>MAX(0,(IF(Alpha!$F$8="",((IF($G$55=1,'Unit Costs'!I60,'Unit Costs'!I60/2)*$G$51)+Alpha!$D$8)-Alpha!$H$8,((IF($G$55=1,'Unit Costs'!I60,'Unit Costs'!I60/2)*$G$51)+Alpha!$D$8)*(1-Alpha!$F$8)))*IF(Alpha!$D$9="",1,Alpha!$D$9))+IF($G$53=2,IF(Alpha!$D$9="",'Unit Costs'!$C$89,Alpha!$D$9*'Unit Costs'!$C$89),IF($G$53=3,'Unit Costs'!$C$90+IF(Alpha!$D$9&gt;1,Alpha!$D$9-1,0)))</f>
        <v>306</v>
      </c>
      <c r="J61" s="687">
        <f>MAX(0,(IF(Alpha!$F$8="",((IF($G$55=1,'Unit Costs'!J60,'Unit Costs'!J60/2)*$G$51)+Alpha!$D$8)-Alpha!$H$8,((IF($G$55=1,'Unit Costs'!J60,'Unit Costs'!J60/2)*$G$51)+Alpha!$D$8)*(1-Alpha!$F$8)))*IF(Alpha!$D$9="",1,Alpha!$D$9))+IF($G$53=2,IF(Alpha!$D$9="",'Unit Costs'!$C$89,Alpha!$D$9*'Unit Costs'!$C$89),IF($G$53=3,'Unit Costs'!$C$90+IF(Alpha!$D$9&gt;1,Alpha!$D$9-1,0)))</f>
        <v>334</v>
      </c>
      <c r="K61" s="687">
        <f>MAX(0,(IF(Alpha!$F$8="",((IF($G$55=1,'Unit Costs'!K60,'Unit Costs'!K60/2)*$G$51)+Alpha!$D$8)-Alpha!$H$8,((IF($G$55=1,'Unit Costs'!K60,'Unit Costs'!K60/2)*$G$51)+Alpha!$D$8)*(1-Alpha!$F$8)))*IF(Alpha!$D$9="",1,Alpha!$D$9))+IF($G$53=2,IF(Alpha!$D$9="",'Unit Costs'!$C$89,Alpha!$D$9*'Unit Costs'!$C$89),IF($G$53=3,'Unit Costs'!$C$90+IF(Alpha!$D$9&gt;1,Alpha!$D$9-1,0)))</f>
        <v>407</v>
      </c>
      <c r="L61" s="687">
        <f>MAX(0,(IF(Alpha!$F$8="",((IF($G$55=1,'Unit Costs'!L60,'Unit Costs'!L60/2)*$G$51)+Alpha!$D$8)-Alpha!$H$8,((IF($G$55=1,'Unit Costs'!L60,'Unit Costs'!L60/2)*$G$51)+Alpha!$D$8)*(1-Alpha!$F$8)))*IF(Alpha!$D$9="",1,Alpha!$D$9))+IF($G$53=2,IF(Alpha!$D$9="",'Unit Costs'!$C$89,Alpha!$D$9*'Unit Costs'!$C$89),IF($G$53=3,'Unit Costs'!$C$90+IF(Alpha!$D$9&gt;1,Alpha!$D$9-1,0)))</f>
        <v>343</v>
      </c>
      <c r="M61" s="1013">
        <f>MAX(0,(IF(Alpha!$F$8="",((IF($G$55=1,'Unit Costs'!M60,'Unit Costs'!M60/2)*$G$51)+Alpha!$D$8)-Alpha!$H$8,((IF($G$55=1,'Unit Costs'!M60,'Unit Costs'!M60/2)*$G$51)+Alpha!$D$8)*(1-Alpha!$F$8)))*IF(Alpha!$D$9="",1,Alpha!$D$9))+IF($G$53=2,IF(Alpha!$D$9="",'Unit Costs'!$C$89,Alpha!$D$9*'Unit Costs'!$C$89),IF($G$53=3,'Unit Costs'!$C$90+IF(Alpha!$D$9&gt;1,Alpha!$D$9-1,0)))</f>
        <v>343</v>
      </c>
      <c r="O61" s="9"/>
      <c r="P61" s="205"/>
      <c r="Q61" s="28"/>
      <c r="R61" s="28"/>
      <c r="S61" s="28"/>
      <c r="T61" s="28"/>
    </row>
    <row r="62" spans="2:22" ht="15" customHeight="1" x14ac:dyDescent="0.3">
      <c r="B62" s="228" t="s">
        <v>18</v>
      </c>
      <c r="C62" s="686">
        <f>MAX(0,(IF(Alpha!$F$8="",((IF($G$55=1,'Unit Costs'!C61,'Unit Costs'!C61/2)*$G$51)+Alpha!$D$8)-Alpha!$H$8,((IF($G$55=1,'Unit Costs'!C61,'Unit Costs'!C61/2)*$G$51)+Alpha!$D$8)*(1-Alpha!$F$8)))*IF(Alpha!$D$9="",1,Alpha!$D$9))+IF($G$53=2,IF(Alpha!$D$9="",'Unit Costs'!$C$89,Alpha!$D$9*'Unit Costs'!$C$89),IF($G$53=3,'Unit Costs'!$C$90+IF(Alpha!$D$9&gt;1,Alpha!$D$9-1,0)))</f>
        <v>47</v>
      </c>
      <c r="D62" s="686">
        <f>MAX(0,(IF(Alpha!$F$8="",((IF($G$55=1,'Unit Costs'!D61,'Unit Costs'!D61/2)*$G$51)+Alpha!$D$8)-Alpha!$H$8,((IF($G$55=1,'Unit Costs'!D61,'Unit Costs'!D61/2)*$G$51)+Alpha!$D$8)*(1-Alpha!$F$8)))*IF(Alpha!$D$9="",1,Alpha!$D$9))+IF($G$53=2,IF(Alpha!$D$9="",'Unit Costs'!$C$89,Alpha!$D$9*'Unit Costs'!$C$89),IF($G$53=3,'Unit Costs'!$C$90+IF(Alpha!$D$9&gt;1,Alpha!$D$9-1,0)))</f>
        <v>59</v>
      </c>
      <c r="E62" s="686">
        <f>MAX(0,(IF(Alpha!$F$8="",((IF($G$55=1,'Unit Costs'!E61,'Unit Costs'!E61/2)*$G$51)+Alpha!$D$8)-Alpha!$H$8,((IF($G$55=1,'Unit Costs'!E61,'Unit Costs'!E61/2)*$G$51)+Alpha!$D$8)*(1-Alpha!$F$8)))*IF(Alpha!$D$9="",1,Alpha!$D$9))+IF($G$53=2,IF(Alpha!$D$9="",'Unit Costs'!$C$89,Alpha!$D$9*'Unit Costs'!$C$89),IF($G$53=3,'Unit Costs'!$C$90+IF(Alpha!$D$9&gt;1,Alpha!$D$9-1,0)))</f>
        <v>71</v>
      </c>
      <c r="F62" s="686">
        <f>MAX(0,(IF(Alpha!$F$8="",((IF($G$55=1,'Unit Costs'!F61,'Unit Costs'!F61/2)*$G$51)+Alpha!$D$8)-Alpha!$H$8,((IF($G$55=1,'Unit Costs'!F61,'Unit Costs'!F61/2)*$G$51)+Alpha!$D$8)*(1-Alpha!$F$8)))*IF(Alpha!$D$9="",1,Alpha!$D$9))+IF($G$53=2,IF(Alpha!$D$9="",'Unit Costs'!$C$89,Alpha!$D$9*'Unit Costs'!$C$89),IF($G$53=3,'Unit Costs'!$C$90+IF(Alpha!$D$9&gt;1,Alpha!$D$9-1,0)))</f>
        <v>60</v>
      </c>
      <c r="G62" s="1013">
        <f>MAX(0,(IF(Alpha!$F$8="",((IF($G$55=1,'Unit Costs'!G61,'Unit Costs'!G61/2)*$G$51)+Alpha!$D$8)-Alpha!$H$8,((IF($G$55=1,'Unit Costs'!G61,'Unit Costs'!G61/2)*$G$51)+Alpha!$D$8)*(1-Alpha!$F$8)))*IF(Alpha!$D$9="",1,Alpha!$D$9))+IF($G$53=2,IF(Alpha!$D$9="",'Unit Costs'!$C$89,Alpha!$D$9*'Unit Costs'!$C$89),IF($G$53=3,'Unit Costs'!$C$90+IF(Alpha!$D$9&gt;1,Alpha!$D$9-1,0)))</f>
        <v>60</v>
      </c>
      <c r="H62" s="272" t="s">
        <v>54</v>
      </c>
      <c r="I62" s="687">
        <f>MAX(0,(IF(Alpha!$F$8="",((IF($G$55=1,'Unit Costs'!I61,'Unit Costs'!I61/2)*$G$51)+Alpha!$D$8)-Alpha!$H$8,((IF($G$55=1,'Unit Costs'!I61,'Unit Costs'!I61/2)*$G$51)+Alpha!$D$8)*(1-Alpha!$F$8)))*IF(Alpha!$D$9="",1,Alpha!$D$9))+IF($G$53=2,IF(Alpha!$D$9="",'Unit Costs'!$C$89,Alpha!$D$9*'Unit Costs'!$C$89),IF($G$53=3,'Unit Costs'!$C$90+IF(Alpha!$D$9&gt;1,Alpha!$D$9-1,0)))</f>
        <v>315</v>
      </c>
      <c r="J62" s="687">
        <f>MAX(0,(IF(Alpha!$F$8="",((IF($G$55=1,'Unit Costs'!J61,'Unit Costs'!J61/2)*$G$51)+Alpha!$D$8)-Alpha!$H$8,((IF($G$55=1,'Unit Costs'!J61,'Unit Costs'!J61/2)*$G$51)+Alpha!$D$8)*(1-Alpha!$F$8)))*IF(Alpha!$D$9="",1,Alpha!$D$9))+IF($G$53=2,IF(Alpha!$D$9="",'Unit Costs'!$C$89,Alpha!$D$9*'Unit Costs'!$C$89),IF($G$53=3,'Unit Costs'!$C$90+IF(Alpha!$D$9&gt;1,Alpha!$D$9-1,0)))</f>
        <v>343</v>
      </c>
      <c r="K62" s="687">
        <f>MAX(0,(IF(Alpha!$F$8="",((IF($G$55=1,'Unit Costs'!K61,'Unit Costs'!K61/2)*$G$51)+Alpha!$D$8)-Alpha!$H$8,((IF($G$55=1,'Unit Costs'!K61,'Unit Costs'!K61/2)*$G$51)+Alpha!$D$8)*(1-Alpha!$F$8)))*IF(Alpha!$D$9="",1,Alpha!$D$9))+IF($G$53=2,IF(Alpha!$D$9="",'Unit Costs'!$C$89,Alpha!$D$9*'Unit Costs'!$C$89),IF($G$53=3,'Unit Costs'!$C$90+IF(Alpha!$D$9&gt;1,Alpha!$D$9-1,0)))</f>
        <v>418</v>
      </c>
      <c r="L62" s="687">
        <f>MAX(0,(IF(Alpha!$F$8="",((IF($G$55=1,'Unit Costs'!L61,'Unit Costs'!L61/2)*$G$51)+Alpha!$D$8)-Alpha!$H$8,((IF($G$55=1,'Unit Costs'!L61,'Unit Costs'!L61/2)*$G$51)+Alpha!$D$8)*(1-Alpha!$F$8)))*IF(Alpha!$D$9="",1,Alpha!$D$9))+IF($G$53=2,IF(Alpha!$D$9="",'Unit Costs'!$C$89,Alpha!$D$9*'Unit Costs'!$C$89),IF($G$53=3,'Unit Costs'!$C$90+IF(Alpha!$D$9&gt;1,Alpha!$D$9-1,0)))</f>
        <v>351</v>
      </c>
      <c r="M62" s="1013">
        <f>MAX(0,(IF(Alpha!$F$8="",((IF($G$55=1,'Unit Costs'!M61,'Unit Costs'!M61/2)*$G$51)+Alpha!$D$8)-Alpha!$H$8,((IF($G$55=1,'Unit Costs'!M61,'Unit Costs'!M61/2)*$G$51)+Alpha!$D$8)*(1-Alpha!$F$8)))*IF(Alpha!$D$9="",1,Alpha!$D$9))+IF($G$53=2,IF(Alpha!$D$9="",'Unit Costs'!$C$89,Alpha!$D$9*'Unit Costs'!$C$89),IF($G$53=3,'Unit Costs'!$C$90+IF(Alpha!$D$9&gt;1,Alpha!$D$9-1,0)))</f>
        <v>351</v>
      </c>
      <c r="O62" s="9" t="s">
        <v>459</v>
      </c>
      <c r="P62" s="705">
        <f>IF(OR(Alpha!$P$16&lt;=0,Alpha!$P$17&lt;=0,Alpha!$P$16&lt;Alpha!$P$17),0,1-(Alpha!$P$17/Alpha!$P$16))</f>
        <v>0</v>
      </c>
      <c r="Q62" s="28"/>
      <c r="R62" s="28"/>
      <c r="S62" s="28"/>
      <c r="T62" s="28"/>
    </row>
    <row r="63" spans="2:22" ht="15" customHeight="1" x14ac:dyDescent="0.3">
      <c r="B63" s="228" t="s">
        <v>22</v>
      </c>
      <c r="C63" s="686">
        <f>MAX(0,(IF(Alpha!$F$8="",((IF($G$55=1,'Unit Costs'!C62,'Unit Costs'!C62/2)*$G$51)+Alpha!$D$8)-Alpha!$H$8,((IF($G$55=1,'Unit Costs'!C62,'Unit Costs'!C62/2)*$G$51)+Alpha!$D$8)*(1-Alpha!$F$8)))*IF(Alpha!$D$9="",1,Alpha!$D$9))+IF($G$53=2,IF(Alpha!$D$9="",'Unit Costs'!$C$89,Alpha!$D$9*'Unit Costs'!$C$89),IF($G$53=3,'Unit Costs'!$C$90+IF(Alpha!$D$9&gt;1,Alpha!$D$9-1,0)))</f>
        <v>65</v>
      </c>
      <c r="D63" s="686">
        <f>MAX(0,(IF(Alpha!$F$8="",((IF($G$55=1,'Unit Costs'!D62,'Unit Costs'!D62/2)*$G$51)+Alpha!$D$8)-Alpha!$H$8,((IF($G$55=1,'Unit Costs'!D62,'Unit Costs'!D62/2)*$G$51)+Alpha!$D$8)*(1-Alpha!$F$8)))*IF(Alpha!$D$9="",1,Alpha!$D$9))+IF($G$53=2,IF(Alpha!$D$9="",'Unit Costs'!$C$89,Alpha!$D$9*'Unit Costs'!$C$89),IF($G$53=3,'Unit Costs'!$C$90+IF(Alpha!$D$9&gt;1,Alpha!$D$9-1,0)))</f>
        <v>70</v>
      </c>
      <c r="E63" s="686">
        <f>MAX(0,(IF(Alpha!$F$8="",((IF($G$55=1,'Unit Costs'!E62,'Unit Costs'!E62/2)*$G$51)+Alpha!$D$8)-Alpha!$H$8,((IF($G$55=1,'Unit Costs'!E62,'Unit Costs'!E62/2)*$G$51)+Alpha!$D$8)*(1-Alpha!$F$8)))*IF(Alpha!$D$9="",1,Alpha!$D$9))+IF($G$53=2,IF(Alpha!$D$9="",'Unit Costs'!$C$89,Alpha!$D$9*'Unit Costs'!$C$89),IF($G$53=3,'Unit Costs'!$C$90+IF(Alpha!$D$9&gt;1,Alpha!$D$9-1,0)))</f>
        <v>85</v>
      </c>
      <c r="F63" s="686">
        <f>MAX(0,(IF(Alpha!$F$8="",((IF($G$55=1,'Unit Costs'!F62,'Unit Costs'!F62/2)*$G$51)+Alpha!$D$8)-Alpha!$H$8,((IF($G$55=1,'Unit Costs'!F62,'Unit Costs'!F62/2)*$G$51)+Alpha!$D$8)*(1-Alpha!$F$8)))*IF(Alpha!$D$9="",1,Alpha!$D$9))+IF($G$53=2,IF(Alpha!$D$9="",'Unit Costs'!$C$89,Alpha!$D$9*'Unit Costs'!$C$89),IF($G$53=3,'Unit Costs'!$C$90+IF(Alpha!$D$9&gt;1,Alpha!$D$9-1,0)))</f>
        <v>71</v>
      </c>
      <c r="G63" s="1013">
        <f>MAX(0,(IF(Alpha!$F$8="",((IF($G$55=1,'Unit Costs'!G62,'Unit Costs'!G62/2)*$G$51)+Alpha!$D$8)-Alpha!$H$8,((IF($G$55=1,'Unit Costs'!G62,'Unit Costs'!G62/2)*$G$51)+Alpha!$D$8)*(1-Alpha!$F$8)))*IF(Alpha!$D$9="",1,Alpha!$D$9))+IF($G$53=2,IF(Alpha!$D$9="",'Unit Costs'!$C$89,Alpha!$D$9*'Unit Costs'!$C$89),IF($G$53=3,'Unit Costs'!$C$90+IF(Alpha!$D$9&gt;1,Alpha!$D$9-1,0)))</f>
        <v>71</v>
      </c>
      <c r="H63" s="272" t="s">
        <v>57</v>
      </c>
      <c r="I63" s="687">
        <f>MAX(0,(IF(Alpha!$F$8="",((IF($G$55=1,'Unit Costs'!I62,'Unit Costs'!I62/2)*$G$51)+Alpha!$D$8)-Alpha!$H$8,((IF($G$55=1,'Unit Costs'!I62,'Unit Costs'!I62/2)*$G$51)+Alpha!$D$8)*(1-Alpha!$F$8)))*IF(Alpha!$D$9="",1,Alpha!$D$9))+IF($G$53=2,IF(Alpha!$D$9="",'Unit Costs'!$C$89,Alpha!$D$9*'Unit Costs'!$C$89),IF($G$53=3,'Unit Costs'!$C$90+IF(Alpha!$D$9&gt;1,Alpha!$D$9-1,0)))</f>
        <v>325</v>
      </c>
      <c r="J63" s="687">
        <f>MAX(0,(IF(Alpha!$F$8="",((IF($G$55=1,'Unit Costs'!J62,'Unit Costs'!J62/2)*$G$51)+Alpha!$D$8)-Alpha!$H$8,((IF($G$55=1,'Unit Costs'!J62,'Unit Costs'!J62/2)*$G$51)+Alpha!$D$8)*(1-Alpha!$F$8)))*IF(Alpha!$D$9="",1,Alpha!$D$9))+IF($G$53=2,IF(Alpha!$D$9="",'Unit Costs'!$C$89,Alpha!$D$9*'Unit Costs'!$C$89),IF($G$53=3,'Unit Costs'!$C$90+IF(Alpha!$D$9&gt;1,Alpha!$D$9-1,0)))</f>
        <v>351</v>
      </c>
      <c r="K63" s="687">
        <f>MAX(0,(IF(Alpha!$F$8="",((IF($G$55=1,'Unit Costs'!K62,'Unit Costs'!K62/2)*$G$51)+Alpha!$D$8)-Alpha!$H$8,((IF($G$55=1,'Unit Costs'!K62,'Unit Costs'!K62/2)*$G$51)+Alpha!$D$8)*(1-Alpha!$F$8)))*IF(Alpha!$D$9="",1,Alpha!$D$9))+IF($G$53=2,IF(Alpha!$D$9="",'Unit Costs'!$C$89,Alpha!$D$9*'Unit Costs'!$C$89),IF($G$53=3,'Unit Costs'!$C$90+IF(Alpha!$D$9&gt;1,Alpha!$D$9-1,0)))</f>
        <v>428</v>
      </c>
      <c r="L63" s="687">
        <f>MAX(0,(IF(Alpha!$F$8="",((IF($G$55=1,'Unit Costs'!L62,'Unit Costs'!L62/2)*$G$51)+Alpha!$D$8)-Alpha!$H$8,((IF($G$55=1,'Unit Costs'!L62,'Unit Costs'!L62/2)*$G$51)+Alpha!$D$8)*(1-Alpha!$F$8)))*IF(Alpha!$D$9="",1,Alpha!$D$9))+IF($G$53=2,IF(Alpha!$D$9="",'Unit Costs'!$C$89,Alpha!$D$9*'Unit Costs'!$C$89),IF($G$53=3,'Unit Costs'!$C$90+IF(Alpha!$D$9&gt;1,Alpha!$D$9-1,0)))</f>
        <v>360</v>
      </c>
      <c r="M63" s="22">
        <f>MAX(0,(IF(Alpha!$F$8="",((IF($G$55=1,'Unit Costs'!M62,'Unit Costs'!M62/2)*$G$51)+Alpha!$D$8)-Alpha!$H$8,((IF($G$55=1,'Unit Costs'!M62,'Unit Costs'!M62/2)*$G$51)+Alpha!$D$8)*(1-Alpha!$F$8)))*IF(Alpha!$D$9="",1,Alpha!$D$9))+IF($G$53=2,IF(Alpha!$D$9="",'Unit Costs'!$C$89,Alpha!$D$9*'Unit Costs'!$C$89),IF($G$53=3,'Unit Costs'!$C$90+IF(Alpha!$D$9&gt;1,Alpha!$D$9-1,0)))</f>
        <v>360</v>
      </c>
      <c r="N63" s="9"/>
      <c r="O63" s="9"/>
      <c r="P63" s="458"/>
      <c r="Q63" s="28"/>
      <c r="R63" s="28"/>
      <c r="S63" s="28"/>
      <c r="T63" s="28"/>
    </row>
    <row r="64" spans="2:22" ht="15" customHeight="1" x14ac:dyDescent="0.3">
      <c r="B64" s="228" t="s">
        <v>27</v>
      </c>
      <c r="C64" s="686">
        <f>MAX(0,(IF(Alpha!$F$8="",((IF($G$55=1,'Unit Costs'!C63,'Unit Costs'!C63/2)*$G$51)+Alpha!$D$8)-Alpha!$H$8,((IF($G$55=1,'Unit Costs'!C63,'Unit Costs'!C63/2)*$G$51)+Alpha!$D$8)*(1-Alpha!$F$8)))*IF(Alpha!$D$9="",1,Alpha!$D$9))+IF($G$53=2,IF(Alpha!$D$9="",'Unit Costs'!$C$89,Alpha!$D$9*'Unit Costs'!$C$89),IF($G$53=3,'Unit Costs'!$C$90+IF(Alpha!$D$9&gt;1,Alpha!$D$9-1,0)))</f>
        <v>74</v>
      </c>
      <c r="D64" s="686">
        <f>MAX(0,(IF(Alpha!$F$8="",((IF($G$55=1,'Unit Costs'!D63,'Unit Costs'!D63/2)*$G$51)+Alpha!$D$8)-Alpha!$H$8,((IF($G$55=1,'Unit Costs'!D63,'Unit Costs'!D63/2)*$G$51)+Alpha!$D$8)*(1-Alpha!$F$8)))*IF(Alpha!$D$9="",1,Alpha!$D$9))+IF($G$53=2,IF(Alpha!$D$9="",'Unit Costs'!$C$89,Alpha!$D$9*'Unit Costs'!$C$89),IF($G$53=3,'Unit Costs'!$C$90+IF(Alpha!$D$9&gt;1,Alpha!$D$9-1,0)))</f>
        <v>84</v>
      </c>
      <c r="E64" s="686">
        <f>MAX(0,(IF(Alpha!$F$8="",((IF($G$55=1,'Unit Costs'!E63,'Unit Costs'!E63/2)*$G$51)+Alpha!$D$8)-Alpha!$H$8,((IF($G$55=1,'Unit Costs'!E63,'Unit Costs'!E63/2)*$G$51)+Alpha!$D$8)*(1-Alpha!$F$8)))*IF(Alpha!$D$9="",1,Alpha!$D$9))+IF($G$53=2,IF(Alpha!$D$9="",'Unit Costs'!$C$89,Alpha!$D$9*'Unit Costs'!$C$89),IF($G$53=3,'Unit Costs'!$C$90+IF(Alpha!$D$9&gt;1,Alpha!$D$9-1,0)))</f>
        <v>102</v>
      </c>
      <c r="F64" s="686">
        <f>MAX(0,(IF(Alpha!$F$8="",((IF($G$55=1,'Unit Costs'!F63,'Unit Costs'!F63/2)*$G$51)+Alpha!$D$8)-Alpha!$H$8,((IF($G$55=1,'Unit Costs'!F63,'Unit Costs'!F63/2)*$G$51)+Alpha!$D$8)*(1-Alpha!$F$8)))*IF(Alpha!$D$9="",1,Alpha!$D$9))+IF($G$53=2,IF(Alpha!$D$9="",'Unit Costs'!$C$89,Alpha!$D$9*'Unit Costs'!$C$89),IF($G$53=3,'Unit Costs'!$C$90+IF(Alpha!$D$9&gt;1,Alpha!$D$9-1,0)))</f>
        <v>86</v>
      </c>
      <c r="G64" s="1013">
        <f>MAX(0,(IF(Alpha!$F$8="",((IF($G$55=1,'Unit Costs'!G63,'Unit Costs'!G63/2)*$G$51)+Alpha!$D$8)-Alpha!$H$8,((IF($G$55=1,'Unit Costs'!G63,'Unit Costs'!G63/2)*$G$51)+Alpha!$D$8)*(1-Alpha!$F$8)))*IF(Alpha!$D$9="",1,Alpha!$D$9))+IF($G$53=2,IF(Alpha!$D$9="",'Unit Costs'!$C$89,Alpha!$D$9*'Unit Costs'!$C$89),IF($G$53=3,'Unit Costs'!$C$90+IF(Alpha!$D$9&gt;1,Alpha!$D$9-1,0)))</f>
        <v>86</v>
      </c>
      <c r="H64" s="272" t="s">
        <v>60</v>
      </c>
      <c r="I64" s="687">
        <f>MAX(0,(IF(Alpha!$F$8="",((IF($G$55=1,'Unit Costs'!I63,'Unit Costs'!I63/2)*$G$51)+Alpha!$D$8)-Alpha!$H$8,((IF($G$55=1,'Unit Costs'!I63,'Unit Costs'!I63/2)*$G$51)+Alpha!$D$8)*(1-Alpha!$F$8)))*IF(Alpha!$D$9="",1,Alpha!$D$9))+IF($G$53=2,IF(Alpha!$D$9="",'Unit Costs'!$C$89,Alpha!$D$9*'Unit Costs'!$C$89),IF($G$53=3,'Unit Costs'!$C$90+IF(Alpha!$D$9&gt;1,Alpha!$D$9-1,0)))</f>
        <v>334</v>
      </c>
      <c r="J64" s="687">
        <f>MAX(0,(IF(Alpha!$F$8="",((IF($G$55=1,'Unit Costs'!J63,'Unit Costs'!J63/2)*$G$51)+Alpha!$D$8)-Alpha!$H$8,((IF($G$55=1,'Unit Costs'!J63,'Unit Costs'!J63/2)*$G$51)+Alpha!$D$8)*(1-Alpha!$F$8)))*IF(Alpha!$D$9="",1,Alpha!$D$9))+IF($G$53=2,IF(Alpha!$D$9="",'Unit Costs'!$C$89,Alpha!$D$9*'Unit Costs'!$C$89),IF($G$53=3,'Unit Costs'!$C$90+IF(Alpha!$D$9&gt;1,Alpha!$D$9-1,0)))</f>
        <v>359</v>
      </c>
      <c r="K64" s="687">
        <f>MAX(0,(IF(Alpha!$F$8="",((IF($G$55=1,'Unit Costs'!K63,'Unit Costs'!K63/2)*$G$51)+Alpha!$D$8)-Alpha!$H$8,((IF($G$55=1,'Unit Costs'!K63,'Unit Costs'!K63/2)*$G$51)+Alpha!$D$8)*(1-Alpha!$F$8)))*IF(Alpha!$D$9="",1,Alpha!$D$9))+IF($G$53=2,IF(Alpha!$D$9="",'Unit Costs'!$C$89,Alpha!$D$9*'Unit Costs'!$C$89),IF($G$53=3,'Unit Costs'!$C$90+IF(Alpha!$D$9&gt;1,Alpha!$D$9-1,0)))</f>
        <v>438</v>
      </c>
      <c r="L64" s="687">
        <f>MAX(0,(IF(Alpha!$F$8="",((IF($G$55=1,'Unit Costs'!L63,'Unit Costs'!L63/2)*$G$51)+Alpha!$D$8)-Alpha!$H$8,((IF($G$55=1,'Unit Costs'!L63,'Unit Costs'!L63/2)*$G$51)+Alpha!$D$8)*(1-Alpha!$F$8)))*IF(Alpha!$D$9="",1,Alpha!$D$9))+IF($G$53=2,IF(Alpha!$D$9="",'Unit Costs'!$C$89,Alpha!$D$9*'Unit Costs'!$C$89),IF($G$53=3,'Unit Costs'!$C$90+IF(Alpha!$D$9&gt;1,Alpha!$D$9-1,0)))</f>
        <v>369</v>
      </c>
      <c r="M64" s="22">
        <f>MAX(0,(IF(Alpha!$F$8="",((IF($G$55=1,'Unit Costs'!M63,'Unit Costs'!M63/2)*$G$51)+Alpha!$D$8)-Alpha!$H$8,((IF($G$55=1,'Unit Costs'!M63,'Unit Costs'!M63/2)*$G$51)+Alpha!$D$8)*(1-Alpha!$F$8)))*IF(Alpha!$D$9="",1,Alpha!$D$9))+IF($G$53=2,IF(Alpha!$D$9="",'Unit Costs'!$C$89,Alpha!$D$9*'Unit Costs'!$C$89),IF($G$53=3,'Unit Costs'!$C$90+IF(Alpha!$D$9&gt;1,Alpha!$D$9-1,0)))</f>
        <v>369</v>
      </c>
      <c r="N64" s="9"/>
      <c r="O64" s="9"/>
      <c r="P64" s="458"/>
      <c r="Q64" s="28"/>
      <c r="R64" s="28"/>
      <c r="S64" s="28"/>
      <c r="T64" s="28"/>
    </row>
    <row r="65" spans="2:20" ht="15" customHeight="1" x14ac:dyDescent="0.3">
      <c r="B65" s="228" t="s">
        <v>31</v>
      </c>
      <c r="C65" s="686">
        <f>MAX(0,(IF(Alpha!$F$8="",((IF($G$55=1,'Unit Costs'!C64,'Unit Costs'!C64/2)*$G$51)+Alpha!$D$8)-Alpha!$H$8,((IF($G$55=1,'Unit Costs'!C64,'Unit Costs'!C64/2)*$G$51)+Alpha!$D$8)*(1-Alpha!$F$8)))*IF(Alpha!$D$9="",1,Alpha!$D$9))+IF($G$53=2,IF(Alpha!$D$9="",'Unit Costs'!$C$89,Alpha!$D$9*'Unit Costs'!$C$89),IF($G$53=3,'Unit Costs'!$C$90+IF(Alpha!$D$9&gt;1,Alpha!$D$9-1,0)))</f>
        <v>85</v>
      </c>
      <c r="D65" s="686">
        <f>MAX(0,(IF(Alpha!$F$8="",((IF($G$55=1,'Unit Costs'!D64,'Unit Costs'!D64/2)*$G$51)+Alpha!$D$8)-Alpha!$H$8,((IF($G$55=1,'Unit Costs'!D64,'Unit Costs'!D64/2)*$G$51)+Alpha!$D$8)*(1-Alpha!$F$8)))*IF(Alpha!$D$9="",1,Alpha!$D$9))+IF($G$53=2,IF(Alpha!$D$9="",'Unit Costs'!$C$89,Alpha!$D$9*'Unit Costs'!$C$89),IF($G$53=3,'Unit Costs'!$C$90+IF(Alpha!$D$9&gt;1,Alpha!$D$9-1,0)))</f>
        <v>94</v>
      </c>
      <c r="E65" s="686">
        <f>MAX(0,(IF(Alpha!$F$8="",((IF($G$55=1,'Unit Costs'!E64,'Unit Costs'!E64/2)*$G$51)+Alpha!$D$8)-Alpha!$H$8,((IF($G$55=1,'Unit Costs'!E64,'Unit Costs'!E64/2)*$G$51)+Alpha!$D$8)*(1-Alpha!$F$8)))*IF(Alpha!$D$9="",1,Alpha!$D$9))+IF($G$53=2,IF(Alpha!$D$9="",'Unit Costs'!$C$89,Alpha!$D$9*'Unit Costs'!$C$89),IF($G$53=3,'Unit Costs'!$C$90+IF(Alpha!$D$9&gt;1,Alpha!$D$9-1,0)))</f>
        <v>115</v>
      </c>
      <c r="F65" s="686">
        <f>MAX(0,(IF(Alpha!$F$8="",((IF($G$55=1,'Unit Costs'!F64,'Unit Costs'!F64/2)*$G$51)+Alpha!$D$8)-Alpha!$H$8,((IF($G$55=1,'Unit Costs'!F64,'Unit Costs'!F64/2)*$G$51)+Alpha!$D$8)*(1-Alpha!$F$8)))*IF(Alpha!$D$9="",1,Alpha!$D$9))+IF($G$53=2,IF(Alpha!$D$9="",'Unit Costs'!$C$89,Alpha!$D$9*'Unit Costs'!$C$89),IF($G$53=3,'Unit Costs'!$C$90+IF(Alpha!$D$9&gt;1,Alpha!$D$9-1,0)))</f>
        <v>97</v>
      </c>
      <c r="G65" s="1013">
        <f>MAX(0,(IF(Alpha!$F$8="",((IF($G$55=1,'Unit Costs'!G64,'Unit Costs'!G64/2)*$G$51)+Alpha!$D$8)-Alpha!$H$8,((IF($G$55=1,'Unit Costs'!G64,'Unit Costs'!G64/2)*$G$51)+Alpha!$D$8)*(1-Alpha!$F$8)))*IF(Alpha!$D$9="",1,Alpha!$D$9))+IF($G$53=2,IF(Alpha!$D$9="",'Unit Costs'!$C$89,Alpha!$D$9*'Unit Costs'!$C$89),IF($G$53=3,'Unit Costs'!$C$90+IF(Alpha!$D$9&gt;1,Alpha!$D$9-1,0)))</f>
        <v>97</v>
      </c>
      <c r="H65" s="272" t="s">
        <v>63</v>
      </c>
      <c r="I65" s="687">
        <f>MAX(0,(IF(Alpha!$F$8="",((IF($G$55=1,'Unit Costs'!I64,'Unit Costs'!I64/2)*$G$51)+Alpha!$D$8)-Alpha!$H$8,((IF($G$55=1,'Unit Costs'!I64,'Unit Costs'!I64/2)*$G$51)+Alpha!$D$8)*(1-Alpha!$F$8)))*IF(Alpha!$D$9="",1,Alpha!$D$9))+IF($G$53=2,IF(Alpha!$D$9="",'Unit Costs'!$C$89,Alpha!$D$9*'Unit Costs'!$C$89),IF($G$53=3,'Unit Costs'!$C$90+IF(Alpha!$D$9&gt;1,Alpha!$D$9-1,0)))</f>
        <v>342</v>
      </c>
      <c r="J65" s="687">
        <f>MAX(0,(IF(Alpha!$F$8="",((IF($G$55=1,'Unit Costs'!J64,'Unit Costs'!J64/2)*$G$51)+Alpha!$D$8)-Alpha!$H$8,((IF($G$55=1,'Unit Costs'!J64,'Unit Costs'!J64/2)*$G$51)+Alpha!$D$8)*(1-Alpha!$F$8)))*IF(Alpha!$D$9="",1,Alpha!$D$9))+IF($G$53=2,IF(Alpha!$D$9="",'Unit Costs'!$C$89,Alpha!$D$9*'Unit Costs'!$C$89),IF($G$53=3,'Unit Costs'!$C$90+IF(Alpha!$D$9&gt;1,Alpha!$D$9-1,0)))</f>
        <v>368</v>
      </c>
      <c r="K65" s="687">
        <f>MAX(0,(IF(Alpha!$F$8="",((IF($G$55=1,'Unit Costs'!K64,'Unit Costs'!K64/2)*$G$51)+Alpha!$D$8)-Alpha!$H$8,((IF($G$55=1,'Unit Costs'!K64,'Unit Costs'!K64/2)*$G$51)+Alpha!$D$8)*(1-Alpha!$F$8)))*IF(Alpha!$D$9="",1,Alpha!$D$9))+IF($G$53=2,IF(Alpha!$D$9="",'Unit Costs'!$C$89,Alpha!$D$9*'Unit Costs'!$C$89),IF($G$53=3,'Unit Costs'!$C$90+IF(Alpha!$D$9&gt;1,Alpha!$D$9-1,0)))</f>
        <v>447</v>
      </c>
      <c r="L65" s="687">
        <f>MAX(0,(IF(Alpha!$F$8="",((IF($G$55=1,'Unit Costs'!L64,'Unit Costs'!L64/2)*$G$51)+Alpha!$D$8)-Alpha!$H$8,((IF($G$55=1,'Unit Costs'!L64,'Unit Costs'!L64/2)*$G$51)+Alpha!$D$8)*(1-Alpha!$F$8)))*IF(Alpha!$D$9="",1,Alpha!$D$9))+IF($G$53=2,IF(Alpha!$D$9="",'Unit Costs'!$C$89,Alpha!$D$9*'Unit Costs'!$C$89),IF($G$53=3,'Unit Costs'!$C$90+IF(Alpha!$D$9&gt;1,Alpha!$D$9-1,0)))</f>
        <v>377</v>
      </c>
      <c r="M65" s="22">
        <f>MAX(0,(IF(Alpha!$F$8="",((IF($G$55=1,'Unit Costs'!M64,'Unit Costs'!M64/2)*$G$51)+Alpha!$D$8)-Alpha!$H$8,((IF($G$55=1,'Unit Costs'!M64,'Unit Costs'!M64/2)*$G$51)+Alpha!$D$8)*(1-Alpha!$F$8)))*IF(Alpha!$D$9="",1,Alpha!$D$9))+IF($G$53=2,IF(Alpha!$D$9="",'Unit Costs'!$C$89,Alpha!$D$9*'Unit Costs'!$C$89),IF($G$53=3,'Unit Costs'!$C$90+IF(Alpha!$D$9&gt;1,Alpha!$D$9-1,0)))</f>
        <v>377</v>
      </c>
      <c r="N65" s="9"/>
      <c r="O65" s="9"/>
      <c r="P65" s="458"/>
      <c r="Q65" s="28"/>
      <c r="R65" s="28"/>
      <c r="S65" s="28"/>
      <c r="T65" s="28"/>
    </row>
    <row r="66" spans="2:20" ht="15" customHeight="1" x14ac:dyDescent="0.3">
      <c r="B66" s="228" t="s">
        <v>35</v>
      </c>
      <c r="C66" s="686">
        <f>MAX(0,(IF(Alpha!$F$8="",((IF($G$55=1,'Unit Costs'!C65,'Unit Costs'!C65/2)*$G$51)+Alpha!$D$8)-Alpha!$H$8,((IF($G$55=1,'Unit Costs'!C65,'Unit Costs'!C65/2)*$G$51)+Alpha!$D$8)*(1-Alpha!$F$8)))*IF(Alpha!$D$9="",1,Alpha!$D$9))+IF($G$53=2,IF(Alpha!$D$9="",'Unit Costs'!$C$89,Alpha!$D$9*'Unit Costs'!$C$89),IF($G$53=3,'Unit Costs'!$C$90+IF(Alpha!$D$9&gt;1,Alpha!$D$9-1,0)))</f>
        <v>91</v>
      </c>
      <c r="D66" s="686">
        <f>MAX(0,(IF(Alpha!$F$8="",((IF($G$55=1,'Unit Costs'!D65,'Unit Costs'!D65/2)*$G$51)+Alpha!$D$8)-Alpha!$H$8,((IF($G$55=1,'Unit Costs'!D65,'Unit Costs'!D65/2)*$G$51)+Alpha!$D$8)*(1-Alpha!$F$8)))*IF(Alpha!$D$9="",1,Alpha!$D$9))+IF($G$53=2,IF(Alpha!$D$9="",'Unit Costs'!$C$89,Alpha!$D$9*'Unit Costs'!$C$89),IF($G$53=3,'Unit Costs'!$C$90+IF(Alpha!$D$9&gt;1,Alpha!$D$9-1,0)))</f>
        <v>105</v>
      </c>
      <c r="E66" s="686">
        <f>MAX(0,(IF(Alpha!$F$8="",((IF($G$55=1,'Unit Costs'!E65,'Unit Costs'!E65/2)*$G$51)+Alpha!$D$8)-Alpha!$H$8,((IF($G$55=1,'Unit Costs'!E65,'Unit Costs'!E65/2)*$G$51)+Alpha!$D$8)*(1-Alpha!$F$8)))*IF(Alpha!$D$9="",1,Alpha!$D$9))+IF($G$53=2,IF(Alpha!$D$9="",'Unit Costs'!$C$89,Alpha!$D$9*'Unit Costs'!$C$89),IF($G$53=3,'Unit Costs'!$C$90+IF(Alpha!$D$9&gt;1,Alpha!$D$9-1,0)))</f>
        <v>128</v>
      </c>
      <c r="F66" s="686">
        <f>MAX(0,(IF(Alpha!$F$8="",((IF($G$55=1,'Unit Costs'!F65,'Unit Costs'!F65/2)*$G$51)+Alpha!$D$8)-Alpha!$H$8,((IF($G$55=1,'Unit Costs'!F65,'Unit Costs'!F65/2)*$G$51)+Alpha!$D$8)*(1-Alpha!$F$8)))*IF(Alpha!$D$9="",1,Alpha!$D$9))+IF($G$53=2,IF(Alpha!$D$9="",'Unit Costs'!$C$89,Alpha!$D$9*'Unit Costs'!$C$89),IF($G$53=3,'Unit Costs'!$C$90+IF(Alpha!$D$9&gt;1,Alpha!$D$9-1,0)))</f>
        <v>108</v>
      </c>
      <c r="G66" s="1013">
        <f>MAX(0,(IF(Alpha!$F$8="",((IF($G$55=1,'Unit Costs'!G65,'Unit Costs'!G65/2)*$G$51)+Alpha!$D$8)-Alpha!$H$8,((IF($G$55=1,'Unit Costs'!G65,'Unit Costs'!G65/2)*$G$51)+Alpha!$D$8)*(1-Alpha!$F$8)))*IF(Alpha!$D$9="",1,Alpha!$D$9))+IF($G$53=2,IF(Alpha!$D$9="",'Unit Costs'!$C$89,Alpha!$D$9*'Unit Costs'!$C$89),IF($G$53=3,'Unit Costs'!$C$90+IF(Alpha!$D$9&gt;1,Alpha!$D$9-1,0)))</f>
        <v>108</v>
      </c>
      <c r="H66" s="272" t="s">
        <v>66</v>
      </c>
      <c r="I66" s="687">
        <f>MAX(0,(IF(Alpha!$F$8="",((IF($G$55=1,'Unit Costs'!I65,'Unit Costs'!I65/2)*$G$51)+Alpha!$D$8)-Alpha!$H$8,((IF($G$55=1,'Unit Costs'!I65,'Unit Costs'!I65/2)*$G$51)+Alpha!$D$8)*(1-Alpha!$F$8)))*IF(Alpha!$D$9="",1,Alpha!$D$9))+IF($G$53=2,IF(Alpha!$D$9="",'Unit Costs'!$C$89,Alpha!$D$9*'Unit Costs'!$C$89),IF($G$53=3,'Unit Costs'!$C$90+IF(Alpha!$D$9&gt;1,Alpha!$D$9-1,0)))</f>
        <v>352</v>
      </c>
      <c r="J66" s="687">
        <f>MAX(0,(IF(Alpha!$F$8="",((IF($G$55=1,'Unit Costs'!J65,'Unit Costs'!J65/2)*$G$51)+Alpha!$D$8)-Alpha!$H$8,((IF($G$55=1,'Unit Costs'!J65,'Unit Costs'!J65/2)*$G$51)+Alpha!$D$8)*(1-Alpha!$F$8)))*IF(Alpha!$D$9="",1,Alpha!$D$9))+IF($G$53=2,IF(Alpha!$D$9="",'Unit Costs'!$C$89,Alpha!$D$9*'Unit Costs'!$C$89),IF($G$53=3,'Unit Costs'!$C$90+IF(Alpha!$D$9&gt;1,Alpha!$D$9-1,0)))</f>
        <v>376</v>
      </c>
      <c r="K66" s="687">
        <f>MAX(0,(IF(Alpha!$F$8="",((IF($G$55=1,'Unit Costs'!K65,'Unit Costs'!K65/2)*$G$51)+Alpha!$D$8)-Alpha!$H$8,((IF($G$55=1,'Unit Costs'!K65,'Unit Costs'!K65/2)*$G$51)+Alpha!$D$8)*(1-Alpha!$F$8)))*IF(Alpha!$D$9="",1,Alpha!$D$9))+IF($G$53=2,IF(Alpha!$D$9="",'Unit Costs'!$C$89,Alpha!$D$9*'Unit Costs'!$C$89),IF($G$53=3,'Unit Costs'!$C$90+IF(Alpha!$D$9&gt;1,Alpha!$D$9-1,0)))</f>
        <v>459</v>
      </c>
      <c r="L66" s="687">
        <f>MAX(0,(IF(Alpha!$F$8="",((IF($G$55=1,'Unit Costs'!L65,'Unit Costs'!L65/2)*$G$51)+Alpha!$D$8)-Alpha!$H$8,((IF($G$55=1,'Unit Costs'!L65,'Unit Costs'!L65/2)*$G$51)+Alpha!$D$8)*(1-Alpha!$F$8)))*IF(Alpha!$D$9="",1,Alpha!$D$9))+IF($G$53=2,IF(Alpha!$D$9="",'Unit Costs'!$C$89,Alpha!$D$9*'Unit Costs'!$C$89),IF($G$53=3,'Unit Costs'!$C$90+IF(Alpha!$D$9&gt;1,Alpha!$D$9-1,0)))</f>
        <v>386</v>
      </c>
      <c r="M66" s="22">
        <f>MAX(0,(IF(Alpha!$F$8="",((IF($G$55=1,'Unit Costs'!M65,'Unit Costs'!M65/2)*$G$51)+Alpha!$D$8)-Alpha!$H$8,((IF($G$55=1,'Unit Costs'!M65,'Unit Costs'!M65/2)*$G$51)+Alpha!$D$8)*(1-Alpha!$F$8)))*IF(Alpha!$D$9="",1,Alpha!$D$9))+IF($G$53=2,IF(Alpha!$D$9="",'Unit Costs'!$C$89,Alpha!$D$9*'Unit Costs'!$C$89),IF($G$53=3,'Unit Costs'!$C$90+IF(Alpha!$D$9&gt;1,Alpha!$D$9-1,0)))</f>
        <v>386</v>
      </c>
      <c r="N66" s="9"/>
      <c r="O66" s="9"/>
      <c r="P66" s="458"/>
      <c r="Q66" s="28"/>
      <c r="R66" s="28"/>
      <c r="S66" s="28"/>
      <c r="T66" s="28"/>
    </row>
    <row r="67" spans="2:20" ht="15" customHeight="1" x14ac:dyDescent="0.3">
      <c r="B67" s="228" t="s">
        <v>38</v>
      </c>
      <c r="C67" s="686">
        <f>MAX(0,(IF(Alpha!$F$8="",((IF($G$55=1,'Unit Costs'!C66,'Unit Costs'!C66/2)*$G$51)+Alpha!$D$8)-Alpha!$H$8,((IF($G$55=1,'Unit Costs'!C66,'Unit Costs'!C66/2)*$G$51)+Alpha!$D$8)*(1-Alpha!$F$8)))*IF(Alpha!$D$9="",1,Alpha!$D$9))+IF($G$53=2,IF(Alpha!$D$9="",'Unit Costs'!$C$89,Alpha!$D$9*'Unit Costs'!$C$89),IF($G$53=3,'Unit Costs'!$C$90+IF(Alpha!$D$9&gt;1,Alpha!$D$9-1,0)))</f>
        <v>101</v>
      </c>
      <c r="D67" s="686">
        <f>MAX(0,(IF(Alpha!$F$8="",((IF($G$55=1,'Unit Costs'!D66,'Unit Costs'!D66/2)*$G$51)+Alpha!$D$8)-Alpha!$H$8,((IF($G$55=1,'Unit Costs'!D66,'Unit Costs'!D66/2)*$G$51)+Alpha!$D$8)*(1-Alpha!$F$8)))*IF(Alpha!$D$9="",1,Alpha!$D$9))+IF($G$53=2,IF(Alpha!$D$9="",'Unit Costs'!$C$89,Alpha!$D$9*'Unit Costs'!$C$89),IF($G$53=3,'Unit Costs'!$C$90+IF(Alpha!$D$9&gt;1,Alpha!$D$9-1,0)))</f>
        <v>116</v>
      </c>
      <c r="E67" s="686">
        <f>MAX(0,(IF(Alpha!$F$8="",((IF($G$55=1,'Unit Costs'!E66,'Unit Costs'!E66/2)*$G$51)+Alpha!$D$8)-Alpha!$H$8,((IF($G$55=1,'Unit Costs'!E66,'Unit Costs'!E66/2)*$G$51)+Alpha!$D$8)*(1-Alpha!$F$8)))*IF(Alpha!$D$9="",1,Alpha!$D$9))+IF($G$53=2,IF(Alpha!$D$9="",'Unit Costs'!$C$89,Alpha!$D$9*'Unit Costs'!$C$89),IF($G$53=3,'Unit Costs'!$C$90+IF(Alpha!$D$9&gt;1,Alpha!$D$9-1,0)))</f>
        <v>141</v>
      </c>
      <c r="F67" s="686">
        <f>MAX(0,(IF(Alpha!$F$8="",((IF($G$55=1,'Unit Costs'!F66,'Unit Costs'!F66/2)*$G$51)+Alpha!$D$8)-Alpha!$H$8,((IF($G$55=1,'Unit Costs'!F66,'Unit Costs'!F66/2)*$G$51)+Alpha!$D$8)*(1-Alpha!$F$8)))*IF(Alpha!$D$9="",1,Alpha!$D$9))+IF($G$53=2,IF(Alpha!$D$9="",'Unit Costs'!$C$89,Alpha!$D$9*'Unit Costs'!$C$89),IF($G$53=3,'Unit Costs'!$C$90+IF(Alpha!$D$9&gt;1,Alpha!$D$9-1,0)))</f>
        <v>119</v>
      </c>
      <c r="G67" s="1013">
        <f>MAX(0,(IF(Alpha!$F$8="",((IF($G$55=1,'Unit Costs'!G66,'Unit Costs'!G66/2)*$G$51)+Alpha!$D$8)-Alpha!$H$8,((IF($G$55=1,'Unit Costs'!G66,'Unit Costs'!G66/2)*$G$51)+Alpha!$D$8)*(1-Alpha!$F$8)))*IF(Alpha!$D$9="",1,Alpha!$D$9))+IF($G$53=2,IF(Alpha!$D$9="",'Unit Costs'!$C$89,Alpha!$D$9*'Unit Costs'!$C$89),IF($G$53=3,'Unit Costs'!$C$90+IF(Alpha!$D$9&gt;1,Alpha!$D$9-1,0)))</f>
        <v>119</v>
      </c>
      <c r="H67" s="272" t="s">
        <v>69</v>
      </c>
      <c r="I67" s="687">
        <f>MAX(0,(IF(Alpha!$F$8="",((IF($G$55=1,'Unit Costs'!I66,'Unit Costs'!I66/2)*$G$51)+Alpha!$D$8)-Alpha!$H$8,((IF($G$55=1,'Unit Costs'!I66,'Unit Costs'!I66/2)*$G$51)+Alpha!$D$8)*(1-Alpha!$F$8)))*IF(Alpha!$D$9="",1,Alpha!$D$9))+IF($G$53=2,IF(Alpha!$D$9="",'Unit Costs'!$C$89,Alpha!$D$9*'Unit Costs'!$C$89),IF($G$53=3,'Unit Costs'!$C$90+IF(Alpha!$D$9&gt;1,Alpha!$D$9-1,0)))</f>
        <v>358</v>
      </c>
      <c r="J67" s="687">
        <f>MAX(0,(IF(Alpha!$F$8="",((IF($G$55=1,'Unit Costs'!J66,'Unit Costs'!J66/2)*$G$51)+Alpha!$D$8)-Alpha!$H$8,((IF($G$55=1,'Unit Costs'!J66,'Unit Costs'!J66/2)*$G$51)+Alpha!$D$8)*(1-Alpha!$F$8)))*IF(Alpha!$D$9="",1,Alpha!$D$9))+IF($G$53=2,IF(Alpha!$D$9="",'Unit Costs'!$C$89,Alpha!$D$9*'Unit Costs'!$C$89),IF($G$53=3,'Unit Costs'!$C$90+IF(Alpha!$D$9&gt;1,Alpha!$D$9-1,0)))</f>
        <v>385</v>
      </c>
      <c r="K67" s="687">
        <f>MAX(0,(IF(Alpha!$F$8="",((IF($G$55=1,'Unit Costs'!K66,'Unit Costs'!K66/2)*$G$51)+Alpha!$D$8)-Alpha!$H$8,((IF($G$55=1,'Unit Costs'!K66,'Unit Costs'!K66/2)*$G$51)+Alpha!$D$8)*(1-Alpha!$F$8)))*IF(Alpha!$D$9="",1,Alpha!$D$9))+IF($G$53=2,IF(Alpha!$D$9="",'Unit Costs'!$C$89,Alpha!$D$9*'Unit Costs'!$C$89),IF($G$53=3,'Unit Costs'!$C$90+IF(Alpha!$D$9&gt;1,Alpha!$D$9-1,0)))</f>
        <v>468</v>
      </c>
      <c r="L67" s="687">
        <f>MAX(0,(IF(Alpha!$F$8="",((IF($G$55=1,'Unit Costs'!L66,'Unit Costs'!L66/2)*$G$51)+Alpha!$D$8)-Alpha!$H$8,((IF($G$55=1,'Unit Costs'!L66,'Unit Costs'!L66/2)*$G$51)+Alpha!$D$8)*(1-Alpha!$F$8)))*IF(Alpha!$D$9="",1,Alpha!$D$9))+IF($G$53=2,IF(Alpha!$D$9="",'Unit Costs'!$C$89,Alpha!$D$9*'Unit Costs'!$C$89),IF($G$53=3,'Unit Costs'!$C$90+IF(Alpha!$D$9&gt;1,Alpha!$D$9-1,0)))</f>
        <v>395</v>
      </c>
      <c r="M67" s="22">
        <f>MAX(0,(IF(Alpha!$F$8="",((IF($G$55=1,'Unit Costs'!M66,'Unit Costs'!M66/2)*$G$51)+Alpha!$D$8)-Alpha!$H$8,((IF($G$55=1,'Unit Costs'!M66,'Unit Costs'!M66/2)*$G$51)+Alpha!$D$8)*(1-Alpha!$F$8)))*IF(Alpha!$D$9="",1,Alpha!$D$9))+IF($G$53=2,IF(Alpha!$D$9="",'Unit Costs'!$C$89,Alpha!$D$9*'Unit Costs'!$C$89),IF($G$53=3,'Unit Costs'!$C$90+IF(Alpha!$D$9&gt;1,Alpha!$D$9-1,0)))</f>
        <v>395</v>
      </c>
      <c r="N67" s="9"/>
      <c r="O67" s="9"/>
      <c r="P67" s="458"/>
      <c r="Q67" s="28"/>
      <c r="R67" s="28"/>
      <c r="S67" s="28"/>
      <c r="T67" s="28"/>
    </row>
    <row r="68" spans="2:20" ht="15" customHeight="1" x14ac:dyDescent="0.3">
      <c r="B68" s="228" t="s">
        <v>41</v>
      </c>
      <c r="C68" s="686">
        <f>MAX(0,(IF(Alpha!$F$8="",((IF($G$55=1,'Unit Costs'!C67,'Unit Costs'!C67/2)*$G$51)+Alpha!$D$8)-Alpha!$H$8,((IF($G$55=1,'Unit Costs'!C67,'Unit Costs'!C67/2)*$G$51)+Alpha!$D$8)*(1-Alpha!$F$8)))*IF(Alpha!$D$9="",1,Alpha!$D$9))+IF($G$53=2,IF(Alpha!$D$9="",'Unit Costs'!$C$89,Alpha!$D$9*'Unit Costs'!$C$89),IF($G$53=3,'Unit Costs'!$C$90+IF(Alpha!$D$9&gt;1,Alpha!$D$9-1,0)))</f>
        <v>111</v>
      </c>
      <c r="D68" s="686">
        <f>MAX(0,(IF(Alpha!$F$8="",((IF($G$55=1,'Unit Costs'!D67,'Unit Costs'!D67/2)*$G$51)+Alpha!$D$8)-Alpha!$H$8,((IF($G$55=1,'Unit Costs'!D67,'Unit Costs'!D67/2)*$G$51)+Alpha!$D$8)*(1-Alpha!$F$8)))*IF(Alpha!$D$9="",1,Alpha!$D$9))+IF($G$53=2,IF(Alpha!$D$9="",'Unit Costs'!$C$89,Alpha!$D$9*'Unit Costs'!$C$89),IF($G$53=3,'Unit Costs'!$C$90+IF(Alpha!$D$9&gt;1,Alpha!$D$9-1,0)))</f>
        <v>127</v>
      </c>
      <c r="E68" s="686">
        <f>MAX(0,(IF(Alpha!$F$8="",((IF($G$55=1,'Unit Costs'!E67,'Unit Costs'!E67/2)*$G$51)+Alpha!$D$8)-Alpha!$H$8,((IF($G$55=1,'Unit Costs'!E67,'Unit Costs'!E67/2)*$G$51)+Alpha!$D$8)*(1-Alpha!$F$8)))*IF(Alpha!$D$9="",1,Alpha!$D$9))+IF($G$53=2,IF(Alpha!$D$9="",'Unit Costs'!$C$89,Alpha!$D$9*'Unit Costs'!$C$89),IF($G$53=3,'Unit Costs'!$C$90+IF(Alpha!$D$9&gt;1,Alpha!$D$9-1,0)))</f>
        <v>155</v>
      </c>
      <c r="F68" s="686">
        <f>MAX(0,(IF(Alpha!$F$8="",((IF($G$55=1,'Unit Costs'!F67,'Unit Costs'!F67/2)*$G$51)+Alpha!$D$8)-Alpha!$H$8,((IF($G$55=1,'Unit Costs'!F67,'Unit Costs'!F67/2)*$G$51)+Alpha!$D$8)*(1-Alpha!$F$8)))*IF(Alpha!$D$9="",1,Alpha!$D$9))+IF($G$53=2,IF(Alpha!$D$9="",'Unit Costs'!$C$89,Alpha!$D$9*'Unit Costs'!$C$89),IF($G$53=3,'Unit Costs'!$C$90+IF(Alpha!$D$9&gt;1,Alpha!$D$9-1,0)))</f>
        <v>130</v>
      </c>
      <c r="G68" s="1013">
        <f>MAX(0,(IF(Alpha!$F$8="",((IF($G$55=1,'Unit Costs'!G67,'Unit Costs'!G67/2)*$G$51)+Alpha!$D$8)-Alpha!$H$8,((IF($G$55=1,'Unit Costs'!G67,'Unit Costs'!G67/2)*$G$51)+Alpha!$D$8)*(1-Alpha!$F$8)))*IF(Alpha!$D$9="",1,Alpha!$D$9))+IF($G$53=2,IF(Alpha!$D$9="",'Unit Costs'!$C$89,Alpha!$D$9*'Unit Costs'!$C$89),IF($G$53=3,'Unit Costs'!$C$90+IF(Alpha!$D$9&gt;1,Alpha!$D$9-1,0)))</f>
        <v>130</v>
      </c>
      <c r="H68" s="272" t="s">
        <v>72</v>
      </c>
      <c r="I68" s="687">
        <f>MAX(0,(IF(Alpha!$F$8="",((IF($G$55=1,'Unit Costs'!I67,'Unit Costs'!I67/2)*$G$51)+Alpha!$D$8)-Alpha!$H$8,((IF($G$55=1,'Unit Costs'!I67,'Unit Costs'!I67/2)*$G$51)+Alpha!$D$8)*(1-Alpha!$F$8)))*IF(Alpha!$D$9="",1,Alpha!$D$9))+IF($G$53=2,IF(Alpha!$D$9="",'Unit Costs'!$C$89,Alpha!$D$9*'Unit Costs'!$C$89),IF($G$53=3,'Unit Costs'!$C$90+IF(Alpha!$D$9&gt;1,Alpha!$D$9-1,0)))</f>
        <v>365</v>
      </c>
      <c r="J68" s="687">
        <f>MAX(0,(IF(Alpha!$F$8="",((IF($G$55=1,'Unit Costs'!J67,'Unit Costs'!J67/2)*$G$51)+Alpha!$D$8)-Alpha!$H$8,((IF($G$55=1,'Unit Costs'!J67,'Unit Costs'!J67/2)*$G$51)+Alpha!$D$8)*(1-Alpha!$F$8)))*IF(Alpha!$D$9="",1,Alpha!$D$9))+IF($G$53=2,IF(Alpha!$D$9="",'Unit Costs'!$C$89,Alpha!$D$9*'Unit Costs'!$C$89),IF($G$53=3,'Unit Costs'!$C$90+IF(Alpha!$D$9&gt;1,Alpha!$D$9-1,0)))</f>
        <v>394</v>
      </c>
      <c r="K68" s="687">
        <f>MAX(0,(IF(Alpha!$F$8="",((IF($G$55=1,'Unit Costs'!K67,'Unit Costs'!K67/2)*$G$51)+Alpha!$D$8)-Alpha!$H$8,((IF($G$55=1,'Unit Costs'!K67,'Unit Costs'!K67/2)*$G$51)+Alpha!$D$8)*(1-Alpha!$F$8)))*IF(Alpha!$D$9="",1,Alpha!$D$9))+IF($G$53=2,IF(Alpha!$D$9="",'Unit Costs'!$C$89,Alpha!$D$9*'Unit Costs'!$C$89),IF($G$53=3,'Unit Costs'!$C$90+IF(Alpha!$D$9&gt;1,Alpha!$D$9-1,0)))</f>
        <v>479</v>
      </c>
      <c r="L68" s="687">
        <f>MAX(0,(IF(Alpha!$F$8="",((IF($G$55=1,'Unit Costs'!L67,'Unit Costs'!L67/2)*$G$51)+Alpha!$D$8)-Alpha!$H$8,((IF($G$55=1,'Unit Costs'!L67,'Unit Costs'!L67/2)*$G$51)+Alpha!$D$8)*(1-Alpha!$F$8)))*IF(Alpha!$D$9="",1,Alpha!$D$9))+IF($G$53=2,IF(Alpha!$D$9="",'Unit Costs'!$C$89,Alpha!$D$9*'Unit Costs'!$C$89),IF($G$53=3,'Unit Costs'!$C$90+IF(Alpha!$D$9&gt;1,Alpha!$D$9-1,0)))</f>
        <v>403</v>
      </c>
      <c r="M68" s="22">
        <f>MAX(0,(IF(Alpha!$F$8="",((IF($G$55=1,'Unit Costs'!M67,'Unit Costs'!M67/2)*$G$51)+Alpha!$D$8)-Alpha!$H$8,((IF($G$55=1,'Unit Costs'!M67,'Unit Costs'!M67/2)*$G$51)+Alpha!$D$8)*(1-Alpha!$F$8)))*IF(Alpha!$D$9="",1,Alpha!$D$9))+IF($G$53=2,IF(Alpha!$D$9="",'Unit Costs'!$C$89,Alpha!$D$9*'Unit Costs'!$C$89),IF($G$53=3,'Unit Costs'!$C$90+IF(Alpha!$D$9&gt;1,Alpha!$D$9-1,0)))</f>
        <v>403</v>
      </c>
      <c r="N68" s="9"/>
      <c r="O68" s="9"/>
      <c r="P68" s="458"/>
      <c r="Q68" s="28"/>
      <c r="R68" s="28"/>
      <c r="S68" s="28"/>
      <c r="T68" s="28"/>
    </row>
    <row r="69" spans="2:20" ht="15" customHeight="1" x14ac:dyDescent="0.3">
      <c r="B69" s="228" t="s">
        <v>44</v>
      </c>
      <c r="C69" s="686">
        <f>MAX(0,(IF(Alpha!$F$8="",((IF($G$55=1,'Unit Costs'!C68,'Unit Costs'!C68/2)*$G$51)+Alpha!$D$8)-Alpha!$H$8,((IF($G$55=1,'Unit Costs'!C68,'Unit Costs'!C68/2)*$G$51)+Alpha!$D$8)*(1-Alpha!$F$8)))*IF(Alpha!$D$9="",1,Alpha!$D$9))+IF($G$53=2,IF(Alpha!$D$9="",'Unit Costs'!$C$89,Alpha!$D$9*'Unit Costs'!$C$89),IF($G$53=3,'Unit Costs'!$C$90+IF(Alpha!$D$9&gt;1,Alpha!$D$9-1,0)))</f>
        <v>120</v>
      </c>
      <c r="D69" s="686">
        <f>MAX(0,(IF(Alpha!$F$8="",((IF($G$55=1,'Unit Costs'!D68,'Unit Costs'!D68/2)*$G$51)+Alpha!$D$8)-Alpha!$H$8,((IF($G$55=1,'Unit Costs'!D68,'Unit Costs'!D68/2)*$G$51)+Alpha!$D$8)*(1-Alpha!$F$8)))*IF(Alpha!$D$9="",1,Alpha!$D$9))+IF($G$53=2,IF(Alpha!$D$9="",'Unit Costs'!$C$89,Alpha!$D$9*'Unit Costs'!$C$89),IF($G$53=3,'Unit Costs'!$C$90+IF(Alpha!$D$9&gt;1,Alpha!$D$9-1,0)))</f>
        <v>134</v>
      </c>
      <c r="E69" s="686">
        <f>MAX(0,(IF(Alpha!$F$8="",((IF($G$55=1,'Unit Costs'!E68,'Unit Costs'!E68/2)*$G$51)+Alpha!$D$8)-Alpha!$H$8,((IF($G$55=1,'Unit Costs'!E68,'Unit Costs'!E68/2)*$G$51)+Alpha!$D$8)*(1-Alpha!$F$8)))*IF(Alpha!$D$9="",1,Alpha!$D$9))+IF($G$53=2,IF(Alpha!$D$9="",'Unit Costs'!$C$89,Alpha!$D$9*'Unit Costs'!$C$89),IF($G$53=3,'Unit Costs'!$C$90+IF(Alpha!$D$9&gt;1,Alpha!$D$9-1,0)))</f>
        <v>164</v>
      </c>
      <c r="F69" s="686">
        <f>MAX(0,(IF(Alpha!$F$8="",((IF($G$55=1,'Unit Costs'!F68,'Unit Costs'!F68/2)*$G$51)+Alpha!$D$8)-Alpha!$H$8,((IF($G$55=1,'Unit Costs'!F68,'Unit Costs'!F68/2)*$G$51)+Alpha!$D$8)*(1-Alpha!$F$8)))*IF(Alpha!$D$9="",1,Alpha!$D$9))+IF($G$53=2,IF(Alpha!$D$9="",'Unit Costs'!$C$89,Alpha!$D$9*'Unit Costs'!$C$89),IF($G$53=3,'Unit Costs'!$C$90+IF(Alpha!$D$9&gt;1,Alpha!$D$9-1,0)))</f>
        <v>138</v>
      </c>
      <c r="G69" s="1013">
        <f>MAX(0,(IF(Alpha!$F$8="",((IF($G$55=1,'Unit Costs'!G68,'Unit Costs'!G68/2)*$G$51)+Alpha!$D$8)-Alpha!$H$8,((IF($G$55=1,'Unit Costs'!G68,'Unit Costs'!G68/2)*$G$51)+Alpha!$D$8)*(1-Alpha!$F$8)))*IF(Alpha!$D$9="",1,Alpha!$D$9))+IF($G$53=2,IF(Alpha!$D$9="",'Unit Costs'!$C$89,Alpha!$D$9*'Unit Costs'!$C$89),IF($G$53=3,'Unit Costs'!$C$90+IF(Alpha!$D$9&gt;1,Alpha!$D$9-1,0)))</f>
        <v>138</v>
      </c>
      <c r="H69" s="272" t="s">
        <v>8</v>
      </c>
      <c r="I69" s="687">
        <f>MAX(0,(IF(Alpha!$F$8="",((IF($G$55=1,'Unit Costs'!I68,'Unit Costs'!I68/2)*$G$51)+Alpha!$D$8)-Alpha!$H$8,((IF($G$55=1,'Unit Costs'!I68,'Unit Costs'!I68/2)*$G$51)+Alpha!$D$8)*(1-Alpha!$F$8)))*IF(Alpha!$D$9="",1,Alpha!$D$9))+IF($G$53=2,IF(Alpha!$D$9="",'Unit Costs'!$C$89,Alpha!$D$9*'Unit Costs'!$C$89),IF($G$53=3,'Unit Costs'!$C$90+IF(Alpha!$D$9&gt;1,Alpha!$D$9-1,0)))</f>
        <v>373</v>
      </c>
      <c r="J69" s="687">
        <f>MAX(0,(IF(Alpha!$F$8="",((IF($G$55=1,'Unit Costs'!J68,'Unit Costs'!J68/2)*$G$51)+Alpha!$D$8)-Alpha!$H$8,((IF($G$55=1,'Unit Costs'!J68,'Unit Costs'!J68/2)*$G$51)+Alpha!$D$8)*(1-Alpha!$F$8)))*IF(Alpha!$D$9="",1,Alpha!$D$9))+IF($G$53=2,IF(Alpha!$D$9="",'Unit Costs'!$C$89,Alpha!$D$9*'Unit Costs'!$C$89),IF($G$53=3,'Unit Costs'!$C$90+IF(Alpha!$D$9&gt;1,Alpha!$D$9-1,0)))</f>
        <v>402</v>
      </c>
      <c r="K69" s="687">
        <f>MAX(0,(IF(Alpha!$F$8="",((IF($G$55=1,'Unit Costs'!K68,'Unit Costs'!K68/2)*$G$51)+Alpha!$D$8)-Alpha!$H$8,((IF($G$55=1,'Unit Costs'!K68,'Unit Costs'!K68/2)*$G$51)+Alpha!$D$8)*(1-Alpha!$F$8)))*IF(Alpha!$D$9="",1,Alpha!$D$9))+IF($G$53=2,IF(Alpha!$D$9="",'Unit Costs'!$C$89,Alpha!$D$9*'Unit Costs'!$C$89),IF($G$53=3,'Unit Costs'!$C$90+IF(Alpha!$D$9&gt;1,Alpha!$D$9-1,0)))</f>
        <v>490</v>
      </c>
      <c r="L69" s="687">
        <f>MAX(0,(IF(Alpha!$F$8="",((IF($G$55=1,'Unit Costs'!L68,'Unit Costs'!L68/2)*$G$51)+Alpha!$D$8)-Alpha!$H$8,((IF($G$55=1,'Unit Costs'!L68,'Unit Costs'!L68/2)*$G$51)+Alpha!$D$8)*(1-Alpha!$F$8)))*IF(Alpha!$D$9="",1,Alpha!$D$9))+IF($G$53=2,IF(Alpha!$D$9="",'Unit Costs'!$C$89,Alpha!$D$9*'Unit Costs'!$C$89),IF($G$53=3,'Unit Costs'!$C$90+IF(Alpha!$D$9&gt;1,Alpha!$D$9-1,0)))</f>
        <v>414</v>
      </c>
      <c r="M69" s="22">
        <f>MAX(0,(IF(Alpha!$F$8="",((IF($G$55=1,'Unit Costs'!M68,'Unit Costs'!M68/2)*$G$51)+Alpha!$D$8)-Alpha!$H$8,((IF($G$55=1,'Unit Costs'!M68,'Unit Costs'!M68/2)*$G$51)+Alpha!$D$8)*(1-Alpha!$F$8)))*IF(Alpha!$D$9="",1,Alpha!$D$9))+IF($G$53=2,IF(Alpha!$D$9="",'Unit Costs'!$C$89,Alpha!$D$9*'Unit Costs'!$C$89),IF($G$53=3,'Unit Costs'!$C$90+IF(Alpha!$D$9&gt;1,Alpha!$D$9-1,0)))</f>
        <v>414</v>
      </c>
      <c r="N69" s="9"/>
      <c r="O69" s="9"/>
      <c r="P69" s="458"/>
      <c r="Q69" s="28"/>
      <c r="R69" s="28"/>
      <c r="S69" s="28"/>
      <c r="T69" s="28"/>
    </row>
    <row r="70" spans="2:20" ht="15" customHeight="1" x14ac:dyDescent="0.3">
      <c r="B70" s="228" t="s">
        <v>47</v>
      </c>
      <c r="C70" s="686">
        <f>MAX(0,(IF(Alpha!$F$8="",((IF($G$55=1,'Unit Costs'!C69,'Unit Costs'!C69/2)*$G$51)+Alpha!$D$8)-Alpha!$H$8,((IF($G$55=1,'Unit Costs'!C69,'Unit Costs'!C69/2)*$G$51)+Alpha!$D$8)*(1-Alpha!$F$8)))*IF(Alpha!$D$9="",1,Alpha!$D$9))+IF($G$53=2,IF(Alpha!$D$9="",'Unit Costs'!$C$89,Alpha!$D$9*'Unit Costs'!$C$89),IF($G$53=3,'Unit Costs'!$C$90+IF(Alpha!$D$9&gt;1,Alpha!$D$9-1,0)))</f>
        <v>129</v>
      </c>
      <c r="D70" s="686">
        <f>MAX(0,(IF(Alpha!$F$8="",((IF($G$55=1,'Unit Costs'!D69,'Unit Costs'!D69/2)*$G$51)+Alpha!$D$8)-Alpha!$H$8,((IF($G$55=1,'Unit Costs'!D69,'Unit Costs'!D69/2)*$G$51)+Alpha!$D$8)*(1-Alpha!$F$8)))*IF(Alpha!$D$9="",1,Alpha!$D$9))+IF($G$53=2,IF(Alpha!$D$9="",'Unit Costs'!$C$89,Alpha!$D$9*'Unit Costs'!$C$89),IF($G$53=3,'Unit Costs'!$C$90+IF(Alpha!$D$9&gt;1,Alpha!$D$9-1,0)))</f>
        <v>143</v>
      </c>
      <c r="E70" s="686">
        <f>MAX(0,(IF(Alpha!$F$8="",((IF($G$55=1,'Unit Costs'!E69,'Unit Costs'!E69/2)*$G$51)+Alpha!$D$8)-Alpha!$H$8,((IF($G$55=1,'Unit Costs'!E69,'Unit Costs'!E69/2)*$G$51)+Alpha!$D$8)*(1-Alpha!$F$8)))*IF(Alpha!$D$9="",1,Alpha!$D$9))+IF($G$53=2,IF(Alpha!$D$9="",'Unit Costs'!$C$89,Alpha!$D$9*'Unit Costs'!$C$89),IF($G$53=3,'Unit Costs'!$C$90+IF(Alpha!$D$9&gt;1,Alpha!$D$9-1,0)))</f>
        <v>174</v>
      </c>
      <c r="F70" s="686">
        <f>MAX(0,(IF(Alpha!$F$8="",((IF($G$55=1,'Unit Costs'!F69,'Unit Costs'!F69/2)*$G$51)+Alpha!$D$8)-Alpha!$H$8,((IF($G$55=1,'Unit Costs'!F69,'Unit Costs'!F69/2)*$G$51)+Alpha!$D$8)*(1-Alpha!$F$8)))*IF(Alpha!$D$9="",1,Alpha!$D$9))+IF($G$53=2,IF(Alpha!$D$9="",'Unit Costs'!$C$89,Alpha!$D$9*'Unit Costs'!$C$89),IF($G$53=3,'Unit Costs'!$C$90+IF(Alpha!$D$9&gt;1,Alpha!$D$9-1,0)))</f>
        <v>147</v>
      </c>
      <c r="G70" s="1013">
        <f>MAX(0,(IF(Alpha!$F$8="",((IF($G$55=1,'Unit Costs'!G69,'Unit Costs'!G69/2)*$G$51)+Alpha!$D$8)-Alpha!$H$8,((IF($G$55=1,'Unit Costs'!G69,'Unit Costs'!G69/2)*$G$51)+Alpha!$D$8)*(1-Alpha!$F$8)))*IF(Alpha!$D$9="",1,Alpha!$D$9))+IF($G$53=2,IF(Alpha!$D$9="",'Unit Costs'!$C$89,Alpha!$D$9*'Unit Costs'!$C$89),IF($G$53=3,'Unit Costs'!$C$90+IF(Alpha!$D$9&gt;1,Alpha!$D$9-1,0)))</f>
        <v>147</v>
      </c>
      <c r="H70" s="272" t="s">
        <v>12</v>
      </c>
      <c r="I70" s="687">
        <f>MAX(0,(IF(Alpha!$F$8="",((IF($G$55=1,'Unit Costs'!I69,'Unit Costs'!I69/2)*$G$51)+Alpha!$D$8)-Alpha!$H$8,((IF($G$55=1,'Unit Costs'!I69,'Unit Costs'!I69/2)*$G$51)+Alpha!$D$8)*(1-Alpha!$F$8)))*IF(Alpha!$D$9="",1,Alpha!$D$9))+IF($G$53=2,IF(Alpha!$D$9="",'Unit Costs'!$C$89,Alpha!$D$9*'Unit Costs'!$C$89),IF($G$53=3,'Unit Costs'!$C$90+IF(Alpha!$D$9&gt;1,Alpha!$D$9-1,0)))</f>
        <v>381</v>
      </c>
      <c r="J70" s="687">
        <f>MAX(0,(IF(Alpha!$F$8="",((IF($G$55=1,'Unit Costs'!J69,'Unit Costs'!J69/2)*$G$51)+Alpha!$D$8)-Alpha!$H$8,((IF($G$55=1,'Unit Costs'!J69,'Unit Costs'!J69/2)*$G$51)+Alpha!$D$8)*(1-Alpha!$F$8)))*IF(Alpha!$D$9="",1,Alpha!$D$9))+IF($G$53=2,IF(Alpha!$D$9="",'Unit Costs'!$C$89,Alpha!$D$9*'Unit Costs'!$C$89),IF($G$53=3,'Unit Costs'!$C$90+IF(Alpha!$D$9&gt;1,Alpha!$D$9-1,0)))</f>
        <v>411</v>
      </c>
      <c r="K70" s="687">
        <f>MAX(0,(IF(Alpha!$F$8="",((IF($G$55=1,'Unit Costs'!K69,'Unit Costs'!K69/2)*$G$51)+Alpha!$D$8)-Alpha!$H$8,((IF($G$55=1,'Unit Costs'!K69,'Unit Costs'!K69/2)*$G$51)+Alpha!$D$8)*(1-Alpha!$F$8)))*IF(Alpha!$D$9="",1,Alpha!$D$9))+IF($G$53=2,IF(Alpha!$D$9="",'Unit Costs'!$C$89,Alpha!$D$9*'Unit Costs'!$C$89),IF($G$53=3,'Unit Costs'!$C$90+IF(Alpha!$D$9&gt;1,Alpha!$D$9-1,0)))</f>
        <v>501</v>
      </c>
      <c r="L70" s="687">
        <f>MAX(0,(IF(Alpha!$F$8="",((IF($G$55=1,'Unit Costs'!L69,'Unit Costs'!L69/2)*$G$51)+Alpha!$D$8)-Alpha!$H$8,((IF($G$55=1,'Unit Costs'!L69,'Unit Costs'!L69/2)*$G$51)+Alpha!$D$8)*(1-Alpha!$F$8)))*IF(Alpha!$D$9="",1,Alpha!$D$9))+IF($G$53=2,IF(Alpha!$D$9="",'Unit Costs'!$C$89,Alpha!$D$9*'Unit Costs'!$C$89),IF($G$53=3,'Unit Costs'!$C$90+IF(Alpha!$D$9&gt;1,Alpha!$D$9-1,0)))</f>
        <v>425</v>
      </c>
      <c r="M70" s="22">
        <f>MAX(0,(IF(Alpha!$F$8="",((IF($G$55=1,'Unit Costs'!M69,'Unit Costs'!M69/2)*$G$51)+Alpha!$D$8)-Alpha!$H$8,((IF($G$55=1,'Unit Costs'!M69,'Unit Costs'!M69/2)*$G$51)+Alpha!$D$8)*(1-Alpha!$F$8)))*IF(Alpha!$D$9="",1,Alpha!$D$9))+IF($G$53=2,IF(Alpha!$D$9="",'Unit Costs'!$C$89,Alpha!$D$9*'Unit Costs'!$C$89),IF($G$53=3,'Unit Costs'!$C$90+IF(Alpha!$D$9&gt;1,Alpha!$D$9-1,0)))</f>
        <v>425</v>
      </c>
      <c r="N70" s="9"/>
      <c r="O70" s="9"/>
      <c r="P70" s="458"/>
      <c r="Q70" s="28"/>
      <c r="R70" s="28"/>
      <c r="S70" s="28"/>
      <c r="T70" s="28"/>
    </row>
    <row r="71" spans="2:20" ht="15" customHeight="1" x14ac:dyDescent="0.3">
      <c r="B71" s="228" t="s">
        <v>50</v>
      </c>
      <c r="C71" s="686">
        <f>MAX(0,(IF(Alpha!$F$8="",((IF($G$55=1,'Unit Costs'!C70,'Unit Costs'!C70/2)*$G$51)+Alpha!$D$8)-Alpha!$H$8,((IF($G$55=1,'Unit Costs'!C70,'Unit Costs'!C70/2)*$G$51)+Alpha!$D$8)*(1-Alpha!$F$8)))*IF(Alpha!$D$9="",1,Alpha!$D$9))+IF($G$53=2,IF(Alpha!$D$9="",'Unit Costs'!$C$89,Alpha!$D$9*'Unit Costs'!$C$89),IF($G$53=3,'Unit Costs'!$C$90+IF(Alpha!$D$9&gt;1,Alpha!$D$9-1,0)))</f>
        <v>137</v>
      </c>
      <c r="D71" s="686">
        <f>MAX(0,(IF(Alpha!$F$8="",((IF($G$55=1,'Unit Costs'!D70,'Unit Costs'!D70/2)*$G$51)+Alpha!$D$8)-Alpha!$H$8,((IF($G$55=1,'Unit Costs'!D70,'Unit Costs'!D70/2)*$G$51)+Alpha!$D$8)*(1-Alpha!$F$8)))*IF(Alpha!$D$9="",1,Alpha!$D$9))+IF($G$53=2,IF(Alpha!$D$9="",'Unit Costs'!$C$89,Alpha!$D$9*'Unit Costs'!$C$89),IF($G$53=3,'Unit Costs'!$C$90+IF(Alpha!$D$9&gt;1,Alpha!$D$9-1,0)))</f>
        <v>155</v>
      </c>
      <c r="E71" s="686">
        <f>MAX(0,(IF(Alpha!$F$8="",((IF($G$55=1,'Unit Costs'!E70,'Unit Costs'!E70/2)*$G$51)+Alpha!$D$8)-Alpha!$H$8,((IF($G$55=1,'Unit Costs'!E70,'Unit Costs'!E70/2)*$G$51)+Alpha!$D$8)*(1-Alpha!$F$8)))*IF(Alpha!$D$9="",1,Alpha!$D$9))+IF($G$53=2,IF(Alpha!$D$9="",'Unit Costs'!$C$89,Alpha!$D$9*'Unit Costs'!$C$89),IF($G$53=3,'Unit Costs'!$C$90+IF(Alpha!$D$9&gt;1,Alpha!$D$9-1,0)))</f>
        <v>188</v>
      </c>
      <c r="F71" s="686">
        <f>MAX(0,(IF(Alpha!$F$8="",((IF($G$55=1,'Unit Costs'!F70,'Unit Costs'!F70/2)*$G$51)+Alpha!$D$8)-Alpha!$H$8,((IF($G$55=1,'Unit Costs'!F70,'Unit Costs'!F70/2)*$G$51)+Alpha!$D$8)*(1-Alpha!$F$8)))*IF(Alpha!$D$9="",1,Alpha!$D$9))+IF($G$53=2,IF(Alpha!$D$9="",'Unit Costs'!$C$89,Alpha!$D$9*'Unit Costs'!$C$89),IF($G$53=3,'Unit Costs'!$C$90+IF(Alpha!$D$9&gt;1,Alpha!$D$9-1,0)))</f>
        <v>158</v>
      </c>
      <c r="G71" s="1013">
        <f>MAX(0,(IF(Alpha!$F$8="",((IF($G$55=1,'Unit Costs'!G70,'Unit Costs'!G70/2)*$G$51)+Alpha!$D$8)-Alpha!$H$8,((IF($G$55=1,'Unit Costs'!G70,'Unit Costs'!G70/2)*$G$51)+Alpha!$D$8)*(1-Alpha!$F$8)))*IF(Alpha!$D$9="",1,Alpha!$D$9))+IF($G$53=2,IF(Alpha!$D$9="",'Unit Costs'!$C$89,Alpha!$D$9*'Unit Costs'!$C$89),IF($G$53=3,'Unit Costs'!$C$90+IF(Alpha!$D$9&gt;1,Alpha!$D$9-1,0)))</f>
        <v>158</v>
      </c>
      <c r="H71" s="272" t="s">
        <v>16</v>
      </c>
      <c r="I71" s="687">
        <f>MAX(0,(IF(Alpha!$F$8="",((IF($G$55=1,'Unit Costs'!I70,'Unit Costs'!I70/2)*$G$51)+Alpha!$D$8)-Alpha!$H$8,((IF($G$55=1,'Unit Costs'!I70,'Unit Costs'!I70/2)*$G$51)+Alpha!$D$8)*(1-Alpha!$F$8)))*IF(Alpha!$D$9="",1,Alpha!$D$9))+IF($G$53=2,IF(Alpha!$D$9="",'Unit Costs'!$C$89,Alpha!$D$9*'Unit Costs'!$C$89),IF($G$53=3,'Unit Costs'!$C$90+IF(Alpha!$D$9&gt;1,Alpha!$D$9-1,0)))</f>
        <v>389</v>
      </c>
      <c r="J71" s="687">
        <f>MAX(0,(IF(Alpha!$F$8="",((IF($G$55=1,'Unit Costs'!J70,'Unit Costs'!J70/2)*$G$51)+Alpha!$D$8)-Alpha!$H$8,((IF($G$55=1,'Unit Costs'!J70,'Unit Costs'!J70/2)*$G$51)+Alpha!$D$8)*(1-Alpha!$F$8)))*IF(Alpha!$D$9="",1,Alpha!$D$9))+IF($G$53=2,IF(Alpha!$D$9="",'Unit Costs'!$C$89,Alpha!$D$9*'Unit Costs'!$C$89),IF($G$53=3,'Unit Costs'!$C$90+IF(Alpha!$D$9&gt;1,Alpha!$D$9-1,0)))</f>
        <v>420</v>
      </c>
      <c r="K71" s="687">
        <f>MAX(0,(IF(Alpha!$F$8="",((IF($G$55=1,'Unit Costs'!K70,'Unit Costs'!K70/2)*$G$51)+Alpha!$D$8)-Alpha!$H$8,((IF($G$55=1,'Unit Costs'!K70,'Unit Costs'!K70/2)*$G$51)+Alpha!$D$8)*(1-Alpha!$F$8)))*IF(Alpha!$D$9="",1,Alpha!$D$9))+IF($G$53=2,IF(Alpha!$D$9="",'Unit Costs'!$C$89,Alpha!$D$9*'Unit Costs'!$C$89),IF($G$53=3,'Unit Costs'!$C$90+IF(Alpha!$D$9&gt;1,Alpha!$D$9-1,0)))</f>
        <v>512</v>
      </c>
      <c r="L71" s="687">
        <f>MAX(0,(IF(Alpha!$F$8="",((IF($G$55=1,'Unit Costs'!L70,'Unit Costs'!L70/2)*$G$51)+Alpha!$D$8)-Alpha!$H$8,((IF($G$55=1,'Unit Costs'!L70,'Unit Costs'!L70/2)*$G$51)+Alpha!$D$8)*(1-Alpha!$F$8)))*IF(Alpha!$D$9="",1,Alpha!$D$9))+IF($G$53=2,IF(Alpha!$D$9="",'Unit Costs'!$C$89,Alpha!$D$9*'Unit Costs'!$C$89),IF($G$53=3,'Unit Costs'!$C$90+IF(Alpha!$D$9&gt;1,Alpha!$D$9-1,0)))</f>
        <v>436</v>
      </c>
      <c r="M71" s="22">
        <f>MAX(0,(IF(Alpha!$F$8="",((IF($G$55=1,'Unit Costs'!M70,'Unit Costs'!M70/2)*$G$51)+Alpha!$D$8)-Alpha!$H$8,((IF($G$55=1,'Unit Costs'!M70,'Unit Costs'!M70/2)*$G$51)+Alpha!$D$8)*(1-Alpha!$F$8)))*IF(Alpha!$D$9="",1,Alpha!$D$9))+IF($G$53=2,IF(Alpha!$D$9="",'Unit Costs'!$C$89,Alpha!$D$9*'Unit Costs'!$C$89),IF($G$53=3,'Unit Costs'!$C$90+IF(Alpha!$D$9&gt;1,Alpha!$D$9-1,0)))</f>
        <v>436</v>
      </c>
      <c r="N71" s="9"/>
      <c r="O71" s="9"/>
      <c r="P71" s="458"/>
      <c r="Q71" s="28"/>
      <c r="R71" s="28"/>
      <c r="S71" s="28"/>
      <c r="T71" s="28"/>
    </row>
    <row r="72" spans="2:20" ht="15" customHeight="1" x14ac:dyDescent="0.3">
      <c r="B72" s="228" t="s">
        <v>53</v>
      </c>
      <c r="C72" s="686">
        <f>MAX(0,(IF(Alpha!$F$8="",((IF($G$55=1,'Unit Costs'!C71,'Unit Costs'!C71/2)*$G$51)+Alpha!$D$8)-Alpha!$H$8,((IF($G$55=1,'Unit Costs'!C71,'Unit Costs'!C71/2)*$G$51)+Alpha!$D$8)*(1-Alpha!$F$8)))*IF(Alpha!$D$9="",1,Alpha!$D$9))+IF($G$53=2,IF(Alpha!$D$9="",'Unit Costs'!$C$89,Alpha!$D$9*'Unit Costs'!$C$89),IF($G$53=3,'Unit Costs'!$C$90+IF(Alpha!$D$9&gt;1,Alpha!$D$9-1,0)))</f>
        <v>147</v>
      </c>
      <c r="D72" s="686">
        <f>MAX(0,(IF(Alpha!$F$8="",((IF($G$55=1,'Unit Costs'!D71,'Unit Costs'!D71/2)*$G$51)+Alpha!$D$8)-Alpha!$H$8,((IF($G$55=1,'Unit Costs'!D71,'Unit Costs'!D71/2)*$G$51)+Alpha!$D$8)*(1-Alpha!$F$8)))*IF(Alpha!$D$9="",1,Alpha!$D$9))+IF($G$53=2,IF(Alpha!$D$9="",'Unit Costs'!$C$89,Alpha!$D$9*'Unit Costs'!$C$89),IF($G$53=3,'Unit Costs'!$C$90+IF(Alpha!$D$9&gt;1,Alpha!$D$9-1,0)))</f>
        <v>164</v>
      </c>
      <c r="E72" s="686">
        <f>MAX(0,(IF(Alpha!$F$8="",((IF($G$55=1,'Unit Costs'!E71,'Unit Costs'!E71/2)*$G$51)+Alpha!$D$8)-Alpha!$H$8,((IF($G$55=1,'Unit Costs'!E71,'Unit Costs'!E71/2)*$G$51)+Alpha!$D$8)*(1-Alpha!$F$8)))*IF(Alpha!$D$9="",1,Alpha!$D$9))+IF($G$53=2,IF(Alpha!$D$9="",'Unit Costs'!$C$89,Alpha!$D$9*'Unit Costs'!$C$89),IF($G$53=3,'Unit Costs'!$C$90+IF(Alpha!$D$9&gt;1,Alpha!$D$9-1,0)))</f>
        <v>200</v>
      </c>
      <c r="F72" s="686">
        <f>MAX(0,(IF(Alpha!$F$8="",((IF($G$55=1,'Unit Costs'!F71,'Unit Costs'!F71/2)*$G$51)+Alpha!$D$8)-Alpha!$H$8,((IF($G$55=1,'Unit Costs'!F71,'Unit Costs'!F71/2)*$G$51)+Alpha!$D$8)*(1-Alpha!$F$8)))*IF(Alpha!$D$9="",1,Alpha!$D$9))+IF($G$53=2,IF(Alpha!$D$9="",'Unit Costs'!$C$89,Alpha!$D$9*'Unit Costs'!$C$89),IF($G$53=3,'Unit Costs'!$C$90+IF(Alpha!$D$9&gt;1,Alpha!$D$9-1,0)))</f>
        <v>168</v>
      </c>
      <c r="G72" s="1013">
        <f>MAX(0,(IF(Alpha!$F$8="",((IF($G$55=1,'Unit Costs'!G71,'Unit Costs'!G71/2)*$G$51)+Alpha!$D$8)-Alpha!$H$8,((IF($G$55=1,'Unit Costs'!G71,'Unit Costs'!G71/2)*$G$51)+Alpha!$D$8)*(1-Alpha!$F$8)))*IF(Alpha!$D$9="",1,Alpha!$D$9))+IF($G$53=2,IF(Alpha!$D$9="",'Unit Costs'!$C$89,Alpha!$D$9*'Unit Costs'!$C$89),IF($G$53=3,'Unit Costs'!$C$90+IF(Alpha!$D$9&gt;1,Alpha!$D$9-1,0)))</f>
        <v>168</v>
      </c>
      <c r="H72" s="272" t="s">
        <v>20</v>
      </c>
      <c r="I72" s="687">
        <f>MAX(0,(IF(Alpha!$F$8="",((IF($G$55=1,'Unit Costs'!I71,'Unit Costs'!I71/2)*$G$51)+Alpha!$D$8)-Alpha!$H$8,((IF($G$55=1,'Unit Costs'!I71,'Unit Costs'!I71/2)*$G$51)+Alpha!$D$8)*(1-Alpha!$F$8)))*IF(Alpha!$D$9="",1,Alpha!$D$9))+IF($G$53=2,IF(Alpha!$D$9="",'Unit Costs'!$C$89,Alpha!$D$9*'Unit Costs'!$C$89),IF($G$53=3,'Unit Costs'!$C$90+IF(Alpha!$D$9&gt;1,Alpha!$D$9-1,0)))</f>
        <v>397</v>
      </c>
      <c r="J72" s="687">
        <f>MAX(0,(IF(Alpha!$F$8="",((IF($G$55=1,'Unit Costs'!J71,'Unit Costs'!J71/2)*$G$51)+Alpha!$D$8)-Alpha!$H$8,((IF($G$55=1,'Unit Costs'!J71,'Unit Costs'!J71/2)*$G$51)+Alpha!$D$8)*(1-Alpha!$F$8)))*IF(Alpha!$D$9="",1,Alpha!$D$9))+IF($G$53=2,IF(Alpha!$D$9="",'Unit Costs'!$C$89,Alpha!$D$9*'Unit Costs'!$C$89),IF($G$53=3,'Unit Costs'!$C$90+IF(Alpha!$D$9&gt;1,Alpha!$D$9-1,0)))</f>
        <v>429</v>
      </c>
      <c r="K72" s="687">
        <f>MAX(0,(IF(Alpha!$F$8="",((IF($G$55=1,'Unit Costs'!K71,'Unit Costs'!K71/2)*$G$51)+Alpha!$D$8)-Alpha!$H$8,((IF($G$55=1,'Unit Costs'!K71,'Unit Costs'!K71/2)*$G$51)+Alpha!$D$8)*(1-Alpha!$F$8)))*IF(Alpha!$D$9="",1,Alpha!$D$9))+IF($G$53=2,IF(Alpha!$D$9="",'Unit Costs'!$C$89,Alpha!$D$9*'Unit Costs'!$C$89),IF($G$53=3,'Unit Costs'!$C$90+IF(Alpha!$D$9&gt;1,Alpha!$D$9-1,0)))</f>
        <v>523</v>
      </c>
      <c r="L72" s="687">
        <f>MAX(0,(IF(Alpha!$F$8="",((IF($G$55=1,'Unit Costs'!L71,'Unit Costs'!L71/2)*$G$51)+Alpha!$D$8)-Alpha!$H$8,((IF($G$55=1,'Unit Costs'!L71,'Unit Costs'!L71/2)*$G$51)+Alpha!$D$8)*(1-Alpha!$F$8)))*IF(Alpha!$D$9="",1,Alpha!$D$9))+IF($G$53=2,IF(Alpha!$D$9="",'Unit Costs'!$C$89,Alpha!$D$9*'Unit Costs'!$C$89),IF($G$53=3,'Unit Costs'!$C$90+IF(Alpha!$D$9&gt;1,Alpha!$D$9-1,0)))</f>
        <v>447</v>
      </c>
      <c r="M72" s="22">
        <f>MAX(0,(IF(Alpha!$F$8="",((IF($G$55=1,'Unit Costs'!M71,'Unit Costs'!M71/2)*$G$51)+Alpha!$D$8)-Alpha!$H$8,((IF($G$55=1,'Unit Costs'!M71,'Unit Costs'!M71/2)*$G$51)+Alpha!$D$8)*(1-Alpha!$F$8)))*IF(Alpha!$D$9="",1,Alpha!$D$9))+IF($G$53=2,IF(Alpha!$D$9="",'Unit Costs'!$C$89,Alpha!$D$9*'Unit Costs'!$C$89),IF($G$53=3,'Unit Costs'!$C$90+IF(Alpha!$D$9&gt;1,Alpha!$D$9-1,0)))</f>
        <v>447</v>
      </c>
      <c r="N72" s="9"/>
      <c r="O72" s="9"/>
      <c r="P72" s="458"/>
      <c r="Q72" s="28"/>
      <c r="R72" s="28"/>
      <c r="S72" s="28"/>
      <c r="T72" s="28"/>
    </row>
    <row r="73" spans="2:20" ht="15" customHeight="1" x14ac:dyDescent="0.3">
      <c r="B73" s="228" t="s">
        <v>56</v>
      </c>
      <c r="C73" s="686">
        <f>MAX(0,(IF(Alpha!$F$8="",((IF($G$55=1,'Unit Costs'!C72,'Unit Costs'!C72/2)*$G$51)+Alpha!$D$8)-Alpha!$H$8,((IF($G$55=1,'Unit Costs'!C72,'Unit Costs'!C72/2)*$G$51)+Alpha!$D$8)*(1-Alpha!$F$8)))*IF(Alpha!$D$9="",1,Alpha!$D$9))+IF($G$53=2,IF(Alpha!$D$9="",'Unit Costs'!$C$89,Alpha!$D$9*'Unit Costs'!$C$89),IF($G$53=3,'Unit Costs'!$C$90+IF(Alpha!$D$9&gt;1,Alpha!$D$9-1,0)))</f>
        <v>154</v>
      </c>
      <c r="D73" s="686">
        <f>MAX(0,(IF(Alpha!$F$8="",((IF($G$55=1,'Unit Costs'!D72,'Unit Costs'!D72/2)*$G$51)+Alpha!$D$8)-Alpha!$H$8,((IF($G$55=1,'Unit Costs'!D72,'Unit Costs'!D72/2)*$G$51)+Alpha!$D$8)*(1-Alpha!$F$8)))*IF(Alpha!$D$9="",1,Alpha!$D$9))+IF($G$53=2,IF(Alpha!$D$9="",'Unit Costs'!$C$89,Alpha!$D$9*'Unit Costs'!$C$89),IF($G$53=3,'Unit Costs'!$C$90+IF(Alpha!$D$9&gt;1,Alpha!$D$9-1,0)))</f>
        <v>173</v>
      </c>
      <c r="E73" s="686">
        <f>MAX(0,(IF(Alpha!$F$8="",((IF($G$55=1,'Unit Costs'!E72,'Unit Costs'!E72/2)*$G$51)+Alpha!$D$8)-Alpha!$H$8,((IF($G$55=1,'Unit Costs'!E72,'Unit Costs'!E72/2)*$G$51)+Alpha!$D$8)*(1-Alpha!$F$8)))*IF(Alpha!$D$9="",1,Alpha!$D$9))+IF($G$53=2,IF(Alpha!$D$9="",'Unit Costs'!$C$89,Alpha!$D$9*'Unit Costs'!$C$89),IF($G$53=3,'Unit Costs'!$C$90+IF(Alpha!$D$9&gt;1,Alpha!$D$9-1,0)))</f>
        <v>210</v>
      </c>
      <c r="F73" s="686">
        <f>MAX(0,(IF(Alpha!$F$8="",((IF($G$55=1,'Unit Costs'!F72,'Unit Costs'!F72/2)*$G$51)+Alpha!$D$8)-Alpha!$H$8,((IF($G$55=1,'Unit Costs'!F72,'Unit Costs'!F72/2)*$G$51)+Alpha!$D$8)*(1-Alpha!$F$8)))*IF(Alpha!$D$9="",1,Alpha!$D$9))+IF($G$53=2,IF(Alpha!$D$9="",'Unit Costs'!$C$89,Alpha!$D$9*'Unit Costs'!$C$89),IF($G$53=3,'Unit Costs'!$C$90+IF(Alpha!$D$9&gt;1,Alpha!$D$9-1,0)))</f>
        <v>178</v>
      </c>
      <c r="G73" s="1013">
        <f>MAX(0,(IF(Alpha!$F$8="",((IF($G$55=1,'Unit Costs'!G72,'Unit Costs'!G72/2)*$G$51)+Alpha!$D$8)-Alpha!$H$8,((IF($G$55=1,'Unit Costs'!G72,'Unit Costs'!G72/2)*$G$51)+Alpha!$D$8)*(1-Alpha!$F$8)))*IF(Alpha!$D$9="",1,Alpha!$D$9))+IF($G$53=2,IF(Alpha!$D$9="",'Unit Costs'!$C$89,Alpha!$D$9*'Unit Costs'!$C$89),IF($G$53=3,'Unit Costs'!$C$90+IF(Alpha!$D$9&gt;1,Alpha!$D$9-1,0)))</f>
        <v>178</v>
      </c>
      <c r="H73" s="272" t="s">
        <v>24</v>
      </c>
      <c r="I73" s="687">
        <f>MAX(0,(IF(Alpha!$F$8="",((IF($G$55=1,'Unit Costs'!I72,'Unit Costs'!I72/2)*$G$51)+Alpha!$D$8)-Alpha!$H$8,((IF($G$55=1,'Unit Costs'!I72,'Unit Costs'!I72/2)*$G$51)+Alpha!$D$8)*(1-Alpha!$F$8)))*IF(Alpha!$D$9="",1,Alpha!$D$9))+IF($G$53=2,IF(Alpha!$D$9="",'Unit Costs'!$C$89,Alpha!$D$9*'Unit Costs'!$C$89),IF($G$53=3,'Unit Costs'!$C$90+IF(Alpha!$D$9&gt;1,Alpha!$D$9-1,0)))</f>
        <v>405</v>
      </c>
      <c r="J73" s="687">
        <f>MAX(0,(IF(Alpha!$F$8="",((IF($G$55=1,'Unit Costs'!J72,'Unit Costs'!J72/2)*$G$51)+Alpha!$D$8)-Alpha!$H$8,((IF($G$55=1,'Unit Costs'!J72,'Unit Costs'!J72/2)*$G$51)+Alpha!$D$8)*(1-Alpha!$F$8)))*IF(Alpha!$D$9="",1,Alpha!$D$9))+IF($G$53=2,IF(Alpha!$D$9="",'Unit Costs'!$C$89,Alpha!$D$9*'Unit Costs'!$C$89),IF($G$53=3,'Unit Costs'!$C$90+IF(Alpha!$D$9&gt;1,Alpha!$D$9-1,0)))</f>
        <v>438</v>
      </c>
      <c r="K73" s="687">
        <f>MAX(0,(IF(Alpha!$F$8="",((IF($G$55=1,'Unit Costs'!K72,'Unit Costs'!K72/2)*$G$51)+Alpha!$D$8)-Alpha!$H$8,((IF($G$55=1,'Unit Costs'!K72,'Unit Costs'!K72/2)*$G$51)+Alpha!$D$8)*(1-Alpha!$F$8)))*IF(Alpha!$D$9="",1,Alpha!$D$9))+IF($G$53=2,IF(Alpha!$D$9="",'Unit Costs'!$C$89,Alpha!$D$9*'Unit Costs'!$C$89),IF($G$53=3,'Unit Costs'!$C$90+IF(Alpha!$D$9&gt;1,Alpha!$D$9-1,0)))</f>
        <v>534</v>
      </c>
      <c r="L73" s="687">
        <f>MAX(0,(IF(Alpha!$F$8="",((IF($G$55=1,'Unit Costs'!L72,'Unit Costs'!L72/2)*$G$51)+Alpha!$D$8)-Alpha!$H$8,((IF($G$55=1,'Unit Costs'!L72,'Unit Costs'!L72/2)*$G$51)+Alpha!$D$8)*(1-Alpha!$F$8)))*IF(Alpha!$D$9="",1,Alpha!$D$9))+IF($G$53=2,IF(Alpha!$D$9="",'Unit Costs'!$C$89,Alpha!$D$9*'Unit Costs'!$C$89),IF($G$53=3,'Unit Costs'!$C$90+IF(Alpha!$D$9&gt;1,Alpha!$D$9-1,0)))</f>
        <v>458</v>
      </c>
      <c r="M73" s="22">
        <f>MAX(0,(IF(Alpha!$F$8="",((IF($G$55=1,'Unit Costs'!M72,'Unit Costs'!M72/2)*$G$51)+Alpha!$D$8)-Alpha!$H$8,((IF($G$55=1,'Unit Costs'!M72,'Unit Costs'!M72/2)*$G$51)+Alpha!$D$8)*(1-Alpha!$F$8)))*IF(Alpha!$D$9="",1,Alpha!$D$9))+IF($G$53=2,IF(Alpha!$D$9="",'Unit Costs'!$C$89,Alpha!$D$9*'Unit Costs'!$C$89),IF($G$53=3,'Unit Costs'!$C$90+IF(Alpha!$D$9&gt;1,Alpha!$D$9-1,0)))</f>
        <v>458</v>
      </c>
      <c r="N73" s="9"/>
      <c r="O73" s="9"/>
      <c r="P73" s="458"/>
      <c r="Q73" s="28"/>
      <c r="R73" s="28"/>
      <c r="S73" s="28"/>
      <c r="T73" s="28"/>
    </row>
    <row r="74" spans="2:20" ht="15" customHeight="1" x14ac:dyDescent="0.3">
      <c r="B74" s="228" t="s">
        <v>59</v>
      </c>
      <c r="C74" s="686">
        <f>MAX(0,(IF(Alpha!$F$8="",((IF($G$55=1,'Unit Costs'!C73,'Unit Costs'!C73/2)*$G$51)+Alpha!$D$8)-Alpha!$H$8,((IF($G$55=1,'Unit Costs'!C73,'Unit Costs'!C73/2)*$G$51)+Alpha!$D$8)*(1-Alpha!$F$8)))*IF(Alpha!$D$9="",1,Alpha!$D$9))+IF($G$53=2,IF(Alpha!$D$9="",'Unit Costs'!$C$89,Alpha!$D$9*'Unit Costs'!$C$89),IF($G$53=3,'Unit Costs'!$C$90+IF(Alpha!$D$9&gt;1,Alpha!$D$9-1,0)))</f>
        <v>161</v>
      </c>
      <c r="D74" s="686">
        <f>MAX(0,(IF(Alpha!$F$8="",((IF($G$55=1,'Unit Costs'!D73,'Unit Costs'!D73/2)*$G$51)+Alpha!$D$8)-Alpha!$H$8,((IF($G$55=1,'Unit Costs'!D73,'Unit Costs'!D73/2)*$G$51)+Alpha!$D$8)*(1-Alpha!$F$8)))*IF(Alpha!$D$9="",1,Alpha!$D$9))+IF($G$53=2,IF(Alpha!$D$9="",'Unit Costs'!$C$89,Alpha!$D$9*'Unit Costs'!$C$89),IF($G$53=3,'Unit Costs'!$C$90+IF(Alpha!$D$9&gt;1,Alpha!$D$9-1,0)))</f>
        <v>182</v>
      </c>
      <c r="E74" s="686">
        <f>MAX(0,(IF(Alpha!$F$8="",((IF($G$55=1,'Unit Costs'!E73,'Unit Costs'!E73/2)*$G$51)+Alpha!$D$8)-Alpha!$H$8,((IF($G$55=1,'Unit Costs'!E73,'Unit Costs'!E73/2)*$G$51)+Alpha!$D$8)*(1-Alpha!$F$8)))*IF(Alpha!$D$9="",1,Alpha!$D$9))+IF($G$53=2,IF(Alpha!$D$9="",'Unit Costs'!$C$89,Alpha!$D$9*'Unit Costs'!$C$89),IF($G$53=3,'Unit Costs'!$C$90+IF(Alpha!$D$9&gt;1,Alpha!$D$9-1,0)))</f>
        <v>222</v>
      </c>
      <c r="F74" s="686">
        <f>MAX(0,(IF(Alpha!$F$8="",((IF($G$55=1,'Unit Costs'!F73,'Unit Costs'!F73/2)*$G$51)+Alpha!$D$8)-Alpha!$H$8,((IF($G$55=1,'Unit Costs'!F73,'Unit Costs'!F73/2)*$G$51)+Alpha!$D$8)*(1-Alpha!$F$8)))*IF(Alpha!$D$9="",1,Alpha!$D$9))+IF($G$53=2,IF(Alpha!$D$9="",'Unit Costs'!$C$89,Alpha!$D$9*'Unit Costs'!$C$89),IF($G$53=3,'Unit Costs'!$C$90+IF(Alpha!$D$9&gt;1,Alpha!$D$9-1,0)))</f>
        <v>187</v>
      </c>
      <c r="G74" s="1013">
        <f>MAX(0,(IF(Alpha!$F$8="",((IF($G$55=1,'Unit Costs'!G73,'Unit Costs'!G73/2)*$G$51)+Alpha!$D$8)-Alpha!$H$8,((IF($G$55=1,'Unit Costs'!G73,'Unit Costs'!G73/2)*$G$51)+Alpha!$D$8)*(1-Alpha!$F$8)))*IF(Alpha!$D$9="",1,Alpha!$D$9))+IF($G$53=2,IF(Alpha!$D$9="",'Unit Costs'!$C$89,Alpha!$D$9*'Unit Costs'!$C$89),IF($G$53=3,'Unit Costs'!$C$90+IF(Alpha!$D$9&gt;1,Alpha!$D$9-1,0)))</f>
        <v>187</v>
      </c>
      <c r="H74" s="272" t="s">
        <v>29</v>
      </c>
      <c r="I74" s="687">
        <f>MAX(0,(IF(Alpha!$F$8="",((IF($G$55=1,'Unit Costs'!I73,'Unit Costs'!I73/2)*$G$51)+Alpha!$D$8)-Alpha!$H$8,((IF($G$55=1,'Unit Costs'!I73,'Unit Costs'!I73/2)*$G$51)+Alpha!$D$8)*(1-Alpha!$F$8)))*IF(Alpha!$D$9="",1,Alpha!$D$9))+IF($G$53=2,IF(Alpha!$D$9="",'Unit Costs'!$C$89,Alpha!$D$9*'Unit Costs'!$C$89),IF($G$53=3,'Unit Costs'!$C$90+IF(Alpha!$D$9&gt;1,Alpha!$D$9-1,0)))</f>
        <v>413</v>
      </c>
      <c r="J74" s="687">
        <f>MAX(0,(IF(Alpha!$F$8="",((IF($G$55=1,'Unit Costs'!J73,'Unit Costs'!J73/2)*$G$51)+Alpha!$D$8)-Alpha!$H$8,((IF($G$55=1,'Unit Costs'!J73,'Unit Costs'!J73/2)*$G$51)+Alpha!$D$8)*(1-Alpha!$F$8)))*IF(Alpha!$D$9="",1,Alpha!$D$9))+IF($G$53=2,IF(Alpha!$D$9="",'Unit Costs'!$C$89,Alpha!$D$9*'Unit Costs'!$C$89),IF($G$53=3,'Unit Costs'!$C$90+IF(Alpha!$D$9&gt;1,Alpha!$D$9-1,0)))</f>
        <v>447</v>
      </c>
      <c r="K74" s="687">
        <f>MAX(0,(IF(Alpha!$F$8="",((IF($G$55=1,'Unit Costs'!K73,'Unit Costs'!K73/2)*$G$51)+Alpha!$D$8)-Alpha!$H$8,((IF($G$55=1,'Unit Costs'!K73,'Unit Costs'!K73/2)*$G$51)+Alpha!$D$8)*(1-Alpha!$F$8)))*IF(Alpha!$D$9="",1,Alpha!$D$9))+IF($G$53=2,IF(Alpha!$D$9="",'Unit Costs'!$C$89,Alpha!$D$9*'Unit Costs'!$C$89),IF($G$53=3,'Unit Costs'!$C$90+IF(Alpha!$D$9&gt;1,Alpha!$D$9-1,0)))</f>
        <v>545</v>
      </c>
      <c r="L74" s="687">
        <f>MAX(0,(IF(Alpha!$F$8="",((IF($G$55=1,'Unit Costs'!L73,'Unit Costs'!L73/2)*$G$51)+Alpha!$D$8)-Alpha!$H$8,((IF($G$55=1,'Unit Costs'!L73,'Unit Costs'!L73/2)*$G$51)+Alpha!$D$8)*(1-Alpha!$F$8)))*IF(Alpha!$D$9="",1,Alpha!$D$9))+IF($G$53=2,IF(Alpha!$D$9="",'Unit Costs'!$C$89,Alpha!$D$9*'Unit Costs'!$C$89),IF($G$53=3,'Unit Costs'!$C$90+IF(Alpha!$D$9&gt;1,Alpha!$D$9-1,0)))</f>
        <v>469</v>
      </c>
      <c r="M74" s="22">
        <f>MAX(0,(IF(Alpha!$F$8="",((IF($G$55=1,'Unit Costs'!M73,'Unit Costs'!M73/2)*$G$51)+Alpha!$D$8)-Alpha!$H$8,((IF($G$55=1,'Unit Costs'!M73,'Unit Costs'!M73/2)*$G$51)+Alpha!$D$8)*(1-Alpha!$F$8)))*IF(Alpha!$D$9="",1,Alpha!$D$9))+IF($G$53=2,IF(Alpha!$D$9="",'Unit Costs'!$C$89,Alpha!$D$9*'Unit Costs'!$C$89),IF($G$53=3,'Unit Costs'!$C$90+IF(Alpha!$D$9&gt;1,Alpha!$D$9-1,0)))</f>
        <v>469</v>
      </c>
      <c r="N74" s="9"/>
      <c r="O74" s="9"/>
      <c r="P74" s="458"/>
      <c r="Q74" s="28"/>
      <c r="R74" s="28"/>
      <c r="S74" s="28"/>
      <c r="T74" s="28"/>
    </row>
    <row r="75" spans="2:20" ht="15" customHeight="1" x14ac:dyDescent="0.3">
      <c r="B75" s="228" t="s">
        <v>62</v>
      </c>
      <c r="C75" s="686">
        <f>MAX(0,(IF(Alpha!$F$8="",((IF($G$55=1,'Unit Costs'!C74,'Unit Costs'!C74/2)*$G$51)+Alpha!$D$8)-Alpha!$H$8,((IF($G$55=1,'Unit Costs'!C74,'Unit Costs'!C74/2)*$G$51)+Alpha!$D$8)*(1-Alpha!$F$8)))*IF(Alpha!$D$9="",1,Alpha!$D$9))+IF($G$53=2,IF(Alpha!$D$9="",'Unit Costs'!$C$89,Alpha!$D$9*'Unit Costs'!$C$89),IF($G$53=3,'Unit Costs'!$C$90+IF(Alpha!$D$9&gt;1,Alpha!$D$9-1,0)))</f>
        <v>171</v>
      </c>
      <c r="D75" s="686">
        <f>MAX(0,(IF(Alpha!$F$8="",((IF($G$55=1,'Unit Costs'!D74,'Unit Costs'!D74/2)*$G$51)+Alpha!$D$8)-Alpha!$H$8,((IF($G$55=1,'Unit Costs'!D74,'Unit Costs'!D74/2)*$G$51)+Alpha!$D$8)*(1-Alpha!$F$8)))*IF(Alpha!$D$9="",1,Alpha!$D$9))+IF($G$53=2,IF(Alpha!$D$9="",'Unit Costs'!$C$89,Alpha!$D$9*'Unit Costs'!$C$89),IF($G$53=3,'Unit Costs'!$C$90+IF(Alpha!$D$9&gt;1,Alpha!$D$9-1,0)))</f>
        <v>191</v>
      </c>
      <c r="E75" s="686">
        <f>MAX(0,(IF(Alpha!$F$8="",((IF($G$55=1,'Unit Costs'!E74,'Unit Costs'!E74/2)*$G$51)+Alpha!$D$8)-Alpha!$H$8,((IF($G$55=1,'Unit Costs'!E74,'Unit Costs'!E74/2)*$G$51)+Alpha!$D$8)*(1-Alpha!$F$8)))*IF(Alpha!$D$9="",1,Alpha!$D$9))+IF($G$53=2,IF(Alpha!$D$9="",'Unit Costs'!$C$89,Alpha!$D$9*'Unit Costs'!$C$89),IF($G$53=3,'Unit Costs'!$C$90+IF(Alpha!$D$9&gt;1,Alpha!$D$9-1,0)))</f>
        <v>232</v>
      </c>
      <c r="F75" s="686">
        <f>MAX(0,(IF(Alpha!$F$8="",((IF($G$55=1,'Unit Costs'!F74,'Unit Costs'!F74/2)*$G$51)+Alpha!$D$8)-Alpha!$H$8,((IF($G$55=1,'Unit Costs'!F74,'Unit Costs'!F74/2)*$G$51)+Alpha!$D$8)*(1-Alpha!$F$8)))*IF(Alpha!$D$9="",1,Alpha!$D$9))+IF($G$53=2,IF(Alpha!$D$9="",'Unit Costs'!$C$89,Alpha!$D$9*'Unit Costs'!$C$89),IF($G$53=3,'Unit Costs'!$C$90+IF(Alpha!$D$9&gt;1,Alpha!$D$9-1,0)))</f>
        <v>196</v>
      </c>
      <c r="G75" s="1013">
        <f>MAX(0,(IF(Alpha!$F$8="",((IF($G$55=1,'Unit Costs'!G74,'Unit Costs'!G74/2)*$G$51)+Alpha!$D$8)-Alpha!$H$8,((IF($G$55=1,'Unit Costs'!G74,'Unit Costs'!G74/2)*$G$51)+Alpha!$D$8)*(1-Alpha!$F$8)))*IF(Alpha!$D$9="",1,Alpha!$D$9))+IF($G$53=2,IF(Alpha!$D$9="",'Unit Costs'!$C$89,Alpha!$D$9*'Unit Costs'!$C$89),IF($G$53=3,'Unit Costs'!$C$90+IF(Alpha!$D$9&gt;1,Alpha!$D$9-1,0)))</f>
        <v>196</v>
      </c>
      <c r="H75" s="272" t="s">
        <v>33</v>
      </c>
      <c r="I75" s="687">
        <f>MAX(0,(IF(Alpha!$F$8="",((IF($G$55=1,'Unit Costs'!I74,'Unit Costs'!I74/2)*$G$51)+Alpha!$D$8)-Alpha!$H$8,((IF($G$55=1,'Unit Costs'!I74,'Unit Costs'!I74/2)*$G$51)+Alpha!$D$8)*(1-Alpha!$F$8)))*IF(Alpha!$D$9="",1,Alpha!$D$9))+IF($G$53=2,IF(Alpha!$D$9="",'Unit Costs'!$C$89,Alpha!$D$9*'Unit Costs'!$C$89),IF($G$53=3,'Unit Costs'!$C$90+IF(Alpha!$D$9&gt;1,Alpha!$D$9-1,0)))</f>
        <v>421</v>
      </c>
      <c r="J75" s="687">
        <f>MAX(0,(IF(Alpha!$F$8="",((IF($G$55=1,'Unit Costs'!J74,'Unit Costs'!J74/2)*$G$51)+Alpha!$D$8)-Alpha!$H$8,((IF($G$55=1,'Unit Costs'!J74,'Unit Costs'!J74/2)*$G$51)+Alpha!$D$8)*(1-Alpha!$F$8)))*IF(Alpha!$D$9="",1,Alpha!$D$9))+IF($G$53=2,IF(Alpha!$D$9="",'Unit Costs'!$C$89,Alpha!$D$9*'Unit Costs'!$C$89),IF($G$53=3,'Unit Costs'!$C$90+IF(Alpha!$D$9&gt;1,Alpha!$D$9-1,0)))</f>
        <v>456</v>
      </c>
      <c r="K75" s="687">
        <f>MAX(0,(IF(Alpha!$F$8="",((IF($G$55=1,'Unit Costs'!K74,'Unit Costs'!K74/2)*$G$51)+Alpha!$D$8)-Alpha!$H$8,((IF($G$55=1,'Unit Costs'!K74,'Unit Costs'!K74/2)*$G$51)+Alpha!$D$8)*(1-Alpha!$F$8)))*IF(Alpha!$D$9="",1,Alpha!$D$9))+IF($G$53=2,IF(Alpha!$D$9="",'Unit Costs'!$C$89,Alpha!$D$9*'Unit Costs'!$C$89),IF($G$53=3,'Unit Costs'!$C$90+IF(Alpha!$D$9&gt;1,Alpha!$D$9-1,0)))</f>
        <v>556</v>
      </c>
      <c r="L75" s="687">
        <f>MAX(0,(IF(Alpha!$F$8="",((IF($G$55=1,'Unit Costs'!L74,'Unit Costs'!L74/2)*$G$51)+Alpha!$D$8)-Alpha!$H$8,((IF($G$55=1,'Unit Costs'!L74,'Unit Costs'!L74/2)*$G$51)+Alpha!$D$8)*(1-Alpha!$F$8)))*IF(Alpha!$D$9="",1,Alpha!$D$9))+IF($G$53=2,IF(Alpha!$D$9="",'Unit Costs'!$C$89,Alpha!$D$9*'Unit Costs'!$C$89),IF($G$53=3,'Unit Costs'!$C$90+IF(Alpha!$D$9&gt;1,Alpha!$D$9-1,0)))</f>
        <v>480</v>
      </c>
      <c r="M75" s="22">
        <f>MAX(0,(IF(Alpha!$F$8="",((IF($G$55=1,'Unit Costs'!M74,'Unit Costs'!M74/2)*$G$51)+Alpha!$D$8)-Alpha!$H$8,((IF($G$55=1,'Unit Costs'!M74,'Unit Costs'!M74/2)*$G$51)+Alpha!$D$8)*(1-Alpha!$F$8)))*IF(Alpha!$D$9="",1,Alpha!$D$9))+IF($G$53=2,IF(Alpha!$D$9="",'Unit Costs'!$C$89,Alpha!$D$9*'Unit Costs'!$C$89),IF($G$53=3,'Unit Costs'!$C$90+IF(Alpha!$D$9&gt;1,Alpha!$D$9-1,0)))</f>
        <v>480</v>
      </c>
      <c r="N75" s="9"/>
      <c r="O75" s="9"/>
      <c r="P75" s="458"/>
      <c r="Q75" s="28"/>
      <c r="R75" s="28"/>
      <c r="S75" s="28"/>
      <c r="T75" s="28"/>
    </row>
    <row r="76" spans="2:20" ht="15" customHeight="1" x14ac:dyDescent="0.3">
      <c r="B76" s="228" t="s">
        <v>65</v>
      </c>
      <c r="C76" s="686">
        <f>MAX(0,(IF(Alpha!$F$8="",((IF($G$55=1,'Unit Costs'!C75,'Unit Costs'!C75/2)*$G$51)+Alpha!$D$8)-Alpha!$H$8,((IF($G$55=1,'Unit Costs'!C75,'Unit Costs'!C75/2)*$G$51)+Alpha!$D$8)*(1-Alpha!$F$8)))*IF(Alpha!$D$9="",1,Alpha!$D$9))+IF($G$53=2,IF(Alpha!$D$9="",'Unit Costs'!$C$89,Alpha!$D$9*'Unit Costs'!$C$89),IF($G$53=3,'Unit Costs'!$C$90+IF(Alpha!$D$9&gt;1,Alpha!$D$9-1,0)))</f>
        <v>180</v>
      </c>
      <c r="D76" s="686">
        <f>MAX(0,(IF(Alpha!$F$8="",((IF($G$55=1,'Unit Costs'!D75,'Unit Costs'!D75/2)*$G$51)+Alpha!$D$8)-Alpha!$H$8,((IF($G$55=1,'Unit Costs'!D75,'Unit Costs'!D75/2)*$G$51)+Alpha!$D$8)*(1-Alpha!$F$8)))*IF(Alpha!$D$9="",1,Alpha!$D$9))+IF($G$53=2,IF(Alpha!$D$9="",'Unit Costs'!$C$89,Alpha!$D$9*'Unit Costs'!$C$89),IF($G$53=3,'Unit Costs'!$C$90+IF(Alpha!$D$9&gt;1,Alpha!$D$9-1,0)))</f>
        <v>199</v>
      </c>
      <c r="E76" s="686">
        <f>MAX(0,(IF(Alpha!$F$8="",((IF($G$55=1,'Unit Costs'!E75,'Unit Costs'!E75/2)*$G$51)+Alpha!$D$8)-Alpha!$H$8,((IF($G$55=1,'Unit Costs'!E75,'Unit Costs'!E75/2)*$G$51)+Alpha!$D$8)*(1-Alpha!$F$8)))*IF(Alpha!$D$9="",1,Alpha!$D$9))+IF($G$53=2,IF(Alpha!$D$9="",'Unit Costs'!$C$89,Alpha!$D$9*'Unit Costs'!$C$89),IF($G$53=3,'Unit Costs'!$C$90+IF(Alpha!$D$9&gt;1,Alpha!$D$9-1,0)))</f>
        <v>243</v>
      </c>
      <c r="F76" s="686">
        <f>MAX(0,(IF(Alpha!$F$8="",((IF($G$55=1,'Unit Costs'!F75,'Unit Costs'!F75/2)*$G$51)+Alpha!$D$8)-Alpha!$H$8,((IF($G$55=1,'Unit Costs'!F75,'Unit Costs'!F75/2)*$G$51)+Alpha!$D$8)*(1-Alpha!$F$8)))*IF(Alpha!$D$9="",1,Alpha!$D$9))+IF($G$53=2,IF(Alpha!$D$9="",'Unit Costs'!$C$89,Alpha!$D$9*'Unit Costs'!$C$89),IF($G$53=3,'Unit Costs'!$C$90+IF(Alpha!$D$9&gt;1,Alpha!$D$9-1,0)))</f>
        <v>204</v>
      </c>
      <c r="G76" s="1013">
        <f>MAX(0,(IF(Alpha!$F$8="",((IF($G$55=1,'Unit Costs'!G75,'Unit Costs'!G75/2)*$G$51)+Alpha!$D$8)-Alpha!$H$8,((IF($G$55=1,'Unit Costs'!G75,'Unit Costs'!G75/2)*$G$51)+Alpha!$D$8)*(1-Alpha!$F$8)))*IF(Alpha!$D$9="",1,Alpha!$D$9))+IF($G$53=2,IF(Alpha!$D$9="",'Unit Costs'!$C$89,Alpha!$D$9*'Unit Costs'!$C$89),IF($G$53=3,'Unit Costs'!$C$90+IF(Alpha!$D$9&gt;1,Alpha!$D$9-1,0)))</f>
        <v>204</v>
      </c>
      <c r="H76" s="272" t="s">
        <v>37</v>
      </c>
      <c r="I76" s="687">
        <f>MAX(0,(IF(Alpha!$F$8="",((IF($G$55=1,'Unit Costs'!I75,'Unit Costs'!I75/2)*$G$51)+Alpha!$D$8)-Alpha!$H$8,((IF($G$55=1,'Unit Costs'!I75,'Unit Costs'!I75/2)*$G$51)+Alpha!$D$8)*(1-Alpha!$F$8)))*IF(Alpha!$D$9="",1,Alpha!$D$9))+IF($G$53=2,IF(Alpha!$D$9="",'Unit Costs'!$C$89,Alpha!$D$9*'Unit Costs'!$C$89),IF($G$53=3,'Unit Costs'!$C$90+IF(Alpha!$D$9&gt;1,Alpha!$D$9-1,0)))</f>
        <v>429</v>
      </c>
      <c r="J76" s="687">
        <f>MAX(0,(IF(Alpha!$F$8="",((IF($G$55=1,'Unit Costs'!J75,'Unit Costs'!J75/2)*$G$51)+Alpha!$D$8)-Alpha!$H$8,((IF($G$55=1,'Unit Costs'!J75,'Unit Costs'!J75/2)*$G$51)+Alpha!$D$8)*(1-Alpha!$F$8)))*IF(Alpha!$D$9="",1,Alpha!$D$9))+IF($G$53=2,IF(Alpha!$D$9="",'Unit Costs'!$C$89,Alpha!$D$9*'Unit Costs'!$C$89),IF($G$53=3,'Unit Costs'!$C$90+IF(Alpha!$D$9&gt;1,Alpha!$D$9-1,0)))</f>
        <v>465</v>
      </c>
      <c r="K76" s="687">
        <f>MAX(0,(IF(Alpha!$F$8="",((IF($G$55=1,'Unit Costs'!K75,'Unit Costs'!K75/2)*$G$51)+Alpha!$D$8)-Alpha!$H$8,((IF($G$55=1,'Unit Costs'!K75,'Unit Costs'!K75/2)*$G$51)+Alpha!$D$8)*(1-Alpha!$F$8)))*IF(Alpha!$D$9="",1,Alpha!$D$9))+IF($G$53=2,IF(Alpha!$D$9="",'Unit Costs'!$C$89,Alpha!$D$9*'Unit Costs'!$C$89),IF($G$53=3,'Unit Costs'!$C$90+IF(Alpha!$D$9&gt;1,Alpha!$D$9-1,0)))</f>
        <v>567</v>
      </c>
      <c r="L76" s="687">
        <f>MAX(0,(IF(Alpha!$F$8="",((IF($G$55=1,'Unit Costs'!L75,'Unit Costs'!L75/2)*$G$51)+Alpha!$D$8)-Alpha!$H$8,((IF($G$55=1,'Unit Costs'!L75,'Unit Costs'!L75/2)*$G$51)+Alpha!$D$8)*(1-Alpha!$F$8)))*IF(Alpha!$D$9="",1,Alpha!$D$9))+IF($G$53=2,IF(Alpha!$D$9="",'Unit Costs'!$C$89,Alpha!$D$9*'Unit Costs'!$C$89),IF($G$53=3,'Unit Costs'!$C$90+IF(Alpha!$D$9&gt;1,Alpha!$D$9-1,0)))</f>
        <v>491</v>
      </c>
      <c r="M76" s="22">
        <f>MAX(0,(IF(Alpha!$F$8="",((IF($G$55=1,'Unit Costs'!M75,'Unit Costs'!M75/2)*$G$51)+Alpha!$D$8)-Alpha!$H$8,((IF($G$55=1,'Unit Costs'!M75,'Unit Costs'!M75/2)*$G$51)+Alpha!$D$8)*(1-Alpha!$F$8)))*IF(Alpha!$D$9="",1,Alpha!$D$9))+IF($G$53=2,IF(Alpha!$D$9="",'Unit Costs'!$C$89,Alpha!$D$9*'Unit Costs'!$C$89),IF($G$53=3,'Unit Costs'!$C$90+IF(Alpha!$D$9&gt;1,Alpha!$D$9-1,0)))</f>
        <v>491</v>
      </c>
      <c r="N76" s="9"/>
      <c r="O76" s="9"/>
      <c r="P76" s="458"/>
      <c r="Q76" s="28"/>
      <c r="R76" s="28"/>
      <c r="S76" s="28"/>
      <c r="T76" s="28"/>
    </row>
    <row r="77" spans="2:20" ht="15" customHeight="1" x14ac:dyDescent="0.3">
      <c r="B77" s="228" t="s">
        <v>68</v>
      </c>
      <c r="C77" s="686">
        <f>MAX(0,(IF(Alpha!$F$8="",((IF($G$55=1,'Unit Costs'!C76,'Unit Costs'!C76/2)*$G$51)+Alpha!$D$8)-Alpha!$H$8,((IF($G$55=1,'Unit Costs'!C76,'Unit Costs'!C76/2)*$G$51)+Alpha!$D$8)*(1-Alpha!$F$8)))*IF(Alpha!$D$9="",1,Alpha!$D$9))+IF($G$53=2,IF(Alpha!$D$9="",'Unit Costs'!$C$89,Alpha!$D$9*'Unit Costs'!$C$89),IF($G$53=3,'Unit Costs'!$C$90+IF(Alpha!$D$9&gt;1,Alpha!$D$9-1,0)))</f>
        <v>191</v>
      </c>
      <c r="D77" s="686">
        <f>MAX(0,(IF(Alpha!$F$8="",((IF($G$55=1,'Unit Costs'!D76,'Unit Costs'!D76/2)*$G$51)+Alpha!$D$8)-Alpha!$H$8,((IF($G$55=1,'Unit Costs'!D76,'Unit Costs'!D76/2)*$G$51)+Alpha!$D$8)*(1-Alpha!$F$8)))*IF(Alpha!$D$9="",1,Alpha!$D$9))+IF($G$53=2,IF(Alpha!$D$9="",'Unit Costs'!$C$89,Alpha!$D$9*'Unit Costs'!$C$89),IF($G$53=3,'Unit Costs'!$C$90+IF(Alpha!$D$9&gt;1,Alpha!$D$9-1,0)))</f>
        <v>209</v>
      </c>
      <c r="E77" s="686">
        <f>MAX(0,(IF(Alpha!$F$8="",((IF($G$55=1,'Unit Costs'!E76,'Unit Costs'!E76/2)*$G$51)+Alpha!$D$8)-Alpha!$H$8,((IF($G$55=1,'Unit Costs'!E76,'Unit Costs'!E76/2)*$G$51)+Alpha!$D$8)*(1-Alpha!$F$8)))*IF(Alpha!$D$9="",1,Alpha!$D$9))+IF($G$53=2,IF(Alpha!$D$9="",'Unit Costs'!$C$89,Alpha!$D$9*'Unit Costs'!$C$89),IF($G$53=3,'Unit Costs'!$C$90+IF(Alpha!$D$9&gt;1,Alpha!$D$9-1,0)))</f>
        <v>254</v>
      </c>
      <c r="F77" s="686">
        <f>MAX(0,(IF(Alpha!$F$8="",((IF($G$55=1,'Unit Costs'!F76,'Unit Costs'!F76/2)*$G$51)+Alpha!$D$8)-Alpha!$H$8,((IF($G$55=1,'Unit Costs'!F76,'Unit Costs'!F76/2)*$G$51)+Alpha!$D$8)*(1-Alpha!$F$8)))*IF(Alpha!$D$9="",1,Alpha!$D$9))+IF($G$53=2,IF(Alpha!$D$9="",'Unit Costs'!$C$89,Alpha!$D$9*'Unit Costs'!$C$89),IF($G$53=3,'Unit Costs'!$C$90+IF(Alpha!$D$9&gt;1,Alpha!$D$9-1,0)))</f>
        <v>214</v>
      </c>
      <c r="G77" s="1013">
        <f>MAX(0,(IF(Alpha!$F$8="",((IF($G$55=1,'Unit Costs'!G76,'Unit Costs'!G76/2)*$G$51)+Alpha!$D$8)-Alpha!$H$8,((IF($G$55=1,'Unit Costs'!G76,'Unit Costs'!G76/2)*$G$51)+Alpha!$D$8)*(1-Alpha!$F$8)))*IF(Alpha!$D$9="",1,Alpha!$D$9))+IF($G$53=2,IF(Alpha!$D$9="",'Unit Costs'!$C$89,Alpha!$D$9*'Unit Costs'!$C$89),IF($G$53=3,'Unit Costs'!$C$90+IF(Alpha!$D$9&gt;1,Alpha!$D$9-1,0)))</f>
        <v>214</v>
      </c>
      <c r="H77" s="272" t="s">
        <v>40</v>
      </c>
      <c r="I77" s="687">
        <f>MAX(0,(IF(Alpha!$F$8="",((IF($G$55=1,'Unit Costs'!I76,'Unit Costs'!I76/2)*$G$51)+Alpha!$D$8)-Alpha!$H$8,((IF($G$55=1,'Unit Costs'!I76,'Unit Costs'!I76/2)*$G$51)+Alpha!$D$8)*(1-Alpha!$F$8)))*IF(Alpha!$D$9="",1,Alpha!$D$9))+IF($G$53=2,IF(Alpha!$D$9="",'Unit Costs'!$C$89,Alpha!$D$9*'Unit Costs'!$C$89),IF($G$53=3,'Unit Costs'!$C$90+IF(Alpha!$D$9&gt;1,Alpha!$D$9-1,0)))</f>
        <v>437</v>
      </c>
      <c r="J77" s="687">
        <f>MAX(0,(IF(Alpha!$F$8="",((IF($G$55=1,'Unit Costs'!J76,'Unit Costs'!J76/2)*$G$51)+Alpha!$D$8)-Alpha!$H$8,((IF($G$55=1,'Unit Costs'!J76,'Unit Costs'!J76/2)*$G$51)+Alpha!$D$8)*(1-Alpha!$F$8)))*IF(Alpha!$D$9="",1,Alpha!$D$9))+IF($G$53=2,IF(Alpha!$D$9="",'Unit Costs'!$C$89,Alpha!$D$9*'Unit Costs'!$C$89),IF($G$53=3,'Unit Costs'!$C$90+IF(Alpha!$D$9&gt;1,Alpha!$D$9-1,0)))</f>
        <v>474</v>
      </c>
      <c r="K77" s="687">
        <f>MAX(0,(IF(Alpha!$F$8="",((IF($G$55=1,'Unit Costs'!K76,'Unit Costs'!K76/2)*$G$51)+Alpha!$D$8)-Alpha!$H$8,((IF($G$55=1,'Unit Costs'!K76,'Unit Costs'!K76/2)*$G$51)+Alpha!$D$8)*(1-Alpha!$F$8)))*IF(Alpha!$D$9="",1,Alpha!$D$9))+IF($G$53=2,IF(Alpha!$D$9="",'Unit Costs'!$C$89,Alpha!$D$9*'Unit Costs'!$C$89),IF($G$53=3,'Unit Costs'!$C$90+IF(Alpha!$D$9&gt;1,Alpha!$D$9-1,0)))</f>
        <v>578</v>
      </c>
      <c r="L77" s="687">
        <f>MAX(0,(IF(Alpha!$F$8="",((IF($G$55=1,'Unit Costs'!L76,'Unit Costs'!L76/2)*$G$51)+Alpha!$D$8)-Alpha!$H$8,((IF($G$55=1,'Unit Costs'!L76,'Unit Costs'!L76/2)*$G$51)+Alpha!$D$8)*(1-Alpha!$F$8)))*IF(Alpha!$D$9="",1,Alpha!$D$9))+IF($G$53=2,IF(Alpha!$D$9="",'Unit Costs'!$C$89,Alpha!$D$9*'Unit Costs'!$C$89),IF($G$53=3,'Unit Costs'!$C$90+IF(Alpha!$D$9&gt;1,Alpha!$D$9-1,0)))</f>
        <v>502</v>
      </c>
      <c r="M77" s="22">
        <f>MAX(0,(IF(Alpha!$F$8="",((IF($G$55=1,'Unit Costs'!M76,'Unit Costs'!M76/2)*$G$51)+Alpha!$D$8)-Alpha!$H$8,((IF($G$55=1,'Unit Costs'!M76,'Unit Costs'!M76/2)*$G$51)+Alpha!$D$8)*(1-Alpha!$F$8)))*IF(Alpha!$D$9="",1,Alpha!$D$9))+IF($G$53=2,IF(Alpha!$D$9="",'Unit Costs'!$C$89,Alpha!$D$9*'Unit Costs'!$C$89),IF($G$53=3,'Unit Costs'!$C$90+IF(Alpha!$D$9&gt;1,Alpha!$D$9-1,0)))</f>
        <v>502</v>
      </c>
      <c r="N77" s="9"/>
      <c r="O77" s="9"/>
      <c r="P77" s="458"/>
      <c r="Q77" s="28"/>
      <c r="R77" s="28"/>
      <c r="S77" s="28"/>
      <c r="T77" s="28"/>
    </row>
    <row r="78" spans="2:20" ht="15" customHeight="1" x14ac:dyDescent="0.3">
      <c r="B78" s="228" t="s">
        <v>71</v>
      </c>
      <c r="C78" s="686">
        <f>MAX(0,(IF(Alpha!$F$8="",((IF($G$55=1,'Unit Costs'!C77,'Unit Costs'!C77/2)*$G$51)+Alpha!$D$8)-Alpha!$H$8,((IF($G$55=1,'Unit Costs'!C77,'Unit Costs'!C77/2)*$G$51)+Alpha!$D$8)*(1-Alpha!$F$8)))*IF(Alpha!$D$9="",1,Alpha!$D$9))+IF($G$53=2,IF(Alpha!$D$9="",'Unit Costs'!$C$89,Alpha!$D$9*'Unit Costs'!$C$89),IF($G$53=3,'Unit Costs'!$C$90+IF(Alpha!$D$9&gt;1,Alpha!$D$9-1,0)))</f>
        <v>199</v>
      </c>
      <c r="D78" s="686">
        <f>MAX(0,(IF(Alpha!$F$8="",((IF($G$55=1,'Unit Costs'!D77,'Unit Costs'!D77/2)*$G$51)+Alpha!$D$8)-Alpha!$H$8,((IF($G$55=1,'Unit Costs'!D77,'Unit Costs'!D77/2)*$G$51)+Alpha!$D$8)*(1-Alpha!$F$8)))*IF(Alpha!$D$9="",1,Alpha!$D$9))+IF($G$53=2,IF(Alpha!$D$9="",'Unit Costs'!$C$89,Alpha!$D$9*'Unit Costs'!$C$89),IF($G$53=3,'Unit Costs'!$C$90+IF(Alpha!$D$9&gt;1,Alpha!$D$9-1,0)))</f>
        <v>216</v>
      </c>
      <c r="E78" s="686">
        <f>MAX(0,(IF(Alpha!$F$8="",((IF($G$55=1,'Unit Costs'!E77,'Unit Costs'!E77/2)*$G$51)+Alpha!$D$8)-Alpha!$H$8,((IF($G$55=1,'Unit Costs'!E77,'Unit Costs'!E77/2)*$G$51)+Alpha!$D$8)*(1-Alpha!$F$8)))*IF(Alpha!$D$9="",1,Alpha!$D$9))+IF($G$53=2,IF(Alpha!$D$9="",'Unit Costs'!$C$89,Alpha!$D$9*'Unit Costs'!$C$89),IF($G$53=3,'Unit Costs'!$C$90+IF(Alpha!$D$9&gt;1,Alpha!$D$9-1,0)))</f>
        <v>263</v>
      </c>
      <c r="F78" s="686">
        <f>MAX(0,(IF(Alpha!$F$8="",((IF($G$55=1,'Unit Costs'!F77,'Unit Costs'!F77/2)*$G$51)+Alpha!$D$8)-Alpha!$H$8,((IF($G$55=1,'Unit Costs'!F77,'Unit Costs'!F77/2)*$G$51)+Alpha!$D$8)*(1-Alpha!$F$8)))*IF(Alpha!$D$9="",1,Alpha!$D$9))+IF($G$53=2,IF(Alpha!$D$9="",'Unit Costs'!$C$89,Alpha!$D$9*'Unit Costs'!$C$89),IF($G$53=3,'Unit Costs'!$C$90+IF(Alpha!$D$9&gt;1,Alpha!$D$9-1,0)))</f>
        <v>222</v>
      </c>
      <c r="G78" s="1013">
        <f>MAX(0,(IF(Alpha!$F$8="",((IF($G$55=1,'Unit Costs'!G77,'Unit Costs'!G77/2)*$G$51)+Alpha!$D$8)-Alpha!$H$8,((IF($G$55=1,'Unit Costs'!G77,'Unit Costs'!G77/2)*$G$51)+Alpha!$D$8)*(1-Alpha!$F$8)))*IF(Alpha!$D$9="",1,Alpha!$D$9))+IF($G$53=2,IF(Alpha!$D$9="",'Unit Costs'!$C$89,Alpha!$D$9*'Unit Costs'!$C$89),IF($G$53=3,'Unit Costs'!$C$90+IF(Alpha!$D$9&gt;1,Alpha!$D$9-1,0)))</f>
        <v>222</v>
      </c>
      <c r="H78" s="272" t="s">
        <v>43</v>
      </c>
      <c r="I78" s="687">
        <f>MAX(0,(IF(Alpha!$F$8="",((IF($G$55=1,'Unit Costs'!I77,'Unit Costs'!I77/2)*$G$51)+Alpha!$D$8)-Alpha!$H$8,((IF($G$55=1,'Unit Costs'!I77,'Unit Costs'!I77/2)*$G$51)+Alpha!$D$8)*(1-Alpha!$F$8)))*IF(Alpha!$D$9="",1,Alpha!$D$9))+IF($G$53=2,IF(Alpha!$D$9="",'Unit Costs'!$C$89,Alpha!$D$9*'Unit Costs'!$C$89),IF($G$53=3,'Unit Costs'!$C$90+IF(Alpha!$D$9&gt;1,Alpha!$D$9-1,0)))</f>
        <v>445</v>
      </c>
      <c r="J78" s="687">
        <f>MAX(0,(IF(Alpha!$F$8="",((IF($G$55=1,'Unit Costs'!J77,'Unit Costs'!J77/2)*$G$51)+Alpha!$D$8)-Alpha!$H$8,((IF($G$55=1,'Unit Costs'!J77,'Unit Costs'!J77/2)*$G$51)+Alpha!$D$8)*(1-Alpha!$F$8)))*IF(Alpha!$D$9="",1,Alpha!$D$9))+IF($G$53=2,IF(Alpha!$D$9="",'Unit Costs'!$C$89,Alpha!$D$9*'Unit Costs'!$C$89),IF($G$53=3,'Unit Costs'!$C$90+IF(Alpha!$D$9&gt;1,Alpha!$D$9-1,0)))</f>
        <v>483</v>
      </c>
      <c r="K78" s="687">
        <f>MAX(0,(IF(Alpha!$F$8="",((IF($G$55=1,'Unit Costs'!K77,'Unit Costs'!K77/2)*$G$51)+Alpha!$D$8)-Alpha!$H$8,((IF($G$55=1,'Unit Costs'!K77,'Unit Costs'!K77/2)*$G$51)+Alpha!$D$8)*(1-Alpha!$F$8)))*IF(Alpha!$D$9="",1,Alpha!$D$9))+IF($G$53=2,IF(Alpha!$D$9="",'Unit Costs'!$C$89,Alpha!$D$9*'Unit Costs'!$C$89),IF($G$53=3,'Unit Costs'!$C$90+IF(Alpha!$D$9&gt;1,Alpha!$D$9-1,0)))</f>
        <v>589</v>
      </c>
      <c r="L78" s="687">
        <f>MAX(0,(IF(Alpha!$F$8="",((IF($G$55=1,'Unit Costs'!L77,'Unit Costs'!L77/2)*$G$51)+Alpha!$D$8)-Alpha!$H$8,((IF($G$55=1,'Unit Costs'!L77,'Unit Costs'!L77/2)*$G$51)+Alpha!$D$8)*(1-Alpha!$F$8)))*IF(Alpha!$D$9="",1,Alpha!$D$9))+IF($G$53=2,IF(Alpha!$D$9="",'Unit Costs'!$C$89,Alpha!$D$9*'Unit Costs'!$C$89),IF($G$53=3,'Unit Costs'!$C$90+IF(Alpha!$D$9&gt;1,Alpha!$D$9-1,0)))</f>
        <v>513</v>
      </c>
      <c r="M78" s="22">
        <f>MAX(0,(IF(Alpha!$F$8="",((IF($G$55=1,'Unit Costs'!M77,'Unit Costs'!M77/2)*$G$51)+Alpha!$D$8)-Alpha!$H$8,((IF($G$55=1,'Unit Costs'!M77,'Unit Costs'!M77/2)*$G$51)+Alpha!$D$8)*(1-Alpha!$F$8)))*IF(Alpha!$D$9="",1,Alpha!$D$9))+IF($G$53=2,IF(Alpha!$D$9="",'Unit Costs'!$C$89,Alpha!$D$9*'Unit Costs'!$C$89),IF($G$53=3,'Unit Costs'!$C$90+IF(Alpha!$D$9&gt;1,Alpha!$D$9-1,0)))</f>
        <v>513</v>
      </c>
      <c r="N78" s="9"/>
      <c r="O78" s="9"/>
      <c r="P78" s="458"/>
      <c r="Q78" s="28"/>
      <c r="R78" s="28"/>
      <c r="S78" s="28"/>
      <c r="T78" s="28"/>
    </row>
    <row r="79" spans="2:20" ht="15" customHeight="1" x14ac:dyDescent="0.3">
      <c r="B79" s="228" t="s">
        <v>7</v>
      </c>
      <c r="C79" s="687">
        <f>MAX(0,(IF(Alpha!$F$8="",((IF($G$55=1,'Unit Costs'!C78,'Unit Costs'!C78/2)*$G$51)+Alpha!$D$8)-Alpha!$H$8,((IF($G$55=1,'Unit Costs'!C78,'Unit Costs'!C78/2)*$G$51)+Alpha!$D$8)*(1-Alpha!$F$8)))*IF(Alpha!$D$9="",1,Alpha!$D$9))+IF($G$53=2,IF(Alpha!$D$9="",'Unit Costs'!$C$89,Alpha!$D$9*'Unit Costs'!$C$89),IF($G$53=3,'Unit Costs'!$C$90+IF(Alpha!$D$9&gt;1,Alpha!$D$9-1,0)))</f>
        <v>206</v>
      </c>
      <c r="D79" s="687">
        <f>MAX(0,(IF(Alpha!$F$8="",((IF($G$55=1,'Unit Costs'!D78,'Unit Costs'!D78/2)*$G$51)+Alpha!$D$8)-Alpha!$H$8,((IF($G$55=1,'Unit Costs'!D78,'Unit Costs'!D78/2)*$G$51)+Alpha!$D$8)*(1-Alpha!$F$8)))*IF(Alpha!$D$9="",1,Alpha!$D$9))+IF($G$53=2,IF(Alpha!$D$9="",'Unit Costs'!$C$89,Alpha!$D$9*'Unit Costs'!$C$89),IF($G$53=3,'Unit Costs'!$C$90+IF(Alpha!$D$9&gt;1,Alpha!$D$9-1,0)))</f>
        <v>277</v>
      </c>
      <c r="E79" s="687">
        <f>MAX(0,(IF(Alpha!$F$8="",((IF($G$55=1,'Unit Costs'!E78,'Unit Costs'!E78/2)*$G$51)+Alpha!$D$8)-Alpha!$H$8,((IF($G$55=1,'Unit Costs'!E78,'Unit Costs'!E78/2)*$G$51)+Alpha!$D$8)*(1-Alpha!$F$8)))*IF(Alpha!$D$9="",1,Alpha!$D$9))+IF($G$53=2,IF(Alpha!$D$9="",'Unit Costs'!$C$89,Alpha!$D$9*'Unit Costs'!$C$89),IF($G$53=3,'Unit Costs'!$C$90+IF(Alpha!$D$9&gt;1,Alpha!$D$9-1,0)))</f>
        <v>276</v>
      </c>
      <c r="F79" s="687">
        <f>MAX(0,(IF(Alpha!$F$8="",((IF($G$55=1,'Unit Costs'!F78,'Unit Costs'!F78/2)*$G$51)+Alpha!$D$8)-Alpha!$H$8,((IF($G$55=1,'Unit Costs'!F78,'Unit Costs'!F78/2)*$G$51)+Alpha!$D$8)*(1-Alpha!$F$8)))*IF(Alpha!$D$9="",1,Alpha!$D$9))+IF($G$53=2,IF(Alpha!$D$9="",'Unit Costs'!$C$89,Alpha!$D$9*'Unit Costs'!$C$89),IF($G$53=3,'Unit Costs'!$C$90+IF(Alpha!$D$9&gt;1,Alpha!$D$9-1,0)))</f>
        <v>232</v>
      </c>
      <c r="G79" s="1013">
        <f>MAX(0,(IF(Alpha!$F$8="",((IF($G$55=1,'Unit Costs'!G78,'Unit Costs'!G78/2)*$G$51)+Alpha!$D$8)-Alpha!$H$8,((IF($G$55=1,'Unit Costs'!G78,'Unit Costs'!G78/2)*$G$51)+Alpha!$D$8)*(1-Alpha!$F$8)))*IF(Alpha!$D$9="",1,Alpha!$D$9))+IF($G$53=2,IF(Alpha!$D$9="",'Unit Costs'!$C$89,Alpha!$D$9*'Unit Costs'!$C$89),IF($G$53=3,'Unit Costs'!$C$90+IF(Alpha!$D$9&gt;1,Alpha!$D$9-1,0)))</f>
        <v>232</v>
      </c>
      <c r="H79" s="272" t="s">
        <v>46</v>
      </c>
      <c r="I79" s="687">
        <f>MAX(0,(IF(Alpha!$F$8="",((IF($G$55=1,'Unit Costs'!I78,'Unit Costs'!I78/2)*$G$51)+Alpha!$D$8)-Alpha!$H$8,((IF($G$55=1,'Unit Costs'!I78,'Unit Costs'!I78/2)*$G$51)+Alpha!$D$8)*(1-Alpha!$F$8)))*IF(Alpha!$D$9="",1,Alpha!$D$9))+IF($G$53=2,IF(Alpha!$D$9="",'Unit Costs'!$C$89,Alpha!$D$9*'Unit Costs'!$C$89),IF($G$53=3,'Unit Costs'!$C$90+IF(Alpha!$D$9&gt;1,Alpha!$D$9-1,0)))</f>
        <v>453</v>
      </c>
      <c r="J79" s="687">
        <f>MAX(0,(IF(Alpha!$F$8="",((IF($G$55=1,'Unit Costs'!J78,'Unit Costs'!J78/2)*$G$51)+Alpha!$D$8)-Alpha!$H$8,((IF($G$55=1,'Unit Costs'!J78,'Unit Costs'!J78/2)*$G$51)+Alpha!$D$8)*(1-Alpha!$F$8)))*IF(Alpha!$D$9="",1,Alpha!$D$9))+IF($G$53=2,IF(Alpha!$D$9="",'Unit Costs'!$C$89,Alpha!$D$9*'Unit Costs'!$C$89),IF($G$53=3,'Unit Costs'!$C$90+IF(Alpha!$D$9&gt;1,Alpha!$D$9-1,0)))</f>
        <v>492</v>
      </c>
      <c r="K79" s="687">
        <f>MAX(0,(IF(Alpha!$F$8="",((IF($G$55=1,'Unit Costs'!K78,'Unit Costs'!K78/2)*$G$51)+Alpha!$D$8)-Alpha!$H$8,((IF($G$55=1,'Unit Costs'!K78,'Unit Costs'!K78/2)*$G$51)+Alpha!$D$8)*(1-Alpha!$F$8)))*IF(Alpha!$D$9="",1,Alpha!$D$9))+IF($G$53=2,IF(Alpha!$D$9="",'Unit Costs'!$C$89,Alpha!$D$9*'Unit Costs'!$C$89),IF($G$53=3,'Unit Costs'!$C$90+IF(Alpha!$D$9&gt;1,Alpha!$D$9-1,0)))</f>
        <v>600</v>
      </c>
      <c r="L79" s="687">
        <f>MAX(0,(IF(Alpha!$F$8="",((IF($G$55=1,'Unit Costs'!L78,'Unit Costs'!L78/2)*$G$51)+Alpha!$D$8)-Alpha!$H$8,((IF($G$55=1,'Unit Costs'!L78,'Unit Costs'!L78/2)*$G$51)+Alpha!$D$8)*(1-Alpha!$F$8)))*IF(Alpha!$D$9="",1,Alpha!$D$9))+IF($G$53=2,IF(Alpha!$D$9="",'Unit Costs'!$C$89,Alpha!$D$9*'Unit Costs'!$C$89),IF($G$53=3,'Unit Costs'!$C$90+IF(Alpha!$D$9&gt;1,Alpha!$D$9-1,0)))</f>
        <v>524</v>
      </c>
      <c r="M79" s="671">
        <f>MAX(0,(IF(Alpha!$F$8="",((IF($G$55=1,'Unit Costs'!M78,'Unit Costs'!M78/2)*$G$51)+Alpha!$D$8)-Alpha!$H$8,((IF($G$55=1,'Unit Costs'!M78,'Unit Costs'!M78/2)*$G$51)+Alpha!$D$8)*(1-Alpha!$F$8)))*IF(Alpha!$D$9="",1,Alpha!$D$9))+IF($G$53=2,IF(Alpha!$D$9="",'Unit Costs'!$C$89,Alpha!$D$9*'Unit Costs'!$C$89),IF($G$53=3,'Unit Costs'!$C$90+IF(Alpha!$D$9&gt;1,Alpha!$D$9-1,0)))</f>
        <v>524</v>
      </c>
      <c r="N79" s="671"/>
      <c r="O79" s="671"/>
      <c r="P79" s="458"/>
      <c r="Q79" s="28"/>
      <c r="R79" s="28"/>
      <c r="S79" s="28"/>
      <c r="T79" s="28"/>
    </row>
    <row r="80" spans="2:20" ht="15" customHeight="1" x14ac:dyDescent="0.3">
      <c r="B80" s="228" t="s">
        <v>11</v>
      </c>
      <c r="C80" s="687">
        <f>MAX(0,(IF(Alpha!$F$8="",((IF($G$55=1,'Unit Costs'!C79,'Unit Costs'!C79/2)*$G$51)+Alpha!$D$8)-Alpha!$H$8,((IF($G$55=1,'Unit Costs'!C79,'Unit Costs'!C79/2)*$G$51)+Alpha!$D$8)*(1-Alpha!$F$8)))*IF(Alpha!$D$9="",1,Alpha!$D$9))+IF($G$53=2,IF(Alpha!$D$9="",'Unit Costs'!$C$89,Alpha!$D$9*'Unit Costs'!$C$89),IF($G$53=3,'Unit Costs'!$C$90+IF(Alpha!$D$9&gt;1,Alpha!$D$9-1,0)))</f>
        <v>213</v>
      </c>
      <c r="D80" s="687">
        <f>MAX(0,(IF(Alpha!$F$8="",((IF($G$55=1,'Unit Costs'!D79,'Unit Costs'!D79/2)*$G$51)+Alpha!$D$8)-Alpha!$H$8,((IF($G$55=1,'Unit Costs'!D79,'Unit Costs'!D79/2)*$G$51)+Alpha!$D$8)*(1-Alpha!$F$8)))*IF(Alpha!$D$9="",1,Alpha!$D$9))+IF($G$53=2,IF(Alpha!$D$9="",'Unit Costs'!$C$89,Alpha!$D$9*'Unit Costs'!$C$89),IF($G$53=3,'Unit Costs'!$C$90+IF(Alpha!$D$9&gt;1,Alpha!$D$9-1,0)))</f>
        <v>234</v>
      </c>
      <c r="E80" s="687">
        <f>MAX(0,(IF(Alpha!$F$8="",((IF($G$55=1,'Unit Costs'!E79,'Unit Costs'!E79/2)*$G$51)+Alpha!$D$8)-Alpha!$H$8,((IF($G$55=1,'Unit Costs'!E79,'Unit Costs'!E79/2)*$G$51)+Alpha!$D$8)*(1-Alpha!$F$8)))*IF(Alpha!$D$9="",1,Alpha!$D$9))+IF($G$53=2,IF(Alpha!$D$9="",'Unit Costs'!$C$89,Alpha!$D$9*'Unit Costs'!$C$89),IF($G$53=3,'Unit Costs'!$C$90+IF(Alpha!$D$9&gt;1,Alpha!$D$9-1,0)))</f>
        <v>285</v>
      </c>
      <c r="F80" s="687">
        <f>MAX(0,(IF(Alpha!$F$8="",((IF($G$55=1,'Unit Costs'!F79,'Unit Costs'!F79/2)*$G$51)+Alpha!$D$8)-Alpha!$H$8,((IF($G$55=1,'Unit Costs'!F79,'Unit Costs'!F79/2)*$G$51)+Alpha!$D$8)*(1-Alpha!$F$8)))*IF(Alpha!$D$9="",1,Alpha!$D$9))+IF($G$53=2,IF(Alpha!$D$9="",'Unit Costs'!$C$89,Alpha!$D$9*'Unit Costs'!$C$89),IF($G$53=3,'Unit Costs'!$C$90+IF(Alpha!$D$9&gt;1,Alpha!$D$9-1,0)))</f>
        <v>241</v>
      </c>
      <c r="G80" s="1013">
        <f>MAX(0,(IF(Alpha!$F$8="",((IF($G$55=1,'Unit Costs'!G79,'Unit Costs'!G79/2)*$G$51)+Alpha!$D$8)-Alpha!$H$8,((IF($G$55=1,'Unit Costs'!G79,'Unit Costs'!G79/2)*$G$51)+Alpha!$D$8)*(1-Alpha!$F$8)))*IF(Alpha!$D$9="",1,Alpha!$D$9))+IF($G$53=2,IF(Alpha!$D$9="",'Unit Costs'!$C$89,Alpha!$D$9*'Unit Costs'!$C$89),IF($G$53=3,'Unit Costs'!$C$90+IF(Alpha!$D$9&gt;1,Alpha!$D$9-1,0)))</f>
        <v>241</v>
      </c>
      <c r="H80" s="272" t="s">
        <v>49</v>
      </c>
      <c r="I80" s="687">
        <f>MAX(0,(IF(Alpha!$F$8="",((IF($G$55=1,'Unit Costs'!I79,'Unit Costs'!I79/2)*$G$51)+Alpha!$D$8)-Alpha!$H$8,((IF($G$55=1,'Unit Costs'!I79,'Unit Costs'!I79/2)*$G$51)+Alpha!$D$8)*(1-Alpha!$F$8)))*IF(Alpha!$D$9="",1,Alpha!$D$9))+IF($G$53=2,IF(Alpha!$D$9="",'Unit Costs'!$C$89,Alpha!$D$9*'Unit Costs'!$C$89),IF($G$53=3,'Unit Costs'!$C$90+IF(Alpha!$D$9&gt;1,Alpha!$D$9-1,0)))</f>
        <v>461</v>
      </c>
      <c r="J80" s="687">
        <f>MAX(0,(IF(Alpha!$F$8="",((IF($G$55=1,'Unit Costs'!J79,'Unit Costs'!J79/2)*$G$51)+Alpha!$D$8)-Alpha!$H$8,((IF($G$55=1,'Unit Costs'!J79,'Unit Costs'!J79/2)*$G$51)+Alpha!$D$8)*(1-Alpha!$F$8)))*IF(Alpha!$D$9="",1,Alpha!$D$9))+IF($G$53=2,IF(Alpha!$D$9="",'Unit Costs'!$C$89,Alpha!$D$9*'Unit Costs'!$C$89),IF($G$53=3,'Unit Costs'!$C$90+IF(Alpha!$D$9&gt;1,Alpha!$D$9-1,0)))</f>
        <v>501</v>
      </c>
      <c r="K80" s="687">
        <f>MAX(0,(IF(Alpha!$F$8="",((IF($G$55=1,'Unit Costs'!K79,'Unit Costs'!K79/2)*$G$51)+Alpha!$D$8)-Alpha!$H$8,((IF($G$55=1,'Unit Costs'!K79,'Unit Costs'!K79/2)*$G$51)+Alpha!$D$8)*(1-Alpha!$F$8)))*IF(Alpha!$D$9="",1,Alpha!$D$9))+IF($G$53=2,IF(Alpha!$D$9="",'Unit Costs'!$C$89,Alpha!$D$9*'Unit Costs'!$C$89),IF($G$53=3,'Unit Costs'!$C$90+IF(Alpha!$D$9&gt;1,Alpha!$D$9-1,0)))</f>
        <v>611</v>
      </c>
      <c r="L80" s="687">
        <f>MAX(0,(IF(Alpha!$F$8="",((IF($G$55=1,'Unit Costs'!L79,'Unit Costs'!L79/2)*$G$51)+Alpha!$D$8)-Alpha!$H$8,((IF($G$55=1,'Unit Costs'!L79,'Unit Costs'!L79/2)*$G$51)+Alpha!$D$8)*(1-Alpha!$F$8)))*IF(Alpha!$D$9="",1,Alpha!$D$9))+IF($G$53=2,IF(Alpha!$D$9="",'Unit Costs'!$C$89,Alpha!$D$9*'Unit Costs'!$C$89),IF($G$53=3,'Unit Costs'!$C$90+IF(Alpha!$D$9&gt;1,Alpha!$D$9-1,0)))</f>
        <v>535</v>
      </c>
      <c r="M80" s="671">
        <f>MAX(0,(IF(Alpha!$F$8="",((IF($G$55=1,'Unit Costs'!M79,'Unit Costs'!M79/2)*$G$51)+Alpha!$D$8)-Alpha!$H$8,((IF($G$55=1,'Unit Costs'!M79,'Unit Costs'!M79/2)*$G$51)+Alpha!$D$8)*(1-Alpha!$F$8)))*IF(Alpha!$D$9="",1,Alpha!$D$9))+IF($G$53=2,IF(Alpha!$D$9="",'Unit Costs'!$C$89,Alpha!$D$9*'Unit Costs'!$C$89),IF($G$53=3,'Unit Costs'!$C$90+IF(Alpha!$D$9&gt;1,Alpha!$D$9-1,0)))</f>
        <v>535</v>
      </c>
      <c r="N80" s="671"/>
      <c r="O80" s="671"/>
      <c r="P80" s="458"/>
      <c r="Q80" s="28"/>
      <c r="R80" s="28"/>
      <c r="S80" s="28"/>
      <c r="T80" s="28"/>
    </row>
    <row r="81" spans="1:20" ht="15" customHeight="1" x14ac:dyDescent="0.3">
      <c r="B81" s="228" t="s">
        <v>15</v>
      </c>
      <c r="C81" s="687">
        <f>MAX(0,(IF(Alpha!$F$8="",((IF($G$55=1,'Unit Costs'!C80,'Unit Costs'!C80/2)*$G$51)+Alpha!$D$8)-Alpha!$H$8,((IF($G$55=1,'Unit Costs'!C80,'Unit Costs'!C80/2)*$G$51)+Alpha!$D$8)*(1-Alpha!$F$8)))*IF(Alpha!$D$9="",1,Alpha!$D$9))+IF($G$53=2,IF(Alpha!$D$9="",'Unit Costs'!$C$89,Alpha!$D$9*'Unit Costs'!$C$89),IF($G$53=3,'Unit Costs'!$C$90+IF(Alpha!$D$9&gt;1,Alpha!$D$9-1,0)))</f>
        <v>219</v>
      </c>
      <c r="D81" s="687">
        <f>MAX(0,(IF(Alpha!$F$8="",((IF($G$55=1,'Unit Costs'!D80,'Unit Costs'!D80/2)*$G$51)+Alpha!$D$8)-Alpha!$H$8,((IF($G$55=1,'Unit Costs'!D80,'Unit Costs'!D80/2)*$G$51)+Alpha!$D$8)*(1-Alpha!$F$8)))*IF(Alpha!$D$9="",1,Alpha!$D$9))+IF($G$53=2,IF(Alpha!$D$9="",'Unit Costs'!$C$89,Alpha!$D$9*'Unit Costs'!$C$89),IF($G$53=3,'Unit Costs'!$C$90+IF(Alpha!$D$9&gt;1,Alpha!$D$9-1,0)))</f>
        <v>244</v>
      </c>
      <c r="E81" s="687">
        <f>MAX(0,(IF(Alpha!$F$8="",((IF($G$55=1,'Unit Costs'!E80,'Unit Costs'!E80/2)*$G$51)+Alpha!$D$8)-Alpha!$H$8,((IF($G$55=1,'Unit Costs'!E80,'Unit Costs'!E80/2)*$G$51)+Alpha!$D$8)*(1-Alpha!$F$8)))*IF(Alpha!$D$9="",1,Alpha!$D$9))+IF($G$53=2,IF(Alpha!$D$9="",'Unit Costs'!$C$89,Alpha!$D$9*'Unit Costs'!$C$89),IF($G$53=3,'Unit Costs'!$C$90+IF(Alpha!$D$9&gt;1,Alpha!$D$9-1,0)))</f>
        <v>296</v>
      </c>
      <c r="F81" s="687">
        <f>MAX(0,(IF(Alpha!$F$8="",((IF($G$55=1,'Unit Costs'!F80,'Unit Costs'!F80/2)*$G$51)+Alpha!$D$8)-Alpha!$H$8,((IF($G$55=1,'Unit Costs'!F80,'Unit Costs'!F80/2)*$G$51)+Alpha!$D$8)*(1-Alpha!$F$8)))*IF(Alpha!$D$9="",1,Alpha!$D$9))+IF($G$53=2,IF(Alpha!$D$9="",'Unit Costs'!$C$89,Alpha!$D$9*'Unit Costs'!$C$89),IF($G$53=3,'Unit Costs'!$C$90+IF(Alpha!$D$9&gt;1,Alpha!$D$9-1,0)))</f>
        <v>250</v>
      </c>
      <c r="G81" s="1013">
        <f>MAX(0,(IF(Alpha!$F$8="",((IF($G$55=1,'Unit Costs'!G80,'Unit Costs'!G80/2)*$G$51)+Alpha!$D$8)-Alpha!$H$8,((IF($G$55=1,'Unit Costs'!G80,'Unit Costs'!G80/2)*$G$51)+Alpha!$D$8)*(1-Alpha!$F$8)))*IF(Alpha!$D$9="",1,Alpha!$D$9))+IF($G$53=2,IF(Alpha!$D$9="",'Unit Costs'!$C$89,Alpha!$D$9*'Unit Costs'!$C$89),IF($G$53=3,'Unit Costs'!$C$90+IF(Alpha!$D$9&gt;1,Alpha!$D$9-1,0)))</f>
        <v>250</v>
      </c>
      <c r="H81" s="272" t="s">
        <v>52</v>
      </c>
      <c r="I81" s="687">
        <f>MAX(0,(IF(Alpha!$F$8="",((IF($G$55=1,'Unit Costs'!I80,'Unit Costs'!I80/2)*$G$51)+Alpha!$D$8)-Alpha!$H$8,((IF($G$55=1,'Unit Costs'!I80,'Unit Costs'!I80/2)*$G$51)+Alpha!$D$8)*(1-Alpha!$F$8)))*IF(Alpha!$D$9="",1,Alpha!$D$9))+IF($G$53=2,IF(Alpha!$D$9="",'Unit Costs'!$C$89,Alpha!$D$9*'Unit Costs'!$C$89),IF($G$53=3,'Unit Costs'!$C$90+IF(Alpha!$D$9&gt;1,Alpha!$D$9-1,0)))</f>
        <v>469</v>
      </c>
      <c r="J81" s="687">
        <f>MAX(0,(IF(Alpha!$F$8="",((IF($G$55=1,'Unit Costs'!J80,'Unit Costs'!J80/2)*$G$51)+Alpha!$D$8)-Alpha!$H$8,((IF($G$55=1,'Unit Costs'!J80,'Unit Costs'!J80/2)*$G$51)+Alpha!$D$8)*(1-Alpha!$F$8)))*IF(Alpha!$D$9="",1,Alpha!$D$9))+IF($G$53=2,IF(Alpha!$D$9="",'Unit Costs'!$C$89,Alpha!$D$9*'Unit Costs'!$C$89),IF($G$53=3,'Unit Costs'!$C$90+IF(Alpha!$D$9&gt;1,Alpha!$D$9-1,0)))</f>
        <v>510</v>
      </c>
      <c r="K81" s="687">
        <f>MAX(0,(IF(Alpha!$F$8="",((IF($G$55=1,'Unit Costs'!K80,'Unit Costs'!K80/2)*$G$51)+Alpha!$D$8)-Alpha!$H$8,((IF($G$55=1,'Unit Costs'!K80,'Unit Costs'!K80/2)*$G$51)+Alpha!$D$8)*(1-Alpha!$F$8)))*IF(Alpha!$D$9="",1,Alpha!$D$9))+IF($G$53=2,IF(Alpha!$D$9="",'Unit Costs'!$C$89,Alpha!$D$9*'Unit Costs'!$C$89),IF($G$53=3,'Unit Costs'!$C$90+IF(Alpha!$D$9&gt;1,Alpha!$D$9-1,0)))</f>
        <v>622</v>
      </c>
      <c r="L81" s="687">
        <f>MAX(0,(IF(Alpha!$F$8="",((IF($G$55=1,'Unit Costs'!L80,'Unit Costs'!L80/2)*$G$51)+Alpha!$D$8)-Alpha!$H$8,((IF($G$55=1,'Unit Costs'!L80,'Unit Costs'!L80/2)*$G$51)+Alpha!$D$8)*(1-Alpha!$F$8)))*IF(Alpha!$D$9="",1,Alpha!$D$9))+IF($G$53=2,IF(Alpha!$D$9="",'Unit Costs'!$C$89,Alpha!$D$9*'Unit Costs'!$C$89),IF($G$53=3,'Unit Costs'!$C$90+IF(Alpha!$D$9&gt;1,Alpha!$D$9-1,0)))</f>
        <v>546</v>
      </c>
      <c r="M81" s="671">
        <f>MAX(0,(IF(Alpha!$F$8="",((IF($G$55=1,'Unit Costs'!M80,'Unit Costs'!M80/2)*$G$51)+Alpha!$D$8)-Alpha!$H$8,((IF($G$55=1,'Unit Costs'!M80,'Unit Costs'!M80/2)*$G$51)+Alpha!$D$8)*(1-Alpha!$F$8)))*IF(Alpha!$D$9="",1,Alpha!$D$9))+IF($G$53=2,IF(Alpha!$D$9="",'Unit Costs'!$C$89,Alpha!$D$9*'Unit Costs'!$C$89),IF($G$53=3,'Unit Costs'!$C$90+IF(Alpha!$D$9&gt;1,Alpha!$D$9-1,0)))</f>
        <v>546</v>
      </c>
      <c r="N81" s="671"/>
      <c r="O81" s="671"/>
      <c r="P81" s="458"/>
      <c r="Q81" s="28"/>
      <c r="R81" s="28"/>
      <c r="S81" s="28"/>
      <c r="T81" s="28"/>
    </row>
    <row r="82" spans="1:20" ht="15" customHeight="1" x14ac:dyDescent="0.3">
      <c r="B82" s="228" t="s">
        <v>19</v>
      </c>
      <c r="C82" s="687">
        <f>MAX(0,(IF(Alpha!$F$8="",((IF($G$55=1,'Unit Costs'!C81,'Unit Costs'!C81/2)*$G$51)+Alpha!$D$8)-Alpha!$H$8,((IF($G$55=1,'Unit Costs'!C81,'Unit Costs'!C81/2)*$G$51)+Alpha!$D$8)*(1-Alpha!$F$8)))*IF(Alpha!$D$9="",1,Alpha!$D$9))+IF($G$53=2,IF(Alpha!$D$9="",'Unit Costs'!$C$89,Alpha!$D$9*'Unit Costs'!$C$89),IF($G$53=3,'Unit Costs'!$C$90+IF(Alpha!$D$9&gt;1,Alpha!$D$9-1,0)))</f>
        <v>227</v>
      </c>
      <c r="D82" s="687">
        <f>MAX(0,(IF(Alpha!$F$8="",((IF($G$55=1,'Unit Costs'!D81,'Unit Costs'!D81/2)*$G$51)+Alpha!$D$8)-Alpha!$H$8,((IF($G$55=1,'Unit Costs'!D81,'Unit Costs'!D81/2)*$G$51)+Alpha!$D$8)*(1-Alpha!$F$8)))*IF(Alpha!$D$9="",1,Alpha!$D$9))+IF($G$53=2,IF(Alpha!$D$9="",'Unit Costs'!$C$89,Alpha!$D$9*'Unit Costs'!$C$89),IF($G$53=3,'Unit Costs'!$C$90+IF(Alpha!$D$9&gt;1,Alpha!$D$9-1,0)))</f>
        <v>252</v>
      </c>
      <c r="E82" s="687">
        <f>MAX(0,(IF(Alpha!$F$8="",((IF($G$55=1,'Unit Costs'!E81,'Unit Costs'!E81/2)*$G$51)+Alpha!$D$8)-Alpha!$H$8,((IF($G$55=1,'Unit Costs'!E81,'Unit Costs'!E81/2)*$G$51)+Alpha!$D$8)*(1-Alpha!$F$8)))*IF(Alpha!$D$9="",1,Alpha!$D$9))+IF($G$53=2,IF(Alpha!$D$9="",'Unit Costs'!$C$89,Alpha!$D$9*'Unit Costs'!$C$89),IF($G$53=3,'Unit Costs'!$C$90+IF(Alpha!$D$9&gt;1,Alpha!$D$9-1,0)))</f>
        <v>306</v>
      </c>
      <c r="F82" s="687">
        <f>MAX(0,(IF(Alpha!$F$8="",((IF($G$55=1,'Unit Costs'!F81,'Unit Costs'!F81/2)*$G$51)+Alpha!$D$8)-Alpha!$H$8,((IF($G$55=1,'Unit Costs'!F81,'Unit Costs'!F81/2)*$G$51)+Alpha!$D$8)*(1-Alpha!$F$8)))*IF(Alpha!$D$9="",1,Alpha!$D$9))+IF($G$53=2,IF(Alpha!$D$9="",'Unit Costs'!$C$89,Alpha!$D$9*'Unit Costs'!$C$89),IF($G$53=3,'Unit Costs'!$C$90+IF(Alpha!$D$9&gt;1,Alpha!$D$9-1,0)))</f>
        <v>258</v>
      </c>
      <c r="G82" s="1013">
        <f>MAX(0,(IF(Alpha!$F$8="",((IF($G$55=1,'Unit Costs'!G81,'Unit Costs'!G81/2)*$G$51)+Alpha!$D$8)-Alpha!$H$8,((IF($G$55=1,'Unit Costs'!G81,'Unit Costs'!G81/2)*$G$51)+Alpha!$D$8)*(1-Alpha!$F$8)))*IF(Alpha!$D$9="",1,Alpha!$D$9))+IF($G$53=2,IF(Alpha!$D$9="",'Unit Costs'!$C$89,Alpha!$D$9*'Unit Costs'!$C$89),IF($G$53=3,'Unit Costs'!$C$90+IF(Alpha!$D$9&gt;1,Alpha!$D$9-1,0)))</f>
        <v>258</v>
      </c>
      <c r="H82" s="272" t="s">
        <v>55</v>
      </c>
      <c r="I82" s="687">
        <f>MAX(0,(IF(Alpha!$F$8="",((IF($G$55=1,'Unit Costs'!I81,'Unit Costs'!I81/2)*$G$51)+Alpha!$D$8)-Alpha!$H$8,((IF($G$55=1,'Unit Costs'!I81,'Unit Costs'!I81/2)*$G$51)+Alpha!$D$8)*(1-Alpha!$F$8)))*IF(Alpha!$D$9="",1,Alpha!$D$9))+IF($G$53=2,IF(Alpha!$D$9="",'Unit Costs'!$C$89,Alpha!$D$9*'Unit Costs'!$C$89),IF($G$53=3,'Unit Costs'!$C$90+IF(Alpha!$D$9&gt;1,Alpha!$D$9-1,0)))</f>
        <v>477</v>
      </c>
      <c r="J82" s="687">
        <f>MAX(0,(IF(Alpha!$F$8="",((IF($G$55=1,'Unit Costs'!J81,'Unit Costs'!J81/2)*$G$51)+Alpha!$D$8)-Alpha!$H$8,((IF($G$55=1,'Unit Costs'!J81,'Unit Costs'!J81/2)*$G$51)+Alpha!$D$8)*(1-Alpha!$F$8)))*IF(Alpha!$D$9="",1,Alpha!$D$9))+IF($G$53=2,IF(Alpha!$D$9="",'Unit Costs'!$C$89,Alpha!$D$9*'Unit Costs'!$C$89),IF($G$53=3,'Unit Costs'!$C$90+IF(Alpha!$D$9&gt;1,Alpha!$D$9-1,0)))</f>
        <v>520</v>
      </c>
      <c r="K82" s="687">
        <f>MAX(0,(IF(Alpha!$F$8="",((IF($G$55=1,'Unit Costs'!K81,'Unit Costs'!K81/2)*$G$51)+Alpha!$D$8)-Alpha!$H$8,((IF($G$55=1,'Unit Costs'!K81,'Unit Costs'!K81/2)*$G$51)+Alpha!$D$8)*(1-Alpha!$F$8)))*IF(Alpha!$D$9="",1,Alpha!$D$9))+IF($G$53=2,IF(Alpha!$D$9="",'Unit Costs'!$C$89,Alpha!$D$9*'Unit Costs'!$C$89),IF($G$53=3,'Unit Costs'!$C$90+IF(Alpha!$D$9&gt;1,Alpha!$D$9-1,0)))</f>
        <v>633</v>
      </c>
      <c r="L82" s="687">
        <f>MAX(0,(IF(Alpha!$F$8="",((IF($G$55=1,'Unit Costs'!L81,'Unit Costs'!L81/2)*$G$51)+Alpha!$D$8)-Alpha!$H$8,((IF($G$55=1,'Unit Costs'!L81,'Unit Costs'!L81/2)*$G$51)+Alpha!$D$8)*(1-Alpha!$F$8)))*IF(Alpha!$D$9="",1,Alpha!$D$9))+IF($G$53=2,IF(Alpha!$D$9="",'Unit Costs'!$C$89,Alpha!$D$9*'Unit Costs'!$C$89),IF($G$53=3,'Unit Costs'!$C$90+IF(Alpha!$D$9&gt;1,Alpha!$D$9-1,0)))</f>
        <v>557</v>
      </c>
      <c r="M82" s="671">
        <f>MAX(0,(IF(Alpha!$F$8="",((IF($G$55=1,'Unit Costs'!M81,'Unit Costs'!M81/2)*$G$51)+Alpha!$D$8)-Alpha!$H$8,((IF($G$55=1,'Unit Costs'!M81,'Unit Costs'!M81/2)*$G$51)+Alpha!$D$8)*(1-Alpha!$F$8)))*IF(Alpha!$D$9="",1,Alpha!$D$9))+IF($G$53=2,IF(Alpha!$D$9="",'Unit Costs'!$C$89,Alpha!$D$9*'Unit Costs'!$C$89),IF($G$53=3,'Unit Costs'!$C$90+IF(Alpha!$D$9&gt;1,Alpha!$D$9-1,0)))</f>
        <v>557</v>
      </c>
      <c r="N82" s="671"/>
      <c r="O82" s="671"/>
      <c r="P82" s="458"/>
      <c r="Q82" s="28"/>
      <c r="R82" s="28"/>
      <c r="S82" s="28"/>
      <c r="T82" s="28"/>
    </row>
    <row r="83" spans="1:20" ht="15" customHeight="1" x14ac:dyDescent="0.3">
      <c r="B83" s="228" t="s">
        <v>23</v>
      </c>
      <c r="C83" s="687">
        <f>MAX(0,(IF(Alpha!$F$8="",((IF($G$55=1,'Unit Costs'!C82,'Unit Costs'!C82/2)*$G$51)+Alpha!$D$8)-Alpha!$H$8,((IF($G$55=1,'Unit Costs'!C82,'Unit Costs'!C82/2)*$G$51)+Alpha!$D$8)*(1-Alpha!$F$8)))*IF(Alpha!$D$9="",1,Alpha!$D$9))+IF($G$53=2,IF(Alpha!$D$9="",'Unit Costs'!$C$89,Alpha!$D$9*'Unit Costs'!$C$89),IF($G$53=3,'Unit Costs'!$C$90+IF(Alpha!$D$9&gt;1,Alpha!$D$9-1,0)))</f>
        <v>236</v>
      </c>
      <c r="D83" s="687">
        <f>MAX(0,(IF(Alpha!$F$8="",((IF($G$55=1,'Unit Costs'!D82,'Unit Costs'!D82/2)*$G$51)+Alpha!$D$8)-Alpha!$H$8,((IF($G$55=1,'Unit Costs'!D82,'Unit Costs'!D82/2)*$G$51)+Alpha!$D$8)*(1-Alpha!$F$8)))*IF(Alpha!$D$9="",1,Alpha!$D$9))+IF($G$53=2,IF(Alpha!$D$9="",'Unit Costs'!$C$89,Alpha!$D$9*'Unit Costs'!$C$89),IF($G$53=3,'Unit Costs'!$C$90+IF(Alpha!$D$9&gt;1,Alpha!$D$9-1,0)))</f>
        <v>262</v>
      </c>
      <c r="E83" s="687">
        <f>MAX(0,(IF(Alpha!$F$8="",((IF($G$55=1,'Unit Costs'!E82,'Unit Costs'!E82/2)*$G$51)+Alpha!$D$8)-Alpha!$H$8,((IF($G$55=1,'Unit Costs'!E82,'Unit Costs'!E82/2)*$G$51)+Alpha!$D$8)*(1-Alpha!$F$8)))*IF(Alpha!$D$9="",1,Alpha!$D$9))+IF($G$53=2,IF(Alpha!$D$9="",'Unit Costs'!$C$89,Alpha!$D$9*'Unit Costs'!$C$89),IF($G$53=3,'Unit Costs'!$C$90+IF(Alpha!$D$9&gt;1,Alpha!$D$9-1,0)))</f>
        <v>320</v>
      </c>
      <c r="F83" s="687">
        <f>MAX(0,(IF(Alpha!$F$8="",((IF($G$55=1,'Unit Costs'!F82,'Unit Costs'!F82/2)*$G$51)+Alpha!$D$8)-Alpha!$H$8,((IF($G$55=1,'Unit Costs'!F82,'Unit Costs'!F82/2)*$G$51)+Alpha!$D$8)*(1-Alpha!$F$8)))*IF(Alpha!$D$9="",1,Alpha!$D$9))+IF($G$53=2,IF(Alpha!$D$9="",'Unit Costs'!$C$89,Alpha!$D$9*'Unit Costs'!$C$89),IF($G$53=3,'Unit Costs'!$C$90+IF(Alpha!$D$9&gt;1,Alpha!$D$9-1,0)))</f>
        <v>269</v>
      </c>
      <c r="G83" s="1013">
        <f>MAX(0,(IF(Alpha!$F$8="",((IF($G$55=1,'Unit Costs'!G82,'Unit Costs'!G82/2)*$G$51)+Alpha!$D$8)-Alpha!$H$8,((IF($G$55=1,'Unit Costs'!G82,'Unit Costs'!G82/2)*$G$51)+Alpha!$D$8)*(1-Alpha!$F$8)))*IF(Alpha!$D$9="",1,Alpha!$D$9))+IF($G$53=2,IF(Alpha!$D$9="",'Unit Costs'!$C$89,Alpha!$D$9*'Unit Costs'!$C$89),IF($G$53=3,'Unit Costs'!$C$90+IF(Alpha!$D$9&gt;1,Alpha!$D$9-1,0)))</f>
        <v>269</v>
      </c>
      <c r="H83" s="272" t="s">
        <v>58</v>
      </c>
      <c r="I83" s="687">
        <f>MAX(0,(IF(Alpha!$F$8="",((IF($G$55=1,'Unit Costs'!I82,'Unit Costs'!I82/2)*$G$51)+Alpha!$D$8)-Alpha!$H$8,((IF($G$55=1,'Unit Costs'!I82,'Unit Costs'!I82/2)*$G$51)+Alpha!$D$8)*(1-Alpha!$F$8)))*IF(Alpha!$D$9="",1,Alpha!$D$9))+IF($G$53=2,IF(Alpha!$D$9="",'Unit Costs'!$C$89,Alpha!$D$9*'Unit Costs'!$C$89),IF($G$53=3,'Unit Costs'!$C$90+IF(Alpha!$D$9&gt;1,Alpha!$D$9-1,0)))</f>
        <v>482</v>
      </c>
      <c r="J83" s="687">
        <f>MAX(0,(IF(Alpha!$F$8="",((IF($G$55=1,'Unit Costs'!J82,'Unit Costs'!J82/2)*$G$51)+Alpha!$D$8)-Alpha!$H$8,((IF($G$55=1,'Unit Costs'!J82,'Unit Costs'!J82/2)*$G$51)+Alpha!$D$8)*(1-Alpha!$F$8)))*IF(Alpha!$D$9="",1,Alpha!$D$9))+IF($G$53=2,IF(Alpha!$D$9="",'Unit Costs'!$C$89,Alpha!$D$9*'Unit Costs'!$C$89),IF($G$53=3,'Unit Costs'!$C$90+IF(Alpha!$D$9&gt;1,Alpha!$D$9-1,0)))</f>
        <v>528</v>
      </c>
      <c r="K83" s="687">
        <f>MAX(0,(IF(Alpha!$F$8="",((IF($G$55=1,'Unit Costs'!K82,'Unit Costs'!K82/2)*$G$51)+Alpha!$D$8)-Alpha!$H$8,((IF($G$55=1,'Unit Costs'!K82,'Unit Costs'!K82/2)*$G$51)+Alpha!$D$8)*(1-Alpha!$F$8)))*IF(Alpha!$D$9="",1,Alpha!$D$9))+IF($G$53=2,IF(Alpha!$D$9="",'Unit Costs'!$C$89,Alpha!$D$9*'Unit Costs'!$C$89),IF($G$53=3,'Unit Costs'!$C$90+IF(Alpha!$D$9&gt;1,Alpha!$D$9-1,0)))</f>
        <v>644</v>
      </c>
      <c r="L83" s="687">
        <f>MAX(0,(IF(Alpha!$F$8="",((IF($G$55=1,'Unit Costs'!L82,'Unit Costs'!L82/2)*$G$51)+Alpha!$D$8)-Alpha!$H$8,((IF($G$55=1,'Unit Costs'!L82,'Unit Costs'!L82/2)*$G$51)+Alpha!$D$8)*(1-Alpha!$F$8)))*IF(Alpha!$D$9="",1,Alpha!$D$9))+IF($G$53=2,IF(Alpha!$D$9="",'Unit Costs'!$C$89,Alpha!$D$9*'Unit Costs'!$C$89),IF($G$53=3,'Unit Costs'!$C$90+IF(Alpha!$D$9&gt;1,Alpha!$D$9-1,0)))</f>
        <v>568</v>
      </c>
      <c r="M83" s="671">
        <f>MAX(0,(IF(Alpha!$F$8="",((IF($G$55=1,'Unit Costs'!M82,'Unit Costs'!M82/2)*$G$51)+Alpha!$D$8)-Alpha!$H$8,((IF($G$55=1,'Unit Costs'!M82,'Unit Costs'!M82/2)*$G$51)+Alpha!$D$8)*(1-Alpha!$F$8)))*IF(Alpha!$D$9="",1,Alpha!$D$9))+IF($G$53=2,IF(Alpha!$D$9="",'Unit Costs'!$C$89,Alpha!$D$9*'Unit Costs'!$C$89),IF($G$53=3,'Unit Costs'!$C$90+IF(Alpha!$D$9&gt;1,Alpha!$D$9-1,0)))</f>
        <v>568</v>
      </c>
      <c r="N83" s="671"/>
      <c r="O83" s="671"/>
      <c r="P83" s="458"/>
      <c r="Q83" s="28"/>
      <c r="R83" s="28"/>
      <c r="S83" s="28"/>
      <c r="T83" s="28"/>
    </row>
    <row r="84" spans="1:20" ht="15" customHeight="1" x14ac:dyDescent="0.3">
      <c r="B84" s="228" t="s">
        <v>28</v>
      </c>
      <c r="C84" s="687">
        <f>MAX(0,(IF(Alpha!$F$8="",((IF($G$55=1,'Unit Costs'!C83,'Unit Costs'!C83/2)*$G$51)+Alpha!$D$8)-Alpha!$H$8,((IF($G$55=1,'Unit Costs'!C83,'Unit Costs'!C83/2)*$G$51)+Alpha!$D$8)*(1-Alpha!$F$8)))*IF(Alpha!$D$9="",1,Alpha!$D$9))+IF($G$53=2,IF(Alpha!$D$9="",'Unit Costs'!$C$89,Alpha!$D$9*'Unit Costs'!$C$89),IF($G$53=3,'Unit Costs'!$C$90+IF(Alpha!$D$9&gt;1,Alpha!$D$9-1,0)))</f>
        <v>244</v>
      </c>
      <c r="D84" s="687">
        <f>MAX(0,(IF(Alpha!$F$8="",((IF($G$55=1,'Unit Costs'!D83,'Unit Costs'!D83/2)*$G$51)+Alpha!$D$8)-Alpha!$H$8,((IF($G$55=1,'Unit Costs'!D83,'Unit Costs'!D83/2)*$G$51)+Alpha!$D$8)*(1-Alpha!$F$8)))*IF(Alpha!$D$9="",1,Alpha!$D$9))+IF($G$53=2,IF(Alpha!$D$9="",'Unit Costs'!$C$89,Alpha!$D$9*'Unit Costs'!$C$89),IF($G$53=3,'Unit Costs'!$C$90+IF(Alpha!$D$9&gt;1,Alpha!$D$9-1,0)))</f>
        <v>272</v>
      </c>
      <c r="E84" s="687">
        <f>MAX(0,(IF(Alpha!$F$8="",((IF($G$55=1,'Unit Costs'!E83,'Unit Costs'!E83/2)*$G$51)+Alpha!$D$8)-Alpha!$H$8,((IF($G$55=1,'Unit Costs'!E83,'Unit Costs'!E83/2)*$G$51)+Alpha!$D$8)*(1-Alpha!$F$8)))*IF(Alpha!$D$9="",1,Alpha!$D$9))+IF($G$53=2,IF(Alpha!$D$9="",'Unit Costs'!$C$89,Alpha!$D$9*'Unit Costs'!$C$89),IF($G$53=3,'Unit Costs'!$C$90+IF(Alpha!$D$9&gt;1,Alpha!$D$9-1,0)))</f>
        <v>331</v>
      </c>
      <c r="F84" s="687">
        <f>MAX(0,(IF(Alpha!$F$8="",((IF($G$55=1,'Unit Costs'!F83,'Unit Costs'!F83/2)*$G$51)+Alpha!$D$8)-Alpha!$H$8,((IF($G$55=1,'Unit Costs'!F83,'Unit Costs'!F83/2)*$G$51)+Alpha!$D$8)*(1-Alpha!$F$8)))*IF(Alpha!$D$9="",1,Alpha!$D$9))+IF($G$53=2,IF(Alpha!$D$9="",'Unit Costs'!$C$89,Alpha!$D$9*'Unit Costs'!$C$89),IF($G$53=3,'Unit Costs'!$C$90+IF(Alpha!$D$9&gt;1,Alpha!$D$9-1,0)))</f>
        <v>279</v>
      </c>
      <c r="G84" s="1013">
        <f>MAX(0,(IF(Alpha!$F$8="",((IF($G$55=1,'Unit Costs'!G83,'Unit Costs'!G83/2)*$G$51)+Alpha!$D$8)-Alpha!$H$8,((IF($G$55=1,'Unit Costs'!G83,'Unit Costs'!G83/2)*$G$51)+Alpha!$D$8)*(1-Alpha!$F$8)))*IF(Alpha!$D$9="",1,Alpha!$D$9))+IF($G$53=2,IF(Alpha!$D$9="",'Unit Costs'!$C$89,Alpha!$D$9*'Unit Costs'!$C$89),IF($G$53=3,'Unit Costs'!$C$90+IF(Alpha!$D$9&gt;1,Alpha!$D$9-1,0)))</f>
        <v>279</v>
      </c>
      <c r="H84" s="272" t="s">
        <v>61</v>
      </c>
      <c r="I84" s="687">
        <f>MAX(0,(IF(Alpha!$F$8="",((IF($G$55=1,'Unit Costs'!I83,'Unit Costs'!I83/2)*$G$51)+Alpha!$D$8)-Alpha!$H$8,((IF($G$55=1,'Unit Costs'!I83,'Unit Costs'!I83/2)*$G$51)+Alpha!$D$8)*(1-Alpha!$F$8)))*IF(Alpha!$D$9="",1,Alpha!$D$9))+IF($G$53=2,IF(Alpha!$D$9="",'Unit Costs'!$C$89,Alpha!$D$9*'Unit Costs'!$C$89),IF($G$53=3,'Unit Costs'!$C$90+IF(Alpha!$D$9&gt;1,Alpha!$D$9-1,0)))</f>
        <v>490</v>
      </c>
      <c r="J84" s="687">
        <f>MAX(0,(IF(Alpha!$F$8="",((IF($G$55=1,'Unit Costs'!J83,'Unit Costs'!J83/2)*$G$51)+Alpha!$D$8)-Alpha!$H$8,((IF($G$55=1,'Unit Costs'!J83,'Unit Costs'!J83/2)*$G$51)+Alpha!$D$8)*(1-Alpha!$F$8)))*IF(Alpha!$D$9="",1,Alpha!$D$9))+IF($G$53=2,IF(Alpha!$D$9="",'Unit Costs'!$C$89,Alpha!$D$9*'Unit Costs'!$C$89),IF($G$53=3,'Unit Costs'!$C$90+IF(Alpha!$D$9&gt;1,Alpha!$D$9-1,0)))</f>
        <v>537</v>
      </c>
      <c r="K84" s="687">
        <f>MAX(0,(IF(Alpha!$F$8="",((IF($G$55=1,'Unit Costs'!K83,'Unit Costs'!K83/2)*$G$51)+Alpha!$D$8)-Alpha!$H$8,((IF($G$55=1,'Unit Costs'!K83,'Unit Costs'!K83/2)*$G$51)+Alpha!$D$8)*(1-Alpha!$F$8)))*IF(Alpha!$D$9="",1,Alpha!$D$9))+IF($G$53=2,IF(Alpha!$D$9="",'Unit Costs'!$C$89,Alpha!$D$9*'Unit Costs'!$C$89),IF($G$53=3,'Unit Costs'!$C$90+IF(Alpha!$D$9&gt;1,Alpha!$D$9-1,0)))</f>
        <v>655</v>
      </c>
      <c r="L84" s="687">
        <f>MAX(0,(IF(Alpha!$F$8="",((IF($G$55=1,'Unit Costs'!L83,'Unit Costs'!L83/2)*$G$51)+Alpha!$D$8)-Alpha!$H$8,((IF($G$55=1,'Unit Costs'!L83,'Unit Costs'!L83/2)*$G$51)+Alpha!$D$8)*(1-Alpha!$F$8)))*IF(Alpha!$D$9="",1,Alpha!$D$9))+IF($G$53=2,IF(Alpha!$D$9="",'Unit Costs'!$C$89,Alpha!$D$9*'Unit Costs'!$C$89),IF($G$53=3,'Unit Costs'!$C$90+IF(Alpha!$D$9&gt;1,Alpha!$D$9-1,0)))</f>
        <v>579</v>
      </c>
      <c r="M84" s="671">
        <f>MAX(0,(IF(Alpha!$F$8="",((IF($G$55=1,'Unit Costs'!M83,'Unit Costs'!M83/2)*$G$51)+Alpha!$D$8)-Alpha!$H$8,((IF($G$55=1,'Unit Costs'!M83,'Unit Costs'!M83/2)*$G$51)+Alpha!$D$8)*(1-Alpha!$F$8)))*IF(Alpha!$D$9="",1,Alpha!$D$9))+IF($G$53=2,IF(Alpha!$D$9="",'Unit Costs'!$C$89,Alpha!$D$9*'Unit Costs'!$C$89),IF($G$53=3,'Unit Costs'!$C$90+IF(Alpha!$D$9&gt;1,Alpha!$D$9-1,0)))</f>
        <v>579</v>
      </c>
      <c r="N84" s="671"/>
      <c r="O84" s="671"/>
      <c r="P84" s="458"/>
      <c r="Q84" s="28"/>
      <c r="R84" s="28"/>
      <c r="S84" s="28"/>
      <c r="T84" s="28"/>
    </row>
    <row r="85" spans="1:20" ht="15" customHeight="1" x14ac:dyDescent="0.3">
      <c r="B85" s="228" t="s">
        <v>32</v>
      </c>
      <c r="C85" s="687">
        <f>MAX(0,(IF(Alpha!$F$8="",((IF($G$55=1,'Unit Costs'!C84,'Unit Costs'!C84/2)*$G$51)+Alpha!$D$8)-Alpha!$H$8,((IF($G$55=1,'Unit Costs'!C84,'Unit Costs'!C84/2)*$G$51)+Alpha!$D$8)*(1-Alpha!$F$8)))*IF(Alpha!$D$9="",1,Alpha!$D$9))+IF($G$53=2,IF(Alpha!$D$9="",'Unit Costs'!$C$89,Alpha!$D$9*'Unit Costs'!$C$89),IF($G$53=3,'Unit Costs'!$C$90+IF(Alpha!$D$9&gt;1,Alpha!$D$9-1,0)))</f>
        <v>251</v>
      </c>
      <c r="D85" s="687">
        <f>MAX(0,(IF(Alpha!$F$8="",((IF($G$55=1,'Unit Costs'!D84,'Unit Costs'!D84/2)*$G$51)+Alpha!$D$8)-Alpha!$H$8,((IF($G$55=1,'Unit Costs'!D84,'Unit Costs'!D84/2)*$G$51)+Alpha!$D$8)*(1-Alpha!$F$8)))*IF(Alpha!$D$9="",1,Alpha!$D$9))+IF($G$53=2,IF(Alpha!$D$9="",'Unit Costs'!$C$89,Alpha!$D$9*'Unit Costs'!$C$89),IF($G$53=3,'Unit Costs'!$C$90+IF(Alpha!$D$9&gt;1,Alpha!$D$9-1,0)))</f>
        <v>281</v>
      </c>
      <c r="E85" s="687">
        <f>MAX(0,(IF(Alpha!$F$8="",((IF($G$55=1,'Unit Costs'!E84,'Unit Costs'!E84/2)*$G$51)+Alpha!$D$8)-Alpha!$H$8,((IF($G$55=1,'Unit Costs'!E84,'Unit Costs'!E84/2)*$G$51)+Alpha!$D$8)*(1-Alpha!$F$8)))*IF(Alpha!$D$9="",1,Alpha!$D$9))+IF($G$53=2,IF(Alpha!$D$9="",'Unit Costs'!$C$89,Alpha!$D$9*'Unit Costs'!$C$89),IF($G$53=3,'Unit Costs'!$C$90+IF(Alpha!$D$9&gt;1,Alpha!$D$9-1,0)))</f>
        <v>342</v>
      </c>
      <c r="F85" s="687">
        <f>MAX(0,(IF(Alpha!$F$8="",((IF($G$55=1,'Unit Costs'!F84,'Unit Costs'!F84/2)*$G$51)+Alpha!$D$8)-Alpha!$H$8,((IF($G$55=1,'Unit Costs'!F84,'Unit Costs'!F84/2)*$G$51)+Alpha!$D$8)*(1-Alpha!$F$8)))*IF(Alpha!$D$9="",1,Alpha!$D$9))+IF($G$53=2,IF(Alpha!$D$9="",'Unit Costs'!$C$89,Alpha!$D$9*'Unit Costs'!$C$89),IF($G$53=3,'Unit Costs'!$C$90+IF(Alpha!$D$9&gt;1,Alpha!$D$9-1,0)))</f>
        <v>288</v>
      </c>
      <c r="G85" s="1013">
        <f>MAX(0,(IF(Alpha!$F$8="",((IF($G$55=1,'Unit Costs'!G84,'Unit Costs'!G84/2)*$G$51)+Alpha!$D$8)-Alpha!$H$8,((IF($G$55=1,'Unit Costs'!G84,'Unit Costs'!G84/2)*$G$51)+Alpha!$D$8)*(1-Alpha!$F$8)))*IF(Alpha!$D$9="",1,Alpha!$D$9))+IF($G$53=2,IF(Alpha!$D$9="",'Unit Costs'!$C$89,Alpha!$D$9*'Unit Costs'!$C$89),IF($G$53=3,'Unit Costs'!$C$90+IF(Alpha!$D$9&gt;1,Alpha!$D$9-1,0)))</f>
        <v>288</v>
      </c>
      <c r="H85" s="272" t="s">
        <v>64</v>
      </c>
      <c r="I85" s="687">
        <f>MAX(0,(IF(Alpha!$F$8="",((IF($G$55=1,'Unit Costs'!I84,'Unit Costs'!I84/2)*$G$51)+Alpha!$D$8)-Alpha!$H$8,((IF($G$55=1,'Unit Costs'!I84,'Unit Costs'!I84/2)*$G$51)+Alpha!$D$8)*(1-Alpha!$F$8)))*IF(Alpha!$D$9="",1,Alpha!$D$9))+IF($G$53=2,IF(Alpha!$D$9="",'Unit Costs'!$C$89,Alpha!$D$9*'Unit Costs'!$C$89),IF($G$53=3,'Unit Costs'!$C$90+IF(Alpha!$D$9&gt;1,Alpha!$D$9-1,0)))</f>
        <v>498</v>
      </c>
      <c r="J85" s="687">
        <f>MAX(0,(IF(Alpha!$F$8="",((IF($G$55=1,'Unit Costs'!J84,'Unit Costs'!J84/2)*$G$51)+Alpha!$D$8)-Alpha!$H$8,((IF($G$55=1,'Unit Costs'!J84,'Unit Costs'!J84/2)*$G$51)+Alpha!$D$8)*(1-Alpha!$F$8)))*IF(Alpha!$D$9="",1,Alpha!$D$9))+IF($G$53=2,IF(Alpha!$D$9="",'Unit Costs'!$C$89,Alpha!$D$9*'Unit Costs'!$C$89),IF($G$53=3,'Unit Costs'!$C$90+IF(Alpha!$D$9&gt;1,Alpha!$D$9-1,0)))</f>
        <v>546</v>
      </c>
      <c r="K85" s="687">
        <f>MAX(0,(IF(Alpha!$F$8="",((IF($G$55=1,'Unit Costs'!K84,'Unit Costs'!K84/2)*$G$51)+Alpha!$D$8)-Alpha!$H$8,((IF($G$55=1,'Unit Costs'!K84,'Unit Costs'!K84/2)*$G$51)+Alpha!$D$8)*(1-Alpha!$F$8)))*IF(Alpha!$D$9="",1,Alpha!$D$9))+IF($G$53=2,IF(Alpha!$D$9="",'Unit Costs'!$C$89,Alpha!$D$9*'Unit Costs'!$C$89),IF($G$53=3,'Unit Costs'!$C$90+IF(Alpha!$D$9&gt;1,Alpha!$D$9-1,0)))</f>
        <v>666</v>
      </c>
      <c r="L85" s="687">
        <f>MAX(0,(IF(Alpha!$F$8="",((IF($G$55=1,'Unit Costs'!L84,'Unit Costs'!L84/2)*$G$51)+Alpha!$D$8)-Alpha!$H$8,((IF($G$55=1,'Unit Costs'!L84,'Unit Costs'!L84/2)*$G$51)+Alpha!$D$8)*(1-Alpha!$F$8)))*IF(Alpha!$D$9="",1,Alpha!$D$9))+IF($G$53=2,IF(Alpha!$D$9="",'Unit Costs'!$C$89,Alpha!$D$9*'Unit Costs'!$C$89),IF($G$53=3,'Unit Costs'!$C$90+IF(Alpha!$D$9&gt;1,Alpha!$D$9-1,0)))</f>
        <v>590</v>
      </c>
      <c r="M85" s="671">
        <f>MAX(0,(IF(Alpha!$F$8="",((IF($G$55=1,'Unit Costs'!M84,'Unit Costs'!M84/2)*$G$51)+Alpha!$D$8)-Alpha!$H$8,((IF($G$55=1,'Unit Costs'!M84,'Unit Costs'!M84/2)*$G$51)+Alpha!$D$8)*(1-Alpha!$F$8)))*IF(Alpha!$D$9="",1,Alpha!$D$9))+IF($G$53=2,IF(Alpha!$D$9="",'Unit Costs'!$C$89,Alpha!$D$9*'Unit Costs'!$C$89),IF($G$53=3,'Unit Costs'!$C$90+IF(Alpha!$D$9&gt;1,Alpha!$D$9-1,0)))</f>
        <v>590</v>
      </c>
      <c r="N85" s="671"/>
      <c r="O85" s="671"/>
      <c r="P85" s="458"/>
      <c r="Q85" s="28"/>
      <c r="R85" s="28"/>
      <c r="S85" s="28"/>
      <c r="T85" s="28"/>
    </row>
    <row r="86" spans="1:20" ht="15" customHeight="1" x14ac:dyDescent="0.3">
      <c r="B86" s="228" t="s">
        <v>36</v>
      </c>
      <c r="C86" s="687">
        <f>MAX(0,(IF(Alpha!$F$8="",((IF($G$55=1,'Unit Costs'!C85,'Unit Costs'!C85/2)*$G$51)+Alpha!$D$8)-Alpha!$H$8,((IF($G$55=1,'Unit Costs'!C85,'Unit Costs'!C85/2)*$G$51)+Alpha!$D$8)*(1-Alpha!$F$8)))*IF(Alpha!$D$9="",1,Alpha!$D$9))+IF($G$53=2,IF(Alpha!$D$9="",'Unit Costs'!$C$89,Alpha!$D$9*'Unit Costs'!$C$89),IF($G$53=3,'Unit Costs'!$C$90+IF(Alpha!$D$9&gt;1,Alpha!$D$9-1,0)))</f>
        <v>260</v>
      </c>
      <c r="D86" s="687">
        <f>MAX(0,(IF(Alpha!$F$8="",((IF($G$55=1,'Unit Costs'!D85,'Unit Costs'!D85/2)*$G$51)+Alpha!$D$8)-Alpha!$H$8,((IF($G$55=1,'Unit Costs'!D85,'Unit Costs'!D85/2)*$G$51)+Alpha!$D$8)*(1-Alpha!$F$8)))*IF(Alpha!$D$9="",1,Alpha!$D$9))+IF($G$53=2,IF(Alpha!$D$9="",'Unit Costs'!$C$89,Alpha!$D$9*'Unit Costs'!$C$89),IF($G$53=3,'Unit Costs'!$C$90+IF(Alpha!$D$9&gt;1,Alpha!$D$9-1,0)))</f>
        <v>291</v>
      </c>
      <c r="E86" s="687">
        <f>MAX(0,(IF(Alpha!$F$8="",((IF($G$55=1,'Unit Costs'!E85,'Unit Costs'!E85/2)*$G$51)+Alpha!$D$8)-Alpha!$H$8,((IF($G$55=1,'Unit Costs'!E85,'Unit Costs'!E85/2)*$G$51)+Alpha!$D$8)*(1-Alpha!$F$8)))*IF(Alpha!$D$9="",1,Alpha!$D$9))+IF($G$53=2,IF(Alpha!$D$9="",'Unit Costs'!$C$89,Alpha!$D$9*'Unit Costs'!$C$89),IF($G$53=3,'Unit Costs'!$C$90+IF(Alpha!$D$9&gt;1,Alpha!$D$9-1,0)))</f>
        <v>354</v>
      </c>
      <c r="F86" s="687">
        <f>MAX(0,(IF(Alpha!$F$8="",((IF($G$55=1,'Unit Costs'!F85,'Unit Costs'!F85/2)*$G$51)+Alpha!$D$8)-Alpha!$H$8,((IF($G$55=1,'Unit Costs'!F85,'Unit Costs'!F85/2)*$G$51)+Alpha!$D$8)*(1-Alpha!$F$8)))*IF(Alpha!$D$9="",1,Alpha!$D$9))+IF($G$53=2,IF(Alpha!$D$9="",'Unit Costs'!$C$89,Alpha!$D$9*'Unit Costs'!$C$89),IF($G$53=3,'Unit Costs'!$C$90+IF(Alpha!$D$9&gt;1,Alpha!$D$9-1,0)))</f>
        <v>298</v>
      </c>
      <c r="G86" s="1013">
        <f>MAX(0,(IF(Alpha!$F$8="",((IF($G$55=1,'Unit Costs'!G85,'Unit Costs'!G85/2)*$G$51)+Alpha!$D$8)-Alpha!$H$8,((IF($G$55=1,'Unit Costs'!G85,'Unit Costs'!G85/2)*$G$51)+Alpha!$D$8)*(1-Alpha!$F$8)))*IF(Alpha!$D$9="",1,Alpha!$D$9))+IF($G$53=2,IF(Alpha!$D$9="",'Unit Costs'!$C$89,Alpha!$D$9*'Unit Costs'!$C$89),IF($G$53=3,'Unit Costs'!$C$90+IF(Alpha!$D$9&gt;1,Alpha!$D$9-1,0)))</f>
        <v>298</v>
      </c>
      <c r="H86" s="272" t="s">
        <v>67</v>
      </c>
      <c r="I86" s="687">
        <f>MAX(0,(IF(Alpha!$F$8="",((IF($G$55=1,'Unit Costs'!I85,'Unit Costs'!I85/2)*$G$51)+Alpha!$D$8)-Alpha!$H$8,((IF($G$55=1,'Unit Costs'!I85,'Unit Costs'!I85/2)*$G$51)+Alpha!$D$8)*(1-Alpha!$F$8)))*IF(Alpha!$D$9="",1,Alpha!$D$9))+IF($G$53=2,IF(Alpha!$D$9="",'Unit Costs'!$C$89,Alpha!$D$9*'Unit Costs'!$C$89),IF($G$53=3,'Unit Costs'!$C$90+IF(Alpha!$D$9&gt;1,Alpha!$D$9-1,0)))</f>
        <v>506</v>
      </c>
      <c r="J86" s="687">
        <f>MAX(0,(IF(Alpha!$F$8="",((IF($G$55=1,'Unit Costs'!J85,'Unit Costs'!J85/2)*$G$51)+Alpha!$D$8)-Alpha!$H$8,((IF($G$55=1,'Unit Costs'!J85,'Unit Costs'!J85/2)*$G$51)+Alpha!$D$8)*(1-Alpha!$F$8)))*IF(Alpha!$D$9="",1,Alpha!$D$9))+IF($G$53=2,IF(Alpha!$D$9="",'Unit Costs'!$C$89,Alpha!$D$9*'Unit Costs'!$C$89),IF($G$53=3,'Unit Costs'!$C$90+IF(Alpha!$D$9&gt;1,Alpha!$D$9-1,0)))</f>
        <v>555</v>
      </c>
      <c r="K86" s="687">
        <f>MAX(0,(IF(Alpha!$F$8="",((IF($G$55=1,'Unit Costs'!K85,'Unit Costs'!K85/2)*$G$51)+Alpha!$D$8)-Alpha!$H$8,((IF($G$55=1,'Unit Costs'!K85,'Unit Costs'!K85/2)*$G$51)+Alpha!$D$8)*(1-Alpha!$F$8)))*IF(Alpha!$D$9="",1,Alpha!$D$9))+IF($G$53=2,IF(Alpha!$D$9="",'Unit Costs'!$C$89,Alpha!$D$9*'Unit Costs'!$C$89),IF($G$53=3,'Unit Costs'!$C$90+IF(Alpha!$D$9&gt;1,Alpha!$D$9-1,0)))</f>
        <v>677</v>
      </c>
      <c r="L86" s="687">
        <f>MAX(0,(IF(Alpha!$F$8="",((IF($G$55=1,'Unit Costs'!L85,'Unit Costs'!L85/2)*$G$51)+Alpha!$D$8)-Alpha!$H$8,((IF($G$55=1,'Unit Costs'!L85,'Unit Costs'!L85/2)*$G$51)+Alpha!$D$8)*(1-Alpha!$F$8)))*IF(Alpha!$D$9="",1,Alpha!$D$9))+IF($G$53=2,IF(Alpha!$D$9="",'Unit Costs'!$C$89,Alpha!$D$9*'Unit Costs'!$C$89),IF($G$53=3,'Unit Costs'!$C$90+IF(Alpha!$D$9&gt;1,Alpha!$D$9-1,0)))</f>
        <v>601</v>
      </c>
      <c r="M86" s="671">
        <f>MAX(0,(IF(Alpha!$F$8="",((IF($G$55=1,'Unit Costs'!M85,'Unit Costs'!M85/2)*$G$51)+Alpha!$D$8)-Alpha!$H$8,((IF($G$55=1,'Unit Costs'!M85,'Unit Costs'!M85/2)*$G$51)+Alpha!$D$8)*(1-Alpha!$F$8)))*IF(Alpha!$D$9="",1,Alpha!$D$9))+IF($G$53=2,IF(Alpha!$D$9="",'Unit Costs'!$C$89,Alpha!$D$9*'Unit Costs'!$C$89),IF($G$53=3,'Unit Costs'!$C$90+IF(Alpha!$D$9&gt;1,Alpha!$D$9-1,0)))</f>
        <v>601</v>
      </c>
      <c r="N86" s="671"/>
      <c r="O86" s="671"/>
      <c r="P86" s="458"/>
      <c r="Q86" s="28"/>
      <c r="R86" s="28"/>
      <c r="S86" s="28"/>
      <c r="T86" s="28"/>
    </row>
    <row r="87" spans="1:20" ht="15" customHeight="1" x14ac:dyDescent="0.3">
      <c r="B87" s="228" t="s">
        <v>39</v>
      </c>
      <c r="C87" s="687">
        <f>MAX(0,(IF(Alpha!$F$8="",((IF($G$55=1,'Unit Costs'!C86,'Unit Costs'!C86/2)*$G$51)+Alpha!$D$8)-Alpha!$H$8,((IF($G$55=1,'Unit Costs'!C86,'Unit Costs'!C86/2)*$G$51)+Alpha!$D$8)*(1-Alpha!$F$8)))*IF(Alpha!$D$9="",1,Alpha!$D$9))+IF($G$53=2,IF(Alpha!$D$9="",'Unit Costs'!$C$89,Alpha!$D$9*'Unit Costs'!$C$89),IF($G$53=3,'Unit Costs'!$C$90+IF(Alpha!$D$9&gt;1,Alpha!$D$9-1,0)))</f>
        <v>269</v>
      </c>
      <c r="D87" s="687">
        <f>MAX(0,(IF(Alpha!$F$8="",((IF($G$55=1,'Unit Costs'!D86,'Unit Costs'!D86/2)*$G$51)+Alpha!$D$8)-Alpha!$H$8,((IF($G$55=1,'Unit Costs'!D86,'Unit Costs'!D86/2)*$G$51)+Alpha!$D$8)*(1-Alpha!$F$8)))*IF(Alpha!$D$9="",1,Alpha!$D$9))+IF($G$53=2,IF(Alpha!$D$9="",'Unit Costs'!$C$89,Alpha!$D$9*'Unit Costs'!$C$89),IF($G$53=3,'Unit Costs'!$C$90+IF(Alpha!$D$9&gt;1,Alpha!$D$9-1,0)))</f>
        <v>304</v>
      </c>
      <c r="E87" s="687">
        <f>MAX(0,(IF(Alpha!$F$8="",((IF($G$55=1,'Unit Costs'!E86,'Unit Costs'!E86/2)*$G$51)+Alpha!$D$8)-Alpha!$H$8,((IF($G$55=1,'Unit Costs'!E86,'Unit Costs'!E86/2)*$G$51)+Alpha!$D$8)*(1-Alpha!$F$8)))*IF(Alpha!$D$9="",1,Alpha!$D$9))+IF($G$53=2,IF(Alpha!$D$9="",'Unit Costs'!$C$89,Alpha!$D$9*'Unit Costs'!$C$89),IF($G$53=3,'Unit Costs'!$C$90+IF(Alpha!$D$9&gt;1,Alpha!$D$9-1,0)))</f>
        <v>372</v>
      </c>
      <c r="F87" s="687">
        <f>MAX(0,(IF(Alpha!$F$8="",((IF($G$55=1,'Unit Costs'!F86,'Unit Costs'!F86/2)*$G$51)+Alpha!$D$8)-Alpha!$H$8,((IF($G$55=1,'Unit Costs'!F86,'Unit Costs'!F86/2)*$G$51)+Alpha!$D$8)*(1-Alpha!$F$8)))*IF(Alpha!$D$9="",1,Alpha!$D$9))+IF($G$53=2,IF(Alpha!$D$9="",'Unit Costs'!$C$89,Alpha!$D$9*'Unit Costs'!$C$89),IF($G$53=3,'Unit Costs'!$C$90+IF(Alpha!$D$9&gt;1,Alpha!$D$9-1,0)))</f>
        <v>307</v>
      </c>
      <c r="G87" s="1013">
        <f>MAX(0,(IF(Alpha!$F$8="",((IF($G$55=1,'Unit Costs'!G86,'Unit Costs'!G86/2)*$G$51)+Alpha!$D$8)-Alpha!$H$8,((IF($G$55=1,'Unit Costs'!G86,'Unit Costs'!G86/2)*$G$51)+Alpha!$D$8)*(1-Alpha!$F$8)))*IF(Alpha!$D$9="",1,Alpha!$D$9))+IF($G$53=2,IF(Alpha!$D$9="",'Unit Costs'!$C$89,Alpha!$D$9*'Unit Costs'!$C$89),IF($G$53=3,'Unit Costs'!$C$90+IF(Alpha!$D$9&gt;1,Alpha!$D$9-1,0)))</f>
        <v>307</v>
      </c>
      <c r="H87" s="272" t="s">
        <v>70</v>
      </c>
      <c r="I87" s="687">
        <f>MAX(0,(IF(Alpha!$F$8="",((IF($G$55=1,'Unit Costs'!I86,'Unit Costs'!I86/2)*$G$51)+Alpha!$D$8)-Alpha!$H$8,((IF($G$55=1,'Unit Costs'!I86,'Unit Costs'!I86/2)*$G$51)+Alpha!$D$8)*(1-Alpha!$F$8)))*IF(Alpha!$D$9="",1,Alpha!$D$9))+IF($G$53=2,IF(Alpha!$D$9="",'Unit Costs'!$C$89,Alpha!$D$9*'Unit Costs'!$C$89),IF($G$53=3,'Unit Costs'!$C$90+IF(Alpha!$D$9&gt;1,Alpha!$D$9-1,0)))</f>
        <v>514</v>
      </c>
      <c r="J87" s="687">
        <f>MAX(0,(IF(Alpha!$F$8="",((IF($G$55=1,'Unit Costs'!J86,'Unit Costs'!J86/2)*$G$51)+Alpha!$D$8)-Alpha!$H$8,((IF($G$55=1,'Unit Costs'!J86,'Unit Costs'!J86/2)*$G$51)+Alpha!$D$8)*(1-Alpha!$F$8)))*IF(Alpha!$D$9="",1,Alpha!$D$9))+IF($G$53=2,IF(Alpha!$D$9="",'Unit Costs'!$C$89,Alpha!$D$9*'Unit Costs'!$C$89),IF($G$53=3,'Unit Costs'!$C$90+IF(Alpha!$D$9&gt;1,Alpha!$D$9-1,0)))</f>
        <v>564</v>
      </c>
      <c r="K87" s="687">
        <f>MAX(0,(IF(Alpha!$F$8="",((IF($G$55=1,'Unit Costs'!K86,'Unit Costs'!K86/2)*$G$51)+Alpha!$D$8)-Alpha!$H$8,((IF($G$55=1,'Unit Costs'!K86,'Unit Costs'!K86/2)*$G$51)+Alpha!$D$8)*(1-Alpha!$F$8)))*IF(Alpha!$D$9="",1,Alpha!$D$9))+IF($G$53=2,IF(Alpha!$D$9="",'Unit Costs'!$C$89,Alpha!$D$9*'Unit Costs'!$C$89),IF($G$53=3,'Unit Costs'!$C$90+IF(Alpha!$D$9&gt;1,Alpha!$D$9-1,0)))</f>
        <v>688</v>
      </c>
      <c r="L87" s="687">
        <f>MAX(0,(IF(Alpha!$F$8="",((IF($G$55=1,'Unit Costs'!L86,'Unit Costs'!L86/2)*$G$51)+Alpha!$D$8)-Alpha!$H$8,((IF($G$55=1,'Unit Costs'!L86,'Unit Costs'!L86/2)*$G$51)+Alpha!$D$8)*(1-Alpha!$F$8)))*IF(Alpha!$D$9="",1,Alpha!$D$9))+IF($G$53=2,IF(Alpha!$D$9="",'Unit Costs'!$C$89,Alpha!$D$9*'Unit Costs'!$C$89),IF($G$53=3,'Unit Costs'!$C$90+IF(Alpha!$D$9&gt;1,Alpha!$D$9-1,0)))</f>
        <v>612</v>
      </c>
      <c r="M87" s="671">
        <f>MAX(0,(IF(Alpha!$F$8="",((IF($G$55=1,'Unit Costs'!M86,'Unit Costs'!M86/2)*$G$51)+Alpha!$D$8)-Alpha!$H$8,((IF($G$55=1,'Unit Costs'!M86,'Unit Costs'!M86/2)*$G$51)+Alpha!$D$8)*(1-Alpha!$F$8)))*IF(Alpha!$D$9="",1,Alpha!$D$9))+IF($G$53=2,IF(Alpha!$D$9="",'Unit Costs'!$C$89,Alpha!$D$9*'Unit Costs'!$C$89),IF($G$53=3,'Unit Costs'!$C$90+IF(Alpha!$D$9&gt;1,Alpha!$D$9-1,0)))</f>
        <v>612</v>
      </c>
      <c r="N87" s="671"/>
      <c r="O87" s="671"/>
      <c r="P87" s="458"/>
      <c r="Q87" s="28"/>
      <c r="R87" s="28"/>
      <c r="S87" s="28"/>
      <c r="T87" s="28"/>
    </row>
    <row r="88" spans="1:20" ht="15" customHeight="1" x14ac:dyDescent="0.3">
      <c r="B88" s="233" t="s">
        <v>42</v>
      </c>
      <c r="C88" s="690">
        <f>MAX(0,(IF(Alpha!$F$8="",((IF($G$55=1,'Unit Costs'!C87,'Unit Costs'!C87/2)*$G$51)+Alpha!$D$8)-Alpha!$H$8,((IF($G$55=1,'Unit Costs'!C87,'Unit Costs'!C87/2)*$G$51)+Alpha!$D$8)*(1-Alpha!$F$8)))*IF(Alpha!$D$9="",1,Alpha!$D$9))+IF($G$53=2,IF(Alpha!$D$9="",'Unit Costs'!$C$89,Alpha!$D$9*'Unit Costs'!$C$89),IF($G$53=3,'Unit Costs'!$C$90+IF(Alpha!$D$9&gt;1,Alpha!$D$9-1,0)))</f>
        <v>279</v>
      </c>
      <c r="D88" s="690">
        <f>MAX(0,(IF(Alpha!$F$8="",((IF($G$55=1,'Unit Costs'!D87,'Unit Costs'!D87/2)*$G$51)+Alpha!$D$8)-Alpha!$H$8,((IF($G$55=1,'Unit Costs'!D87,'Unit Costs'!D87/2)*$G$51)+Alpha!$D$8)*(1-Alpha!$F$8)))*IF(Alpha!$D$9="",1,Alpha!$D$9))+IF($G$53=2,IF(Alpha!$D$9="",'Unit Costs'!$C$89,Alpha!$D$9*'Unit Costs'!$C$89),IF($G$53=3,'Unit Costs'!$C$90+IF(Alpha!$D$9&gt;1,Alpha!$D$9-1,0)))</f>
        <v>309</v>
      </c>
      <c r="E88" s="690">
        <f>MAX(0,(IF(Alpha!$F$8="",((IF($G$55=1,'Unit Costs'!E87,'Unit Costs'!E87/2)*$G$51)+Alpha!$D$8)-Alpha!$H$8,((IF($G$55=1,'Unit Costs'!E87,'Unit Costs'!E87/2)*$G$51)+Alpha!$D$8)*(1-Alpha!$F$8)))*IF(Alpha!$D$9="",1,Alpha!$D$9))+IF($G$53=2,IF(Alpha!$D$9="",'Unit Costs'!$C$89,Alpha!$D$9*'Unit Costs'!$C$89),IF($G$53=3,'Unit Costs'!$C$90+IF(Alpha!$D$9&gt;1,Alpha!$D$9-1,0)))</f>
        <v>376</v>
      </c>
      <c r="F88" s="690">
        <f>MAX(0,(IF(Alpha!$F$8="",((IF($G$55=1,'Unit Costs'!F87,'Unit Costs'!F87/2)*$G$51)+Alpha!$D$8)-Alpha!$H$8,((IF($G$55=1,'Unit Costs'!F87,'Unit Costs'!F87/2)*$G$51)+Alpha!$D$8)*(1-Alpha!$F$8)))*IF(Alpha!$D$9="",1,Alpha!$D$9))+IF($G$53=2,IF(Alpha!$D$9="",'Unit Costs'!$C$89,Alpha!$D$9*'Unit Costs'!$C$89),IF($G$53=3,'Unit Costs'!$C$90+IF(Alpha!$D$9&gt;1,Alpha!$D$9-1,0)))</f>
        <v>317</v>
      </c>
      <c r="G88" s="710">
        <f>MAX(0,(IF(Alpha!$F$8="",((IF($G$55=1,'Unit Costs'!G87,'Unit Costs'!G87/2)*$G$51)+Alpha!$D$8)-Alpha!$H$8,((IF($G$55=1,'Unit Costs'!G87,'Unit Costs'!G87/2)*$G$51)+Alpha!$D$8)*(1-Alpha!$F$8)))*IF(Alpha!$D$9="",1,Alpha!$D$9))+IF($G$53=2,IF(Alpha!$D$9="",'Unit Costs'!$C$89,Alpha!$D$9*'Unit Costs'!$C$89),IF($G$53=3,'Unit Costs'!$C$90+IF(Alpha!$D$9&gt;1,Alpha!$D$9-1,0)))</f>
        <v>317</v>
      </c>
      <c r="H88" s="284" t="s">
        <v>73</v>
      </c>
      <c r="I88" s="690">
        <f>IF($B$50&gt;6000,"QUOTE",MAX(0,(IF(Alpha!$F$8="",((IF($G$55=1,'Unit Costs'!I87,'Unit Costs'!I87/2)*$G$51)+Alpha!$D$8)-Alpha!$H$8,((IF($G$55=1,'Unit Costs'!I87,'Unit Costs'!I87/2)*$G$51)+Alpha!$D$8)*(1-Alpha!$F$8)))*IF(Alpha!$D$9="",1,Alpha!$D$9))+IF($G$53=2,IF(Alpha!$D$9="",'Unit Costs'!$C$89,Alpha!$D$9*'Unit Costs'!$C$89),IF($G$53=3,'Unit Costs'!$C$90+IF(Alpha!$D$9&gt;1,Alpha!$D$9-1,0))))</f>
        <v>522</v>
      </c>
      <c r="J88" s="690">
        <f>IF($B$50&gt;6000,"QUOTE",MAX(0,(IF(Alpha!$F$8="",((IF($G$55=1,'Unit Costs'!J87,'Unit Costs'!J87/2)*$G$51)+Alpha!$D$8)-Alpha!$H$8,((IF($G$55=1,'Unit Costs'!J87,'Unit Costs'!J87/2)*$G$51)+Alpha!$D$8)*(1-Alpha!$F$8)))*IF(Alpha!$D$9="",1,Alpha!$D$9))+IF($G$53=2,IF(Alpha!$D$9="",'Unit Costs'!$C$89,Alpha!$D$9*'Unit Costs'!$C$89),IF($G$53=3,'Unit Costs'!$C$90+IF(Alpha!$D$9&gt;1,Alpha!$D$9-1,0))))</f>
        <v>573</v>
      </c>
      <c r="K88" s="690">
        <f>IF($B$50&gt;6000,"QUOTE",MAX(0,(IF(Alpha!$F$8="",((IF($G$55=1,'Unit Costs'!K87,'Unit Costs'!K87/2)*$G$51)+Alpha!$D$8)-Alpha!$H$8,((IF($G$55=1,'Unit Costs'!K87,'Unit Costs'!K87/2)*$G$51)+Alpha!$D$8)*(1-Alpha!$F$8)))*IF(Alpha!$D$9="",1,Alpha!$D$9))+IF($G$53=2,IF(Alpha!$D$9="",'Unit Costs'!$C$89,Alpha!$D$9*'Unit Costs'!$C$89),IF($G$53=3,'Unit Costs'!$C$90+IF(Alpha!$D$9&gt;1,Alpha!$D$9-1,0))))</f>
        <v>699</v>
      </c>
      <c r="L88" s="690">
        <f>IF($B$50&gt;6000,"QUOTE",MAX(0,(IF(Alpha!$F$8="",((IF($G$55=1,'Unit Costs'!L87,'Unit Costs'!L87/2)*$G$51)+Alpha!$D$8)-Alpha!$H$8,((IF($G$55=1,'Unit Costs'!L87,'Unit Costs'!L87/2)*$G$51)+Alpha!$D$8)*(1-Alpha!$F$8)))*IF(Alpha!$D$9="",1,Alpha!$D$9))+IF($G$53=2,IF(Alpha!$D$9="",'Unit Costs'!$C$89,Alpha!$D$9*'Unit Costs'!$C$89),IF($G$53=3,'Unit Costs'!$C$90+IF(Alpha!$D$9&gt;1,Alpha!$D$9-1,0))))</f>
        <v>623</v>
      </c>
      <c r="M88" s="679">
        <f>IF($B$50&gt;6000,"QUOTE",MAX(0,(IF(Alpha!$F$8="",((IF($G$55=1,'Unit Costs'!M87,'Unit Costs'!M87/2)*$G$51)+Alpha!$D$8)-Alpha!$H$8,((IF($G$55=1,'Unit Costs'!M87,'Unit Costs'!M87/2)*$G$51)+Alpha!$D$8)*(1-Alpha!$F$8)))*IF(Alpha!$D$9="",1,Alpha!$D$9))+IF($G$53=2,IF(Alpha!$D$9="",'Unit Costs'!$C$89,Alpha!$D$9*'Unit Costs'!$C$89),IF($G$53=3,'Unit Costs'!$C$90+IF(Alpha!$D$9&gt;1,Alpha!$D$9-1,0))))</f>
        <v>623</v>
      </c>
      <c r="N88" s="679"/>
      <c r="O88" s="679"/>
      <c r="P88" s="618"/>
      <c r="Q88" s="28"/>
      <c r="R88" s="28"/>
      <c r="S88" s="28"/>
      <c r="T88" s="28"/>
    </row>
    <row r="89" spans="1:20" ht="15" customHeight="1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5" customHeight="1" x14ac:dyDescent="0.3">
      <c r="Q90" s="9"/>
      <c r="R90" s="9"/>
      <c r="S90" s="9"/>
      <c r="T90" s="9"/>
    </row>
    <row r="91" spans="1:20" ht="15" customHeight="1" x14ac:dyDescent="0.3">
      <c r="Q91" s="9"/>
      <c r="R91" s="9"/>
      <c r="S91" s="9"/>
      <c r="T91" s="9"/>
    </row>
    <row r="92" spans="1:20" ht="15" customHeight="1" x14ac:dyDescent="0.3">
      <c r="Q92" s="9"/>
      <c r="R92" s="9"/>
      <c r="S92" s="9"/>
      <c r="T92" s="9"/>
    </row>
    <row r="93" spans="1:20" ht="15" customHeight="1" x14ac:dyDescent="0.3">
      <c r="B93" s="18" t="s">
        <v>607</v>
      </c>
      <c r="C93" s="19"/>
      <c r="D93" s="19"/>
      <c r="E93" s="19"/>
      <c r="F93" s="19"/>
      <c r="G93" s="19"/>
      <c r="H93" s="19"/>
      <c r="I93" s="691"/>
      <c r="Q93" s="9"/>
      <c r="R93" s="9"/>
      <c r="S93" s="9"/>
      <c r="T93" s="9"/>
    </row>
    <row r="94" spans="1:20" ht="15" customHeight="1" x14ac:dyDescent="0.3">
      <c r="B94" s="669">
        <f>(D95*E95)/144</f>
        <v>0</v>
      </c>
      <c r="C94" s="9" t="s">
        <v>483</v>
      </c>
      <c r="D94" s="9" t="s">
        <v>148</v>
      </c>
      <c r="E94" s="9" t="s">
        <v>149</v>
      </c>
      <c r="F94" s="9" t="s">
        <v>150</v>
      </c>
      <c r="G94" s="9" t="s">
        <v>151</v>
      </c>
      <c r="H94" s="9" t="s">
        <v>152</v>
      </c>
      <c r="I94" s="205" t="s">
        <v>153</v>
      </c>
      <c r="M94" s="692"/>
      <c r="Q94" s="9"/>
      <c r="R94" s="9"/>
      <c r="S94" s="9"/>
      <c r="T94" s="9"/>
    </row>
    <row r="95" spans="1:20" ht="15" customHeight="1" x14ac:dyDescent="0.3">
      <c r="B95" s="669">
        <f>(IF(B94=0,0,(D95+SUM(H95:I95)))*(E95+SUM(F95:G95)))/144</f>
        <v>0</v>
      </c>
      <c r="C95" s="9" t="s">
        <v>483</v>
      </c>
      <c r="D95" s="670">
        <f>MAX(0,IF(Synth!$D$5="",IF(Synth!$F$5="",(Synth!$H$5/25.4),Synth!$F$5*12),Synth!$D$5))</f>
        <v>0</v>
      </c>
      <c r="E95" s="670">
        <f>MAX(0,IF(Synth!$D$6="",IF(Synth!$F$6="",(Synth!$H$6/25.4),Synth!$F$6*12),Synth!$D$6))</f>
        <v>0</v>
      </c>
      <c r="F95" s="9">
        <f>MAX(0,IF($F$101=1,0,IF($F$101=2,IF(Synth!$F$7="",(Synth!$H$7/25.4),Synth!$F$7),IF($F$101=3,IF(IF(Synth!$F$7="",(Synth!$H$7/25.4),Synth!$F$7)+0.5=0.5,0,(IF(Synth!$F$7="",(Synth!$H$7/25.4),Synth!$F$7)+0.5)),IF((IF(Synth!$F$7="",(Synth!$H$7/25.4),Synth!$F$7)*2)+0.5=0.5,0,((IF(Synth!$F$7="",(Synth!$H$7/25.4),Synth!$F$7)*2)+0.5))))))</f>
        <v>0</v>
      </c>
      <c r="G95" s="9">
        <f>MAX(0,IF($G$101=1,0,IF($G$101=2,IF(Synth!$F$8="",(Synth!$H$8/25.4),Synth!$F$8),IF($G$101=3,IF(IF(Synth!$F$8="",(Synth!$H$8/25.4),Synth!$F$8)+0.5=0.5,0,(IF(Synth!$F$8="",(Synth!$H$8/25.4),Synth!$F$8)+0.5)),IF((IF(Synth!$F$8="",(Synth!$H$8/25.4),Synth!$F$8)*2)+0.5=0.5,0,((IF(Synth!$F$8="",(Synth!$H$8/25.4),Synth!$F$8)*2)+0.5))))))</f>
        <v>0</v>
      </c>
      <c r="H95" s="9">
        <f>MAX(0,IF($G$101=1,0,IF($G$101=2,IF(Synth!$F$9="",(Synth!$H$9/25.4),Synth!$F$9),IF($G$101=3,IF(IF(Synth!$F$9="",(Synth!$H$9/25.4),Synth!$F$9)+0.5=0.5,0,(IF(Synth!$F$9="",(Synth!$H$9/25.4),Synth!$F$9)+0.5)),IF((IF(Synth!$F$9="",(Synth!$H$9/25.4),Synth!$F$9)*2)+0.5=0.5,0,((IF(Synth!$F$9="",(Synth!$H$9/25.4),Synth!$F$9)*2)+0.5))))))</f>
        <v>0</v>
      </c>
      <c r="I95" s="205">
        <f>MAX(0,IF($G$101=1,0,IF($G$101=2,IF(Synth!$F$10="",(Synth!$H$10/25.4),Synth!$F$10),IF($G$101=3,IF(IF(Synth!$F$10="",(Synth!$H$10/25.4),Synth!$F$10)+0.5=0.5,0,(IF(Synth!$F$10="",(Synth!$H$10/25.4),Synth!$F$10)+0.5)),IF((IF(Synth!$F$10="",(Synth!$H$10/25.4),Synth!$F$10)*2)+0.5=0.5,0,((IF(Synth!$F$10="",(Synth!$H$10/25.4),Synth!$F$10)*2)+0.5))))))</f>
        <v>0</v>
      </c>
      <c r="Q95" s="9"/>
      <c r="R95" s="9"/>
      <c r="S95" s="9"/>
      <c r="T95" s="9"/>
    </row>
    <row r="96" spans="1:20" ht="15" customHeight="1" x14ac:dyDescent="0.3">
      <c r="B96" s="7"/>
      <c r="C96" s="9"/>
      <c r="D96" s="9"/>
      <c r="E96" s="9"/>
      <c r="F96" s="9"/>
      <c r="G96" s="9"/>
      <c r="H96" s="9" t="s">
        <v>130</v>
      </c>
      <c r="I96" s="205" t="s">
        <v>129</v>
      </c>
      <c r="J96" s="9" t="s">
        <v>158</v>
      </c>
      <c r="Q96" s="9"/>
      <c r="R96" s="9"/>
      <c r="S96" s="9"/>
      <c r="T96" s="9"/>
    </row>
    <row r="97" spans="2:15" ht="15" customHeight="1" x14ac:dyDescent="0.3">
      <c r="B97" s="693"/>
      <c r="C97" s="694"/>
      <c r="D97" s="9"/>
      <c r="E97" s="9"/>
      <c r="F97" s="9"/>
      <c r="G97" s="9">
        <f>IFERROR(HLOOKUP(Synth!$D$11,$H$96:$I$97,2,FALSE),"Invalid")</f>
        <v>1</v>
      </c>
      <c r="H97" s="9">
        <v>1</v>
      </c>
      <c r="I97" s="205">
        <v>2</v>
      </c>
      <c r="J97" s="9"/>
      <c r="L97" s="220"/>
      <c r="M97" s="692"/>
      <c r="O97" s="692"/>
    </row>
    <row r="98" spans="2:15" ht="15" customHeight="1" x14ac:dyDescent="0.3">
      <c r="B98" s="7"/>
      <c r="C98" s="9"/>
      <c r="D98" s="9"/>
      <c r="E98" s="9"/>
      <c r="F98" s="9"/>
      <c r="G98" s="272"/>
      <c r="H98" s="9" t="s">
        <v>74</v>
      </c>
      <c r="I98" s="205" t="s">
        <v>75</v>
      </c>
      <c r="J98" s="26" t="s">
        <v>158</v>
      </c>
      <c r="L98" s="220"/>
    </row>
    <row r="99" spans="2:15" ht="15" customHeight="1" x14ac:dyDescent="0.3">
      <c r="B99" s="7"/>
      <c r="C99" s="9"/>
      <c r="D99" s="9"/>
      <c r="E99" s="9"/>
      <c r="F99" s="9"/>
      <c r="G99" s="9">
        <f>IFERROR(HLOOKUP(Synth!$F$11,H98:I99,2,FALSE),"Invalid")</f>
        <v>1</v>
      </c>
      <c r="H99" s="9">
        <v>1</v>
      </c>
      <c r="I99" s="205">
        <v>2</v>
      </c>
      <c r="L99" s="220"/>
      <c r="M99" s="695"/>
    </row>
    <row r="100" spans="2:15" ht="15" customHeight="1" x14ac:dyDescent="0.3">
      <c r="B100" s="693"/>
      <c r="C100" s="9"/>
      <c r="D100" s="9"/>
      <c r="E100" s="9"/>
      <c r="F100" s="9" t="s">
        <v>150</v>
      </c>
      <c r="G100" s="9" t="s">
        <v>151</v>
      </c>
      <c r="H100" s="9" t="s">
        <v>152</v>
      </c>
      <c r="I100" s="205" t="s">
        <v>153</v>
      </c>
      <c r="L100" s="220"/>
      <c r="M100" s="220"/>
      <c r="O100" s="220"/>
    </row>
    <row r="101" spans="2:15" ht="15" customHeight="1" x14ac:dyDescent="0.3">
      <c r="B101" s="7"/>
      <c r="C101" s="9"/>
      <c r="D101" s="9"/>
      <c r="E101" s="9"/>
      <c r="F101" s="9">
        <f>IFERROR(HLOOKUP(Synth!D7,$D$11:$G$12,2,FALSE),"Invalid")</f>
        <v>1</v>
      </c>
      <c r="G101" s="9">
        <f>IFERROR(HLOOKUP(Synth!D8,$D$11:$G$12,2,FALSE),"Invalid")</f>
        <v>1</v>
      </c>
      <c r="H101" s="9">
        <f>IFERROR(HLOOKUP(Synth!D9,$D$11:$G$12,2,FALSE),"Invalid")</f>
        <v>1</v>
      </c>
      <c r="I101" s="205">
        <f>IFERROR(HLOOKUP(Synth!D10,$D$11:$G$12,2,FALSE),"Invalid")</f>
        <v>1</v>
      </c>
      <c r="J101" s="9"/>
      <c r="L101" s="220"/>
    </row>
    <row r="102" spans="2:15" ht="15" customHeight="1" x14ac:dyDescent="0.3">
      <c r="B102" s="7"/>
      <c r="C102" s="9"/>
      <c r="D102" s="9"/>
      <c r="E102" s="9"/>
      <c r="F102" s="9"/>
      <c r="G102" s="9"/>
      <c r="H102" s="9" t="s">
        <v>154</v>
      </c>
      <c r="I102" s="205" t="s">
        <v>490</v>
      </c>
      <c r="J102" s="9" t="s">
        <v>158</v>
      </c>
      <c r="L102" s="220"/>
    </row>
    <row r="103" spans="2:15" ht="15" customHeight="1" x14ac:dyDescent="0.3">
      <c r="B103" s="7"/>
      <c r="C103" s="9"/>
      <c r="D103" s="9"/>
      <c r="E103" s="9"/>
      <c r="F103" s="9"/>
      <c r="G103" s="9">
        <f>IFERROR(HLOOKUP(Synth!H11,$H$102:$I$103,2,FALSE),"Invalid")</f>
        <v>1</v>
      </c>
      <c r="H103" s="9">
        <v>1</v>
      </c>
      <c r="I103" s="205">
        <v>2</v>
      </c>
      <c r="J103" s="9"/>
      <c r="L103" s="220"/>
    </row>
    <row r="104" spans="2:15" ht="15" customHeight="1" x14ac:dyDescent="0.3">
      <c r="B104" s="7"/>
      <c r="C104" s="9"/>
      <c r="D104" s="9"/>
      <c r="E104" s="9"/>
      <c r="F104" s="9"/>
      <c r="G104" s="9"/>
      <c r="H104" s="9"/>
      <c r="I104" s="205"/>
      <c r="J104" s="9"/>
      <c r="L104" s="220"/>
    </row>
    <row r="105" spans="2:15" ht="15" customHeight="1" x14ac:dyDescent="0.3">
      <c r="B105" s="7" t="s">
        <v>601</v>
      </c>
      <c r="C105" s="671">
        <f>IF($G$99=1,IF(OR('Unit Costs'!G97="Single Sided",'Unit Costs'!G97="No Restrictions",AND('Unit Costs'!G97="No Edges",OR(SUM($F$101:$I$101)=4,SUM(Synth!$F$7:$H$10)=0))),MAX(0,(IF(Synth!$F$12="",(($B$95*IF($G$97=1,'Unit Costs'!C97,'Unit Costs'!C97/2))+Synth!$D$12)-Synth!$H$12,(($B$95*IF($G$97=1,'Unit Costs'!C97,'Unit Costs'!C97/2))+Synth!$D$12)*(1-Synth!$F$12)))*IF(Synth!$D$13="",1,Synth!$D$13))+IF($G$103=2,'Unit Costs'!$C$108+IF(Synth!$D$13&gt;1,Synth!$D$13-1,0),0),"N/A"),IF('Unit Costs'!G97="No Restrictions",MAX(0,(IF(Synth!$F$12="",(($B$95*'Unit Costs'!D97)+Synth!$D$12)-Synth!$H$12,(($B$95*'Unit Costs'!D97)+Synth!$D$12)*(1-Synth!$F$12)))*IF(Synth!$D$13="",1,Synth!$D$13))+IF($G$103=2,'Unit Costs'!$C$108+IF(Synth!$D$13&gt;1,Synth!$D$13-1,0),0),"N/A"))</f>
        <v>0</v>
      </c>
      <c r="D105" s="9"/>
      <c r="E105" s="9"/>
      <c r="F105" s="9"/>
      <c r="G105" s="9"/>
      <c r="H105" s="9"/>
      <c r="I105" s="205"/>
      <c r="J105" s="9"/>
      <c r="L105" s="220"/>
    </row>
    <row r="106" spans="2:15" ht="15" customHeight="1" x14ac:dyDescent="0.3">
      <c r="B106" s="7" t="s">
        <v>602</v>
      </c>
      <c r="C106" s="671">
        <f>IF($G$99=1,IF(OR('Unit Costs'!G98="Single Sided",'Unit Costs'!G98="No Restrictions",AND('Unit Costs'!G98="No Edges",OR(SUM($F$101:$I$101)=4,SUM(Synth!$F$7:$H$10)=0))),MAX(0,(IF(Synth!$F$12="",(($B$95*IF($G$97=1,'Unit Costs'!C98,'Unit Costs'!C98/2))+Synth!$D$12)-Synth!$H$12,(($B$95*IF($G$97=1,'Unit Costs'!C98,'Unit Costs'!C98/2))+Synth!$D$12)*(1-Synth!$F$12)))*IF(Synth!$D$13="",1,Synth!$D$13))+IF($G$103=2,'Unit Costs'!$C$108+IF(Synth!$D$13&gt;1,Synth!$D$13-1,0),0),"N/A"),IF('Unit Costs'!G98="No Restrictions",MAX(0,(IF(Synth!$F$12="",(($B$95*'Unit Costs'!D98)+Synth!$D$12)-Synth!$H$12,(($B$95*'Unit Costs'!D98)+Synth!$D$12)*(1-Synth!$F$12)))*IF(Synth!$D$13="",1,Synth!$D$13))+IF($G$103=2,'Unit Costs'!$C$108+IF(Synth!$D$13&gt;1,Synth!$D$13-1,0),0),"N/A"))</f>
        <v>0</v>
      </c>
      <c r="D106" s="9"/>
      <c r="E106" s="9"/>
      <c r="F106" s="9"/>
      <c r="G106" s="9"/>
      <c r="H106" s="9"/>
      <c r="I106" s="205"/>
      <c r="J106" s="9"/>
      <c r="L106" s="220"/>
    </row>
    <row r="107" spans="2:15" ht="15" customHeight="1" x14ac:dyDescent="0.3">
      <c r="B107" s="7" t="s">
        <v>603</v>
      </c>
      <c r="C107" s="671">
        <f>IF($G$99=1,IF(OR('Unit Costs'!G99="Single Sided",'Unit Costs'!G99="No Restrictions",AND('Unit Costs'!G99="No Edges",OR(SUM($F$101:$I$101)=4,SUM(Synth!$F$7:$H$10)=0))),MAX(0,(IF(Synth!$F$12="",(($B$95*IF($G$97=1,'Unit Costs'!C99,'Unit Costs'!C99/2))+Synth!$D$12)-Synth!$H$12,(($B$95*IF($G$97=1,'Unit Costs'!C99,'Unit Costs'!C99/2))+Synth!$D$12)*(1-Synth!$F$12)))*IF(Synth!$D$13="",1,Synth!$D$13))+IF($G$103=2,'Unit Costs'!$C$108+IF(Synth!$D$13&gt;1,Synth!$D$13-1,0),0),"N/A"),IF('Unit Costs'!G99="No Restrictions",MAX(0,(IF(Synth!$F$12="",(($B$95*'Unit Costs'!D99)+Synth!$D$12)-Synth!$H$12,(($B$95*'Unit Costs'!D99)+Synth!$D$12)*(1-Synth!$F$12)))*IF(Synth!$D$13="",1,Synth!$D$13))+IF($G$103=2,'Unit Costs'!$C$108+IF(Synth!$D$13&gt;1,Synth!$D$13-1,0),0),"N/A"))</f>
        <v>0</v>
      </c>
      <c r="D107" s="9"/>
      <c r="E107" s="671"/>
      <c r="F107" s="9"/>
      <c r="G107" s="9"/>
      <c r="H107" s="9"/>
      <c r="I107" s="205"/>
      <c r="J107" s="9"/>
      <c r="L107" s="220"/>
    </row>
    <row r="108" spans="2:15" ht="15" customHeight="1" x14ac:dyDescent="0.3">
      <c r="B108" s="7" t="s">
        <v>604</v>
      </c>
      <c r="C108" s="671">
        <f>IF($G$99=1,IF(OR('Unit Costs'!G100="Single Sided",'Unit Costs'!G100="No Restrictions",AND('Unit Costs'!G100="No Edges",OR(SUM($F$101:$I$101)=4,SUM(Synth!$F$7:$H$10)=0))),MAX(0,(IF(Synth!$F$12="",(($B$95*IF($G$97=1,'Unit Costs'!C100,'Unit Costs'!C100/2))+Synth!$D$12)-Synth!$H$12,(($B$95*IF($G$97=1,'Unit Costs'!C100,'Unit Costs'!C100/2))+Synth!$D$12)*(1-Synth!$F$12)))*IF(Synth!$D$13="",1,Synth!$D$13))+IF($G$103=2,'Unit Costs'!$C$108+IF(Synth!$D$13&gt;1,Synth!$D$13-1,0),0),"N/A"),IF('Unit Costs'!G100="No Restrictions",MAX(0,(IF(Synth!$F$12="",(($B$95*'Unit Costs'!D100)+Synth!$D$12)-Synth!$H$12,(($B$95*'Unit Costs'!D100)+Synth!$D$12)*(1-Synth!$F$12)))*IF(Synth!$D$13="",1,Synth!$D$13))+IF($G$103=2,'Unit Costs'!$C$108+IF(Synth!$D$13&gt;1,Synth!$D$13-1,0),0),"N/A"))</f>
        <v>0</v>
      </c>
      <c r="D108" s="9"/>
      <c r="E108" s="9" t="s">
        <v>169</v>
      </c>
      <c r="F108" s="671">
        <f>IF($G$99=1,MAX(0,(IF(Synth!$F$12="",(($B$95*IF($G$97=1,'Unit Costs'!C106,'Unit Costs'!C106/2))+Synth!$D$12)-Synth!$H$12,(($B$95*IF($G$97=1,'Unit Costs'!C106,'Unit Costs'!C106/2))+Synth!$D$12)*(1-Synth!$F$12)))*IF(Synth!$D$13="",1,Synth!$D$13))+IF($G$103=2,'Unit Costs'!$C$108+IF(Synth!$D$13&gt;1,Synth!$D$13-1,0),0),MAX(0,(IF(Synth!$F$12="",(($B$95*'Unit Costs'!D106)+Synth!$D$12)-Synth!$H$12,(($B$95*'Unit Costs'!D106)+Synth!$D$12)*(1-Synth!$F$12)))*IF(Synth!$D$13="",1,Synth!$D$13))+IF($G$103=2,'Unit Costs'!$C$108+IF(Synth!$D$13&gt;1,Synth!$D$13-1,0),0))</f>
        <v>0</v>
      </c>
      <c r="G108" s="9"/>
      <c r="H108" s="9"/>
      <c r="I108" s="205"/>
      <c r="J108" s="9"/>
      <c r="L108" s="220"/>
    </row>
    <row r="109" spans="2:15" ht="15" customHeight="1" x14ac:dyDescent="0.3">
      <c r="B109" s="7" t="s">
        <v>605</v>
      </c>
      <c r="C109" s="671">
        <f>IF($G$99=1,IF(OR('Unit Costs'!G101="Single Sided",'Unit Costs'!G101="No Restrictions",AND('Unit Costs'!G101="No Edges",OR(SUM($F$101:$I$101)=4,SUM(Synth!$F$7:$H$10)=0))),MAX(0,(IF(Synth!$F$12="",(($B$95*IF($G$97=1,'Unit Costs'!C101,'Unit Costs'!C101/2))+Synth!$D$12)-Synth!$H$12,(($B$95*IF($G$97=1,'Unit Costs'!C101,'Unit Costs'!C101/2))+Synth!$D$12)*(1-Synth!$F$12)))*IF(Synth!$D$13="",1,Synth!$D$13))+IF($G$103=2,'Unit Costs'!$C$108+IF(Synth!$D$13&gt;1,Synth!$D$13-1,0),0),"N/A"),IF('Unit Costs'!G101="No Restrictions",MAX(0,(IF(Synth!$F$12="",(($B$95*'Unit Costs'!D101)+Synth!$D$12)-Synth!$H$12,(($B$95*'Unit Costs'!D101)+Synth!$D$12)*(1-Synth!$F$12)))*IF(Synth!$D$13="",1,Synth!$D$13))+IF($G$103=2,'Unit Costs'!$C$108+IF(Synth!$D$13&gt;1,Synth!$D$13-1,0),0),"N/A"))</f>
        <v>0</v>
      </c>
      <c r="D109" s="9"/>
      <c r="E109" s="671"/>
      <c r="F109" s="9"/>
      <c r="G109" s="9"/>
      <c r="H109" s="9"/>
      <c r="I109" s="205"/>
      <c r="J109" s="9"/>
      <c r="L109" s="220"/>
    </row>
    <row r="110" spans="2:15" ht="15" customHeight="1" x14ac:dyDescent="0.3">
      <c r="B110" s="7" t="s">
        <v>606</v>
      </c>
      <c r="C110" s="671">
        <f>IF($G$99=1,IF(OR('Unit Costs'!G102="Single Sided",'Unit Costs'!G102="No Restrictions",AND('Unit Costs'!G102="No Edges",OR(SUM($F$101:$I$101)=4,SUM(Synth!$F$7:$H$10)=0))),MAX(0,(IF(Synth!$F$12="",(($B$95*IF($G$97=1,'Unit Costs'!C102,'Unit Costs'!C102/2))+Synth!$D$12)-Synth!$H$12,(($B$95*IF($G$97=1,'Unit Costs'!C102,'Unit Costs'!C102/2))+Synth!$D$12)*(1-Synth!$F$12)))*IF(Synth!$D$13="",1,Synth!$D$13))+IF($G$103=2,'Unit Costs'!$C$108+IF(Synth!$D$13&gt;1,Synth!$D$13-1,0),0),"N/A"),IF('Unit Costs'!G102="No Restrictions",MAX(0,(IF(Synth!$F$12="",(($B$95*'Unit Costs'!D102)+Synth!$D$12)-Synth!$H$12,(($B$95*'Unit Costs'!D102)+Synth!$D$12)*(1-Synth!$F$12)))*IF(Synth!$D$13="",1,Synth!$D$13))+IF($G$103=2,'Unit Costs'!$C$108+IF(Synth!$D$13&gt;1,Synth!$D$13-1,0),0),"N/A"))</f>
        <v>0</v>
      </c>
      <c r="D110" s="9"/>
      <c r="E110" s="671"/>
      <c r="F110" s="9"/>
      <c r="G110" s="9"/>
      <c r="H110" s="9"/>
      <c r="I110" s="205"/>
      <c r="J110" s="9"/>
    </row>
    <row r="111" spans="2:15" ht="15" customHeight="1" x14ac:dyDescent="0.3">
      <c r="B111" s="7" t="s">
        <v>598</v>
      </c>
      <c r="C111" s="671">
        <f>IF($G$99=1,IF(OR('Unit Costs'!G103="Single Sided",'Unit Costs'!G103="No Restrictions",AND('Unit Costs'!G103="No Edges",OR(SUM($F$101:$I$101)=4,SUM(Synth!$F$7:$H$10)=0))),MAX(0,(IF(Synth!$F$12="",(($B$95*IF($G$97=1,'Unit Costs'!C103,'Unit Costs'!C103/2))+Synth!$D$12)-Synth!$H$12,(($B$95*IF($G$97=1,'Unit Costs'!C103,'Unit Costs'!C103/2))+Synth!$D$12)*(1-Synth!$F$12)))*IF(Synth!$D$13="",1,Synth!$D$13))+IF($G$103=2,'Unit Costs'!$C$108+IF(Synth!$D$13&gt;1,Synth!$D$13-1,0),0),"N/A"),IF('Unit Costs'!G103="No Restrictions",MAX(0,(IF(Synth!$F$12="",(($B$95*'Unit Costs'!D103)+Synth!$D$12)-Synth!$H$12,(($B$95*'Unit Costs'!D103)+Synth!$D$12)*(1-Synth!$F$12)))*IF(Synth!$D$13="",1,Synth!$D$13))+IF($G$103=2,'Unit Costs'!$C$108+IF(Synth!$D$13&gt;1,Synth!$D$13-1,0),0),"N/A"))</f>
        <v>0</v>
      </c>
      <c r="D111" s="9"/>
      <c r="E111" s="671"/>
      <c r="F111" s="9"/>
      <c r="G111" s="9"/>
      <c r="H111" s="9"/>
      <c r="I111" s="205"/>
      <c r="J111" s="9"/>
    </row>
    <row r="112" spans="2:15" ht="15" customHeight="1" x14ac:dyDescent="0.3">
      <c r="B112" s="7" t="s">
        <v>599</v>
      </c>
      <c r="C112" s="22">
        <f>IF($G$99=1,IF(OR('Unit Costs'!G104="Single Sided",'Unit Costs'!G104="No Restrictions",AND('Unit Costs'!G104="No Edges",OR(SUM($F$101:$I$101)=4,SUM(Synth!$F$7:$H$10)=0))),MAX(0,(IF(Synth!$F$12="",(($B$95*IF($G$97=1,'Unit Costs'!C104,'Unit Costs'!C104/2))+Synth!$D$12)-Synth!$H$12,(($B$95*IF($G$97=1,'Unit Costs'!C104,'Unit Costs'!C104/2))+Synth!$D$12)*(1-Synth!$F$12)))*IF(Synth!$D$13="",1,Synth!$D$13))+IF($G$103=2,'Unit Costs'!$C$108+IF(Synth!$D$13&gt;1,Synth!$D$13-1,0),0),"N/A"),IF('Unit Costs'!G104="No Restrictions",MAX(0,(IF(Synth!$F$12="",(($B$95*'Unit Costs'!D104)+Synth!$D$12)-Synth!$H$12,(($B$95*'Unit Costs'!D104)+Synth!$D$12)*(1-Synth!$F$12)))*IF(Synth!$D$13="",1,Synth!$D$13))+IF($G$103=2,'Unit Costs'!$C$108+IF(Synth!$D$13&gt;1,Synth!$D$13-1,0),0),"N/A"))</f>
        <v>0</v>
      </c>
      <c r="D112" s="9"/>
      <c r="E112" s="9"/>
      <c r="F112" s="9"/>
      <c r="G112" s="9"/>
      <c r="H112" s="9"/>
      <c r="I112" s="205"/>
      <c r="J112" s="9"/>
    </row>
    <row r="113" spans="2:16" ht="15" customHeight="1" x14ac:dyDescent="0.3">
      <c r="B113" s="7" t="s">
        <v>600</v>
      </c>
      <c r="C113" s="22">
        <f>IF($G$99=1,IF(OR('Unit Costs'!G105="Single Sided",'Unit Costs'!G105="No Restrictions",AND('Unit Costs'!G105="No Edges",OR(SUM($F$101:$I$101)=4,SUM(Synth!$F$7:$H$10)=0))),MAX(0,(IF(Synth!$F$12="",(($B$95*IF($G$97=1,'Unit Costs'!C105,'Unit Costs'!C105/2))+Synth!$D$12)-Synth!$H$12,(($B$95*IF($G$97=1,'Unit Costs'!C105,'Unit Costs'!C105/2))+Synth!$D$12)*(1-Synth!$F$12)))*IF(Synth!$D$13="",1,Synth!$D$13))+IF($G$103=2,'Unit Costs'!$C$108+IF(Synth!$D$13&gt;1,Synth!$D$13-1,0),0),"N/A"),IF('Unit Costs'!G105="No Restrictions",MAX(0,(IF(Synth!$F$12="",(($B$95*'Unit Costs'!D105)+Synth!$D$12)-Synth!$H$12,(($B$95*'Unit Costs'!D105)+Synth!$D$12)*(1-Synth!$F$12)))*IF(Synth!$D$13="",1,Synth!$D$13))+IF($G$103=2,'Unit Costs'!$C$108+IF(Synth!$D$13&gt;1,Synth!$D$13-1,0),0),"N/A"))</f>
        <v>0</v>
      </c>
      <c r="D113" s="9"/>
      <c r="E113" s="9" t="s">
        <v>454</v>
      </c>
      <c r="F113" s="688">
        <f>IF(OR(Synth!$F$23&lt;=0,Synth!$F$24&lt;=0,Synth!$F$23&lt;Synth!$F$24),0,1-(Synth!$F$24/Synth!$F$23))</f>
        <v>0</v>
      </c>
      <c r="G113" s="9"/>
      <c r="H113" s="9"/>
      <c r="I113" s="205"/>
      <c r="J113" s="9"/>
    </row>
    <row r="114" spans="2:16" ht="15" customHeight="1" x14ac:dyDescent="0.3">
      <c r="B114" s="7"/>
      <c r="C114" s="9"/>
      <c r="D114" s="9"/>
      <c r="E114" s="9"/>
      <c r="F114" s="688"/>
      <c r="G114" s="9"/>
      <c r="H114" s="9"/>
      <c r="I114" s="205"/>
      <c r="J114" s="9"/>
    </row>
    <row r="115" spans="2:16" ht="15" customHeight="1" x14ac:dyDescent="0.3">
      <c r="B115" s="7"/>
      <c r="C115" s="9"/>
      <c r="D115" s="9"/>
      <c r="E115" s="9"/>
      <c r="F115" s="688"/>
      <c r="G115" s="9"/>
      <c r="H115" s="9"/>
      <c r="I115" s="205"/>
      <c r="J115" s="9"/>
    </row>
    <row r="116" spans="2:16" ht="15" customHeight="1" x14ac:dyDescent="0.3">
      <c r="B116" s="7"/>
      <c r="C116" s="9"/>
      <c r="D116" s="9"/>
      <c r="E116" s="9" t="s">
        <v>463</v>
      </c>
      <c r="F116" s="688" t="str">
        <f>CONCATENATE(ROUND(IF($G$99=1,$D$95+SUM($H$95:$I$95),$D$95),4),"""")</f>
        <v>0"</v>
      </c>
      <c r="G116" s="9"/>
      <c r="H116" s="9"/>
      <c r="I116" s="205"/>
      <c r="J116" s="9"/>
    </row>
    <row r="117" spans="2:16" ht="15" customHeight="1" x14ac:dyDescent="0.3">
      <c r="B117" s="17"/>
      <c r="C117" s="681"/>
      <c r="D117" s="681"/>
      <c r="E117" s="681" t="s">
        <v>464</v>
      </c>
      <c r="F117" s="696" t="str">
        <f>CONCATENATE(ROUND(IF($G$99=1,$E$95+SUM($F$95:$G$95),$E$95),4),"""")</f>
        <v>0"</v>
      </c>
      <c r="G117" s="681"/>
      <c r="H117" s="681"/>
      <c r="I117" s="209"/>
      <c r="J117" s="9"/>
    </row>
    <row r="118" spans="2:16" ht="15" customHeight="1" x14ac:dyDescent="0.3">
      <c r="B118" s="9"/>
      <c r="C118" s="9"/>
      <c r="D118" s="9"/>
      <c r="E118" s="9"/>
      <c r="F118" s="688"/>
      <c r="G118" s="9"/>
      <c r="H118" s="9"/>
      <c r="I118" s="9"/>
      <c r="J118" s="9"/>
    </row>
    <row r="119" spans="2:16" ht="15" customHeight="1" x14ac:dyDescent="0.3">
      <c r="B119" s="9"/>
      <c r="C119" s="9"/>
      <c r="D119" s="9"/>
      <c r="E119" s="9"/>
      <c r="F119" s="688"/>
      <c r="G119" s="9"/>
      <c r="H119" s="9"/>
      <c r="I119" s="9"/>
      <c r="J119" s="9"/>
    </row>
    <row r="120" spans="2:16" ht="15" customHeight="1" x14ac:dyDescent="0.3">
      <c r="B120" s="9"/>
      <c r="C120" s="9"/>
      <c r="D120" s="9"/>
      <c r="E120" s="9"/>
      <c r="F120" s="9"/>
      <c r="G120" s="9"/>
      <c r="H120" s="9"/>
      <c r="I120" s="9"/>
      <c r="J120" s="9"/>
    </row>
    <row r="121" spans="2:16" ht="15" customHeight="1" x14ac:dyDescent="0.3">
      <c r="B121" s="9"/>
      <c r="C121" s="9"/>
      <c r="D121" s="9"/>
      <c r="E121" s="9"/>
      <c r="F121" s="9"/>
      <c r="G121" s="9"/>
      <c r="H121" s="9"/>
      <c r="I121" s="9"/>
      <c r="J121" s="9"/>
    </row>
    <row r="122" spans="2:16" ht="15" customHeight="1" x14ac:dyDescent="0.3">
      <c r="B122" s="18" t="s">
        <v>611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691"/>
    </row>
    <row r="123" spans="2:16" ht="15" customHeight="1" x14ac:dyDescent="0.3">
      <c r="B123" s="669">
        <f>(D124*E124)/144</f>
        <v>0</v>
      </c>
      <c r="C123" s="9" t="s">
        <v>483</v>
      </c>
      <c r="D123" s="9" t="s">
        <v>148</v>
      </c>
      <c r="E123" s="9" t="s">
        <v>149</v>
      </c>
      <c r="F123" s="9"/>
      <c r="G123" s="9"/>
      <c r="H123" s="9"/>
      <c r="J123" s="9"/>
      <c r="K123" s="9" t="s">
        <v>130</v>
      </c>
      <c r="L123" s="205" t="s">
        <v>129</v>
      </c>
      <c r="M123" s="26" t="s">
        <v>158</v>
      </c>
    </row>
    <row r="124" spans="2:16" ht="15" customHeight="1" x14ac:dyDescent="0.3">
      <c r="B124" s="7"/>
      <c r="C124" s="9"/>
      <c r="D124" s="697">
        <f>MAX(0,IF(Rigid!$D$5="",IF(Rigid!$F$5="",(Rigid!$H$5/25.4),Rigid!$F$5*12),Rigid!$D$5))</f>
        <v>0</v>
      </c>
      <c r="E124" s="697">
        <f>MAX(0,IF(Rigid!$D$6="",IF(Rigid!$F$6="",(Rigid!$H$6/25.4),Rigid!$F$6*12),Rigid!$D$6))</f>
        <v>0</v>
      </c>
      <c r="F124" s="9"/>
      <c r="G124" s="9"/>
      <c r="H124" s="9"/>
      <c r="J124" s="9">
        <f>IFERROR(HLOOKUP(Rigid!$D$7,K123:L124,2,FALSE),"Invalid")</f>
        <v>1</v>
      </c>
      <c r="K124" s="9">
        <v>1</v>
      </c>
      <c r="L124" s="205">
        <v>2</v>
      </c>
    </row>
    <row r="125" spans="2:16" ht="15" customHeight="1" x14ac:dyDescent="0.3">
      <c r="B125" s="7"/>
      <c r="C125" s="9"/>
      <c r="D125" s="674"/>
      <c r="E125" s="674"/>
      <c r="F125" s="9"/>
      <c r="G125" s="9"/>
      <c r="H125" s="9"/>
      <c r="J125" s="272"/>
      <c r="K125" s="9" t="s">
        <v>74</v>
      </c>
      <c r="L125" s="205" t="s">
        <v>75</v>
      </c>
      <c r="M125" s="26" t="s">
        <v>158</v>
      </c>
    </row>
    <row r="126" spans="2:16" ht="15" customHeight="1" x14ac:dyDescent="0.3">
      <c r="B126" s="7"/>
      <c r="C126" s="9"/>
      <c r="D126" s="674"/>
      <c r="E126" s="674"/>
      <c r="F126" s="9"/>
      <c r="G126" s="9"/>
      <c r="H126" s="9"/>
      <c r="J126" s="9">
        <f>IFERROR(HLOOKUP(Rigid!$D$8,K125:L126,2,FALSE),"Invalid")</f>
        <v>1</v>
      </c>
      <c r="K126" s="9">
        <v>1</v>
      </c>
      <c r="L126" s="205">
        <v>2</v>
      </c>
    </row>
    <row r="127" spans="2:16" ht="15" customHeight="1" x14ac:dyDescent="0.3">
      <c r="B127" s="7"/>
      <c r="C127" s="9"/>
      <c r="D127" s="9"/>
      <c r="E127" s="9"/>
      <c r="G127" s="9"/>
      <c r="H127" s="272"/>
      <c r="I127" s="9" t="s">
        <v>396</v>
      </c>
      <c r="J127" s="9" t="s">
        <v>665</v>
      </c>
      <c r="K127" s="9" t="s">
        <v>664</v>
      </c>
      <c r="L127" s="205" t="s">
        <v>663</v>
      </c>
      <c r="M127" s="229"/>
    </row>
    <row r="128" spans="2:16" ht="15" customHeight="1" x14ac:dyDescent="0.3">
      <c r="B128" s="7"/>
      <c r="C128" s="9"/>
      <c r="D128" s="9"/>
      <c r="E128" s="9"/>
      <c r="G128" s="674"/>
      <c r="H128" s="272">
        <f>IFERROR(HLOOKUP(Rigid!$F$7,$I$127:$L$128,2,FALSE),"Invalid")</f>
        <v>1</v>
      </c>
      <c r="I128" s="9">
        <v>1</v>
      </c>
      <c r="J128" s="9">
        <v>2</v>
      </c>
      <c r="K128" s="9">
        <v>3</v>
      </c>
      <c r="L128" s="205">
        <v>4</v>
      </c>
      <c r="M128" s="229"/>
      <c r="N128" s="218"/>
      <c r="P128" s="698"/>
    </row>
    <row r="129" spans="2:22" ht="15" customHeight="1" x14ac:dyDescent="0.3">
      <c r="B129" s="7"/>
      <c r="C129" s="9"/>
      <c r="D129" s="9"/>
      <c r="E129" s="9"/>
      <c r="G129" s="674"/>
      <c r="H129" s="272"/>
      <c r="I129" s="9"/>
      <c r="J129" s="9" t="s">
        <v>154</v>
      </c>
      <c r="K129" s="9" t="s">
        <v>489</v>
      </c>
      <c r="L129" s="205" t="s">
        <v>490</v>
      </c>
      <c r="M129" s="229" t="s">
        <v>158</v>
      </c>
      <c r="N129" s="220"/>
      <c r="P129" s="698"/>
    </row>
    <row r="130" spans="2:22" ht="15" customHeight="1" x14ac:dyDescent="0.3">
      <c r="B130" s="7"/>
      <c r="C130" s="9"/>
      <c r="D130" s="9"/>
      <c r="E130" s="9"/>
      <c r="G130" s="674"/>
      <c r="H130" s="272"/>
      <c r="I130" s="9">
        <f>IFERROR(HLOOKUP(Rigid!$F$8,J129:L130,2,FALSE),"Invalid")</f>
        <v>1</v>
      </c>
      <c r="J130" s="9">
        <v>1</v>
      </c>
      <c r="K130" s="9">
        <v>2</v>
      </c>
      <c r="L130" s="205">
        <v>3</v>
      </c>
      <c r="M130" s="229"/>
      <c r="N130" s="699"/>
      <c r="P130" s="698"/>
    </row>
    <row r="131" spans="2:22" ht="15" customHeight="1" x14ac:dyDescent="0.3">
      <c r="B131" s="7"/>
      <c r="C131" s="9"/>
      <c r="D131" s="9"/>
      <c r="E131" s="9"/>
      <c r="F131" s="674"/>
      <c r="G131" s="272"/>
      <c r="H131" s="9"/>
      <c r="I131" s="9"/>
      <c r="J131" s="9"/>
      <c r="K131" s="9"/>
      <c r="L131" s="205"/>
      <c r="M131" s="229"/>
      <c r="N131" s="218"/>
      <c r="P131" s="698"/>
    </row>
    <row r="132" spans="2:22" ht="15" customHeight="1" x14ac:dyDescent="0.3">
      <c r="B132" s="7"/>
      <c r="C132" s="9"/>
      <c r="D132" s="9"/>
      <c r="E132" s="9"/>
      <c r="F132" s="674"/>
      <c r="G132" s="272"/>
      <c r="H132" s="9"/>
      <c r="I132" s="9"/>
      <c r="J132" s="9"/>
      <c r="K132" s="218" t="s">
        <v>170</v>
      </c>
      <c r="L132" s="342">
        <f>IF(AND($B$123&lt;200.5,$H$128=1,$J$126=1,$I$130&lt;&gt;2),MAX(0,(IF(Rigid!$F$9="",($B$123*IF($J$124=1,'Unit Costs'!K116,'Unit Costs'!K116/2))-Rigid!$H$9,($B$123*IF($J$124=1,'Unit Costs'!K116,'Unit Costs'!K116/2))*(1-Rigid!$F$9)))*IF(Rigid!$D$10="",1,Rigid!$D$10))+IF($I$130=3,IF(Rigid!$D$10&gt;1,'Unit Costs'!$K$126+(Rigid!$D$10-1),'Unit Costs'!$K$126)),"N/A")</f>
        <v>0</v>
      </c>
      <c r="M132" s="229"/>
      <c r="N132" s="218"/>
      <c r="P132" s="700"/>
    </row>
    <row r="133" spans="2:22" ht="15" customHeight="1" x14ac:dyDescent="0.3">
      <c r="B133" s="7"/>
      <c r="C133" s="9"/>
      <c r="D133" s="9"/>
      <c r="E133" s="9"/>
      <c r="F133" s="9"/>
      <c r="G133" s="9"/>
      <c r="H133" s="9"/>
      <c r="I133" s="9"/>
      <c r="J133" s="9"/>
      <c r="K133" s="9" t="s">
        <v>171</v>
      </c>
      <c r="L133" s="342" t="str">
        <f>IF(AND($B$123&gt;=200.5,$B$123&lt;400.5,$H$128=1,$J$126=1,$I$130&lt;&gt;2),MAX(0,(IF(Rigid!$F$9="",($B$123*IF($J$124=1,'Unit Costs'!K117,'Unit Costs'!K117/2))-Rigid!$H$9,($B$123*IF($J$124=1,'Unit Costs'!K117,'Unit Costs'!K117/2))*(1-Rigid!$F$9)))*IF(Rigid!$D$10="",1,Rigid!$D$10))+IF($I$130=3,IF(Rigid!$D$10&gt;1,'Unit Costs'!$K$126+(Rigid!$D$10-1),'Unit Costs'!$K$126)),"N/A")</f>
        <v>N/A</v>
      </c>
      <c r="M133" s="229"/>
      <c r="N133" s="218"/>
      <c r="P133" s="700"/>
      <c r="U133" s="676"/>
    </row>
    <row r="134" spans="2:22" ht="15" customHeight="1" x14ac:dyDescent="0.3">
      <c r="B134" s="7" t="s">
        <v>691</v>
      </c>
      <c r="C134" s="9" t="s">
        <v>158</v>
      </c>
      <c r="D134" s="357" t="s">
        <v>77</v>
      </c>
      <c r="E134" s="701">
        <f>IF(OR(AND($J$126&gt;1,'Unit Costs'!E152="Single Sided Only"),AND($H$128&gt;1,'Unit Costs'!E188="Unable to Laminate"),AND(Rigid!$F$8="Drill Hole(s)",'Unit Costs'!E224="Vinyl")),"N/A",MAX(0,((IF(Rigid!$F$9="",((IF($J$126=1,IF($B$123&lt;1,IF($B$123=0,0,1),$B$123)*(IF($J$124=1,'Unit Costs'!E116,'Unit Costs'!E116/2)+IF($H$128=1,0,IF($H$128=2,'Unit Costs'!$K$122,IF($H$128=3,'Unit Costs'!$K$123,'Unit Costs'!$K$124)))),IF($B$123&lt;1,IF($B$123=0,0,1),$B$123)*(IF($J$124=1,'Unit Costs'!E116*1.75,'Unit Costs'!E116/2)+IF($H$128=1,0,IF($H$128=2,'Unit Costs'!$K$122*2,IF($H$128=3,'Unit Costs'!$K$123*2,'Unit Costs'!$K$124*2))))))+Rigid!$D$9)-Rigid!$H$9,((IF($J$126=1,IF($B$123&lt;1,IF($B$123=0,0,1),$B$123)*(IF($J$124=1,'Unit Costs'!E116,'Unit Costs'!E116/2)+IF($H$128=1,0,IF($H$128=2,'Unit Costs'!$K$122,IF($H$128=3,'Unit Costs'!$K$123,'Unit Costs'!$K$124)))),IF($B$123&lt;1,IF($B$123=0,0,1),$B$123)*(IF($J$124=1,'Unit Costs'!E116*1.75,'Unit Costs'!E116/2)+IF($H$128=1,0,IF($H$128=2,'Unit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Costs'!K126+IF(Rigid!$D$10&gt;1,Rigid!$D$10-1,0),0)))</f>
        <v>0</v>
      </c>
      <c r="F134" s="272" t="s">
        <v>705</v>
      </c>
      <c r="G134" s="9" t="s">
        <v>164</v>
      </c>
      <c r="H134" s="357" t="s">
        <v>84</v>
      </c>
      <c r="I134" s="671">
        <f>IF(OR(AND($J$126&gt;1,'Unit Costs'!I152="Single Sided Only"),AND($H$128&gt;1,'Unit Costs'!I188="Unable to Laminate"),AND(Rigid!$F$8="Drill Hole(s)",'Unit Costs'!I224="Vinyl")),"N/A",MAX(0,((IF(Rigid!$F$9="",((IF($J$126=1,IF($B$123&lt;1,IF($B$123=0,0,1),$B$123)*(IF($J$124=1,'Unit Costs'!I116,'Unit Costs'!I116/2)+IF($H$128=1,0,IF($H$128=2,'Unit Costs'!$K$122,IF($H$128=3,'Unit Costs'!$K$123,'Unit Costs'!$K$124)))),IF($B$123&lt;1,IF($B$123=0,0,1),$B$123)*(IF($J$124=1,'Unit Costs'!I116*1.75,'Unit Costs'!I116/2)+IF($H$128=1,0,IF($H$128=2,'Unit Costs'!$K$122*2,IF($H$128=3,'Unit Costs'!$K$123*2,'Unit Costs'!$K$124*2))))))+Rigid!$D$9)-Rigid!$H$9,((IF($J$126=1,IF($B$123&lt;1,IF($B$123=0,0,1),$B$123)*(IF($J$124=1,'Unit Costs'!I116,'Unit Costs'!I116/2)+IF($H$128=1,0,IF($H$128=2,'Unit Costs'!$K$122,IF($H$128=3,'Unit Costs'!$K$123,'Unit Costs'!$K$124)))),IF($B$123&lt;1,IF($B$123=0,0,1),$B$123)*(IF($J$124=1,'Unit Costs'!I116*1.75,'Unit Costs'!I116/2)+IF($H$128=1,0,IF($H$128=2,'Unit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Costs'!O126+IF(Rigid!$D$10&gt;1,Rigid!$D$10-1,0),0)))</f>
        <v>0</v>
      </c>
      <c r="K134" s="9" t="s">
        <v>172</v>
      </c>
      <c r="L134" s="342" t="str">
        <f>IF(AND($B$123&gt;=400.5,$B$123&lt;600.5,$H$128=1,$J$126=1,$I$130&lt;&gt;2),MAX(0,(IF(Rigid!$F$9="",($B$123*IF($J$124=1,'Unit Costs'!K118,'Unit Costs'!K118/2))-Rigid!$H$9,($B$123*IF($J$124=1,'Unit Costs'!K118,'Unit Costs'!K118/2))*(1-Rigid!$F$9)))*IF(Rigid!$D$10="",1,Rigid!$D$10))+IF($I$130=3,IF(Rigid!$D$10&gt;1,'Unit Costs'!$K$126+(Rigid!$D$10-1),'Unit Costs'!$K$126)),"N/A")</f>
        <v>N/A</v>
      </c>
      <c r="M134" s="229"/>
      <c r="P134" s="702"/>
      <c r="Q134" s="28"/>
      <c r="R134" s="28"/>
      <c r="S134" s="28"/>
    </row>
    <row r="135" spans="2:22" ht="15" customHeight="1" x14ac:dyDescent="0.3">
      <c r="B135" s="228" t="s">
        <v>692</v>
      </c>
      <c r="C135" s="9"/>
      <c r="D135" s="357" t="s">
        <v>78</v>
      </c>
      <c r="E135" s="671">
        <f>IF(OR(AND($J$126&gt;1,'Unit Costs'!E153="Single Sided Only"),AND($H$128&gt;1,'Unit Costs'!E189="Unable to Laminate"),AND(Rigid!$F$8="Drill Hole(s)",'Unit Costs'!E225="Vinyl")),"N/A",MAX(0,((IF(Rigid!$F$9="",((IF($J$126=1,IF($B$123&lt;1,IF($B$123=0,0,1),$B$123)*(IF($J$124=1,'Unit Costs'!E117,'Unit Costs'!E117/2)+IF($H$128=1,0,IF($H$128=2,'Unit Costs'!$K$122,IF($H$128=3,'Unit Costs'!$K$123,'Unit Costs'!$K$124)))),IF($B$123&lt;1,IF($B$123=0,0,1),$B$123)*(IF($J$124=1,'Unit Costs'!E117*1.75,'Unit Costs'!E117/2)+IF($H$128=1,0,IF($H$128=2,'Unit Costs'!$K$122*2,IF($H$128=3,'Unit Costs'!$K$123*2,'Unit Costs'!$K$124*2))))))+Rigid!$D$9)-Rigid!$H$9,((IF($J$126=1,IF($B$123&lt;1,IF($B$123=0,0,1),$B$123)*(IF($J$124=1,'Unit Costs'!E117,'Unit Costs'!E117/2)+IF($H$128=1,0,IF($H$128=2,'Unit Costs'!$K$122,IF($H$128=3,'Unit Costs'!$K$123,'Unit Costs'!$K$124)))),IF($B$123&lt;1,IF($B$123=0,0,1),$B$123)*(IF($J$124=1,'Unit Costs'!E117*1.75,'Unit Costs'!E117/2)+IF($H$128=1,0,IF($H$128=2,'Unit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Costs'!K127+IF(Rigid!$D$10&gt;1,Rigid!$D$10-1,0),0)))</f>
        <v>0</v>
      </c>
      <c r="F135" s="272" t="s">
        <v>705</v>
      </c>
      <c r="G135" s="9" t="s">
        <v>164</v>
      </c>
      <c r="H135" s="357" t="s">
        <v>77</v>
      </c>
      <c r="I135" s="671">
        <f>IF(OR(AND($J$126&gt;1,'Unit Costs'!I153="Single Sided Only"),AND($H$128&gt;1,'Unit Costs'!I189="Unable to Laminate"),AND(Rigid!$F$8="Drill Hole(s)",'Unit Costs'!I225="Vinyl")),"N/A",MAX(0,((IF(Rigid!$F$9="",((IF($J$126=1,IF($B$123&lt;1,IF($B$123=0,0,1),$B$123)*(IF($J$124=1,'Unit Costs'!I117,'Unit Costs'!I117/2)+IF($H$128=1,0,IF($H$128=2,'Unit Costs'!$K$122,IF($H$128=3,'Unit Costs'!$K$123,'Unit Costs'!$K$124)))),IF($B$123&lt;1,IF($B$123=0,0,1),$B$123)*(IF($J$124=1,'Unit Costs'!I117*1.75,'Unit Costs'!I117/2)+IF($H$128=1,0,IF($H$128=2,'Unit Costs'!$K$122*2,IF($H$128=3,'Unit Costs'!$K$123*2,'Unit Costs'!$K$124*2))))))+Rigid!$D$9)-Rigid!$H$9,((IF($J$126=1,IF($B$123&lt;1,IF($B$123=0,0,1),$B$123)*(IF($J$124=1,'Unit Costs'!I117,'Unit Costs'!I117/2)+IF($H$128=1,0,IF($H$128=2,'Unit Costs'!$K$122,IF($H$128=3,'Unit Costs'!$K$123,'Unit Costs'!$K$124)))),IF($B$123&lt;1,IF($B$123=0,0,1),$B$123)*(IF($J$124=1,'Unit Costs'!I117*1.75,'Unit Costs'!I117/2)+IF($H$128=1,0,IF($H$128=2,'Unit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Costs'!O127+IF(Rigid!$D$10&gt;1,Rigid!$D$10-1,0),0)))</f>
        <v>0</v>
      </c>
      <c r="K135" s="9" t="s">
        <v>173</v>
      </c>
      <c r="L135" s="342" t="str">
        <f>IF(AND($B$123&gt;=600.5,$B$123&lt;800.5,$H$128=1,$J$126=1,$I$130&lt;&gt;2),MAX(0,(IF(Rigid!$F$9="",($B$123*IF($J$124=1,'Unit Costs'!K119,'Unit Costs'!K119/2))-Rigid!$H$9,($B$123*IF($J$124=1,'Unit Costs'!K119,'Unit Costs'!K119/2))*(1-Rigid!$F$9)))*IF(Rigid!$D$10="",1,Rigid!$D$10))+IF($I$130=3,IF(Rigid!$D$10&gt;1,'Unit Costs'!$K$126+(Rigid!$D$10-1),'Unit Costs'!$K$126)),"N/A")</f>
        <v>N/A</v>
      </c>
      <c r="M135" s="229"/>
      <c r="P135" s="28"/>
      <c r="Q135" s="28"/>
      <c r="R135" s="28"/>
      <c r="S135" s="28"/>
    </row>
    <row r="136" spans="2:22" ht="15" customHeight="1" x14ac:dyDescent="0.3">
      <c r="B136" s="228" t="s">
        <v>692</v>
      </c>
      <c r="C136" s="9"/>
      <c r="D136" s="357" t="s">
        <v>77</v>
      </c>
      <c r="E136" s="671">
        <f>IF(OR(AND($J$126&gt;1,'Unit Costs'!E154="Single Sided Only"),AND($H$128&gt;1,'Unit Costs'!E190="Unable to Laminate"),AND(Rigid!$F$8="Drill Hole(s)",'Unit Costs'!E226="Vinyl")),"N/A",MAX(0,((IF(Rigid!$F$9="",((IF($J$126=1,IF($B$123&lt;1,IF($B$123=0,0,1),$B$123)*(IF($J$124=1,'Unit Costs'!E118,'Unit Costs'!E118/2)+IF($H$128=1,0,IF($H$128=2,'Unit Costs'!$K$122,IF($H$128=3,'Unit Costs'!$K$123,'Unit Costs'!$K$124)))),IF($B$123&lt;1,IF($B$123=0,0,1),$B$123)*(IF($J$124=1,'Unit Costs'!E118*1.75,'Unit Costs'!E118/2)+IF($H$128=1,0,IF($H$128=2,'Unit Costs'!$K$122*2,IF($H$128=3,'Unit Costs'!$K$123*2,'Unit Costs'!$K$124*2))))))+Rigid!$D$9)-Rigid!$H$9,((IF($J$126=1,IF($B$123&lt;1,IF($B$123=0,0,1),$B$123)*(IF($J$124=1,'Unit Costs'!E118,'Unit Costs'!E118/2)+IF($H$128=1,0,IF($H$128=2,'Unit Costs'!$K$122,IF($H$128=3,'Unit Costs'!$K$123,'Unit Costs'!$K$124)))),IF($B$123&lt;1,IF($B$123=0,0,1),$B$123)*(IF($J$124=1,'Unit Costs'!E118*1.75,'Unit Costs'!E118/2)+IF($H$128=1,0,IF($H$128=2,'Unit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Costs'!K128+IF(Rigid!$D$10&gt;1,Rigid!$D$10-1,0),0)))</f>
        <v>0</v>
      </c>
      <c r="F136" s="272" t="s">
        <v>706</v>
      </c>
      <c r="G136" s="9" t="s">
        <v>158</v>
      </c>
      <c r="H136" s="357" t="s">
        <v>81</v>
      </c>
      <c r="I136" s="671">
        <f>IF(OR(AND($J$126&gt;1,'Unit Costs'!I154="Single Sided Only"),AND($H$128&gt;1,'Unit Costs'!I190="Unable to Laminate"),AND(Rigid!$F$8="Drill Hole(s)",'Unit Costs'!I226="Vinyl")),"N/A",MAX(0,((IF(Rigid!$F$9="",((IF($J$126=1,IF($B$123&lt;1,IF($B$123=0,0,1),$B$123)*(IF($J$124=1,'Unit Costs'!I118,'Unit Costs'!I118/2)+IF($H$128=1,0,IF($H$128=2,'Unit Costs'!$K$122,IF($H$128=3,'Unit Costs'!$K$123,'Unit Costs'!$K$124)))),IF($B$123&lt;1,IF($B$123=0,0,1),$B$123)*(IF($J$124=1,'Unit Costs'!I118*1.75,'Unit Costs'!I118/2)+IF($H$128=1,0,IF($H$128=2,'Unit Costs'!$K$122*2,IF($H$128=3,'Unit Costs'!$K$123*2,'Unit Costs'!$K$124*2))))))+Rigid!$D$9)-Rigid!$H$9,((IF($J$126=1,IF($B$123&lt;1,IF($B$123=0,0,1),$B$123)*(IF($J$124=1,'Unit Costs'!I118,'Unit Costs'!I118/2)+IF($H$128=1,0,IF($H$128=2,'Unit Costs'!$K$122,IF($H$128=3,'Unit Costs'!$K$123,'Unit Costs'!$K$124)))),IF($B$123&lt;1,IF($B$123=0,0,1),$B$123)*(IF($J$124=1,'Unit Costs'!I118*1.75,'Unit Costs'!I118/2)+IF($H$128=1,0,IF($H$128=2,'Unit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Costs'!O128+IF(Rigid!$D$10&gt;1,Rigid!$D$10-1,0),0)))</f>
        <v>0</v>
      </c>
      <c r="K136" s="9" t="s">
        <v>174</v>
      </c>
      <c r="L136" s="342" t="str">
        <f>IF(AND($B$123&gt;=800.5,$H$128=1,$J$126=1,$I$130&lt;&gt;2),MAX(0,(IF(Rigid!$F$9="",($B$123*IF($J$124=1,'Unit Costs'!K120,'Unit Costs'!K120/2))-Rigid!$H$9,($B$123*IF($J$124=1,'Unit Costs'!K120,'Unit Costs'!K120/2))*(1-Rigid!$F$9)))*IF(Rigid!$D$10="",1,Rigid!$D$10))+IF($I$130=3,IF(Rigid!$D$10&gt;1,'Unit Costs'!$K$126+(Rigid!$D$10-1),'Unit Costs'!$K$126)),"N/A")</f>
        <v>N/A</v>
      </c>
      <c r="M136" s="229"/>
    </row>
    <row r="137" spans="2:22" ht="15" customHeight="1" x14ac:dyDescent="0.3">
      <c r="B137" s="228" t="s">
        <v>693</v>
      </c>
      <c r="C137" s="9"/>
      <c r="D137" s="357" t="s">
        <v>79</v>
      </c>
      <c r="E137" s="671">
        <f>IF(OR(AND($J$126&gt;1,'Unit Costs'!E155="Single Sided Only"),AND($H$128&gt;1,'Unit Costs'!E191="Unable to Laminate"),AND(Rigid!$F$8="Drill Hole(s)",'Unit Costs'!E227="Vinyl")),"N/A",MAX(0,((IF(Rigid!$F$9="",((IF($J$126=1,IF($B$123&lt;1,IF($B$123=0,0,1),$B$123)*(IF($J$124=1,'Unit Costs'!E119,'Unit Costs'!E119/2)+IF($H$128=1,0,IF($H$128=2,'Unit Costs'!$K$122,IF($H$128=3,'Unit Costs'!$K$123,'Unit Costs'!$K$124)))),IF($B$123&lt;1,IF($B$123=0,0,1),$B$123)*(IF($J$124=1,'Unit Costs'!E119*1.75,'Unit Costs'!E119/2)+IF($H$128=1,0,IF($H$128=2,'Unit Costs'!$K$122*2,IF($H$128=3,'Unit Costs'!$K$123*2,'Unit Costs'!$K$124*2))))))+Rigid!$D$9)-Rigid!$H$9,((IF($J$126=1,IF($B$123&lt;1,IF($B$123=0,0,1),$B$123)*(IF($J$124=1,'Unit Costs'!E119,'Unit Costs'!E119/2)+IF($H$128=1,0,IF($H$128=2,'Unit Costs'!$K$122,IF($H$128=3,'Unit Costs'!$K$123,'Unit Costs'!$K$124)))),IF($B$123&lt;1,IF($B$123=0,0,1),$B$123)*(IF($J$124=1,'Unit Costs'!E119*1.75,'Unit Costs'!E119/2)+IF($H$128=1,0,IF($H$128=2,'Unit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Costs'!K129+IF(Rigid!$D$10&gt;1,Rigid!$D$10-1,0),0)))</f>
        <v>0</v>
      </c>
      <c r="F137" s="272" t="s">
        <v>707</v>
      </c>
      <c r="G137" s="9" t="s">
        <v>397</v>
      </c>
      <c r="H137" s="357" t="s">
        <v>78</v>
      </c>
      <c r="I137" s="671">
        <f>IF(OR(AND($J$126&gt;1,'Unit Costs'!I155="Single Sided Only"),AND($H$128&gt;1,'Unit Costs'!I191="Unable to Laminate"),AND(Rigid!$F$8="Drill Hole(s)",'Unit Costs'!I227="Vinyl")),"N/A",MAX(0,((IF(Rigid!$F$9="",((IF($J$126=1,IF($B$123&lt;1,IF($B$123=0,0,1),$B$123)*(IF($J$124=1,'Unit Costs'!I119,'Unit Costs'!I119/2)+IF($H$128=1,0,IF($H$128=2,'Unit Costs'!$K$122,IF($H$128=3,'Unit Costs'!$K$123,'Unit Costs'!$K$124)))),IF($B$123&lt;1,IF($B$123=0,0,1),$B$123)*(IF($J$124=1,'Unit Costs'!I119*1.75,'Unit Costs'!I119/2)+IF($H$128=1,0,IF($H$128=2,'Unit Costs'!$K$122*2,IF($H$128=3,'Unit Costs'!$K$123*2,'Unit Costs'!$K$124*2))))))+Rigid!$D$9)-Rigid!$H$9,((IF($J$126=1,IF($B$123&lt;1,IF($B$123=0,0,1),$B$123)*(IF($J$124=1,'Unit Costs'!I119,'Unit Costs'!I119/2)+IF($H$128=1,0,IF($H$128=2,'Unit Costs'!$K$122,IF($H$128=3,'Unit Costs'!$K$123,'Unit Costs'!$K$124)))),IF($B$123&lt;1,IF($B$123=0,0,1),$B$123)*(IF($J$124=1,'Unit Costs'!I119*1.75,'Unit Costs'!I119/2)+IF($H$128=1,0,IF($H$128=2,'Unit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Costs'!O129+IF(Rigid!$D$10&gt;1,Rigid!$D$10-1,0),0)))</f>
        <v>0</v>
      </c>
      <c r="K137" s="9"/>
      <c r="L137" s="703"/>
      <c r="M137" s="229"/>
      <c r="N137" s="220"/>
    </row>
    <row r="138" spans="2:22" ht="15" customHeight="1" x14ac:dyDescent="0.3">
      <c r="B138" s="7" t="s">
        <v>693</v>
      </c>
      <c r="C138" s="9"/>
      <c r="D138" s="9" t="s">
        <v>403</v>
      </c>
      <c r="E138" s="671">
        <f>IF(OR(AND($J$126&gt;1,'Unit Costs'!E156="Single Sided Only"),AND($H$128&gt;1,'Unit Costs'!E192="Unable to Laminate"),AND(Rigid!$F$8="Drill Hole(s)",'Unit Costs'!E228="Vinyl")),"N/A",MAX(0,((IF(Rigid!$F$9="",((IF($J$126=1,IF($B$123&lt;1,IF($B$123=0,0,1),$B$123)*(IF($J$124=1,'Unit Costs'!E120,'Unit Costs'!E120/2)+IF($H$128=1,0,IF($H$128=2,'Unit Costs'!$K$122,IF($H$128=3,'Unit Costs'!$K$123,'Unit Costs'!$K$124)))),IF($B$123&lt;1,IF($B$123=0,0,1),$B$123)*(IF($J$124=1,'Unit Costs'!E120*1.75,'Unit Costs'!E120/2)+IF($H$128=1,0,IF($H$128=2,'Unit Costs'!$K$122*2,IF($H$128=3,'Unit Costs'!$K$123*2,'Unit Costs'!$K$124*2))))))+Rigid!$D$9)-Rigid!$H$9,((IF($J$126=1,IF($B$123&lt;1,IF($B$123=0,0,1),$B$123)*(IF($J$124=1,'Unit Costs'!E120,'Unit Costs'!E120/2)+IF($H$128=1,0,IF($H$128=2,'Unit Costs'!$K$122,IF($H$128=3,'Unit Costs'!$K$123,'Unit Costs'!$K$124)))),IF($B$123&lt;1,IF($B$123=0,0,1),$B$123)*(IF($J$124=1,'Unit Costs'!E120*1.75,'Unit Costs'!E120/2)+IF($H$128=1,0,IF($H$128=2,'Unit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Costs'!K130+IF(Rigid!$D$10&gt;1,Rigid!$D$10-1,0),0)))</f>
        <v>0</v>
      </c>
      <c r="F138" s="272" t="s">
        <v>707</v>
      </c>
      <c r="G138" s="9" t="s">
        <v>397</v>
      </c>
      <c r="H138" s="357" t="s">
        <v>77</v>
      </c>
      <c r="I138" s="671">
        <f>IF(OR(AND($J$126&gt;1,'Unit Costs'!I156="Single Sided Only"),AND($H$128&gt;1,'Unit Costs'!I192="Unable to Laminate"),AND(Rigid!$F$8="Drill Hole(s)",'Unit Costs'!I228="Vinyl")),"N/A",MAX(0,((IF(Rigid!$F$9="",((IF($J$126=1,IF($B$123&lt;1,IF($B$123=0,0,1),$B$123)*(IF($J$124=1,'Unit Costs'!I120,'Unit Costs'!I120/2)+IF($H$128=1,0,IF($H$128=2,'Unit Costs'!$K$122,IF($H$128=3,'Unit Costs'!$K$123,'Unit Costs'!$K$124)))),IF($B$123&lt;1,IF($B$123=0,0,1),$B$123)*(IF($J$124=1,'Unit Costs'!I120*1.75,'Unit Costs'!I120/2)+IF($H$128=1,0,IF($H$128=2,'Unit Costs'!$K$122*2,IF($H$128=3,'Unit Costs'!$K$123*2,'Unit Costs'!$K$124*2))))))+Rigid!$D$9)-Rigid!$H$9,((IF($J$126=1,IF($B$123&lt;1,IF($B$123=0,0,1),$B$123)*(IF($J$124=1,'Unit Costs'!I120,'Unit Costs'!I120/2)+IF($H$128=1,0,IF($H$128=2,'Unit Costs'!$K$122,IF($H$128=3,'Unit Costs'!$K$123,'Unit Costs'!$K$124)))),IF($B$123&lt;1,IF($B$123=0,0,1),$B$123)*(IF($J$124=1,'Unit Costs'!I120*1.75,'Unit Costs'!I120/2)+IF($H$128=1,0,IF($H$128=2,'Unit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Costs'!O130+IF(Rigid!$D$10&gt;1,Rigid!$D$10-1,0),0)))</f>
        <v>0</v>
      </c>
      <c r="K138" s="9"/>
      <c r="L138" s="205"/>
      <c r="M138" s="229"/>
    </row>
    <row r="139" spans="2:22" ht="15" customHeight="1" x14ac:dyDescent="0.3">
      <c r="B139" s="228" t="s">
        <v>693</v>
      </c>
      <c r="C139" s="9"/>
      <c r="D139" s="357" t="s">
        <v>77</v>
      </c>
      <c r="E139" s="671">
        <f>IF(OR(AND($J$126&gt;1,'Unit Costs'!E157="Single Sided Only"),AND($H$128&gt;1,'Unit Costs'!E193="Unable to Laminate"),AND(Rigid!$F$8="Drill Hole(s)",'Unit Costs'!E229="Vinyl")),"N/A",MAX(0,((IF(Rigid!$F$9="",((IF($J$126=1,IF($B$123&lt;1,IF($B$123=0,0,1),$B$123)*(IF($J$124=1,'Unit Costs'!E121,'Unit Costs'!E121/2)+IF($H$128=1,0,IF($H$128=2,'Unit Costs'!$K$122,IF($H$128=3,'Unit Costs'!$K$123,'Unit Costs'!$K$124)))),IF($B$123&lt;1,IF($B$123=0,0,1),$B$123)*(IF($J$124=1,'Unit Costs'!E121*1.75,'Unit Costs'!E121/2)+IF($H$128=1,0,IF($H$128=2,'Unit Costs'!$K$122*2,IF($H$128=3,'Unit Costs'!$K$123*2,'Unit Costs'!$K$124*2))))))+Rigid!$D$9)-Rigid!$H$9,((IF($J$126=1,IF($B$123&lt;1,IF($B$123=0,0,1),$B$123)*(IF($J$124=1,'Unit Costs'!E121,'Unit Costs'!E121/2)+IF($H$128=1,0,IF($H$128=2,'Unit Costs'!$K$122,IF($H$128=3,'Unit Costs'!$K$123,'Unit Costs'!$K$124)))),IF($B$123&lt;1,IF($B$123=0,0,1),$B$123)*(IF($J$124=1,'Unit Costs'!E121*1.75,'Unit Costs'!E121/2)+IF($H$128=1,0,IF($H$128=2,'Unit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Costs'!K131+IF(Rigid!$D$10&gt;1,Rigid!$D$10-1,0),0)))</f>
        <v>0</v>
      </c>
      <c r="F139" s="9" t="s">
        <v>707</v>
      </c>
      <c r="G139" s="9" t="s">
        <v>163</v>
      </c>
      <c r="H139" s="357" t="s">
        <v>78</v>
      </c>
      <c r="I139" s="671">
        <f>IF(OR(AND($J$126&gt;1,'Unit Costs'!I157="Single Sided Only"),AND($H$128&gt;1,'Unit Costs'!I193="Unable to Laminate"),AND(Rigid!$F$8="Drill Hole(s)",'Unit Costs'!I229="Vinyl")),"N/A",MAX(0,((IF(Rigid!$F$9="",((IF($J$126=1,IF($B$123&lt;1,IF($B$123=0,0,1),$B$123)*(IF($J$124=1,'Unit Costs'!I121,'Unit Costs'!I121/2)+IF($H$128=1,0,IF($H$128=2,'Unit Costs'!$K$122,IF($H$128=3,'Unit Costs'!$K$123,'Unit Costs'!$K$124)))),IF($B$123&lt;1,IF($B$123=0,0,1),$B$123)*(IF($J$124=1,'Unit Costs'!I121*1.75,'Unit Costs'!I121/2)+IF($H$128=1,0,IF($H$128=2,'Unit Costs'!$K$122*2,IF($H$128=3,'Unit Costs'!$K$123*2,'Unit Costs'!$K$124*2))))))+Rigid!$D$9)-Rigid!$H$9,((IF($J$126=1,IF($B$123&lt;1,IF($B$123=0,0,1),$B$123)*(IF($J$124=1,'Unit Costs'!I121,'Unit Costs'!I121/2)+IF($H$128=1,0,IF($H$128=2,'Unit Costs'!$K$122,IF($H$128=3,'Unit Costs'!$K$123,'Unit Costs'!$K$124)))),IF($B$123&lt;1,IF($B$123=0,0,1),$B$123)*(IF($J$124=1,'Unit Costs'!I121*1.75,'Unit Costs'!I121/2)+IF($H$128=1,0,IF($H$128=2,'Unit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Costs'!O131+IF(Rigid!$D$10&gt;1,Rigid!$D$10-1,0),0)))</f>
        <v>0</v>
      </c>
      <c r="K139" s="9"/>
      <c r="L139" s="205"/>
      <c r="M139" s="229"/>
    </row>
    <row r="140" spans="2:22" ht="15" customHeight="1" x14ac:dyDescent="0.3">
      <c r="B140" s="228" t="s">
        <v>694</v>
      </c>
      <c r="C140" s="9" t="s">
        <v>158</v>
      </c>
      <c r="D140" s="357" t="s">
        <v>77</v>
      </c>
      <c r="E140" s="671">
        <f>IF(OR(AND($J$126&gt;1,'Unit Costs'!E158="Single Sided Only"),AND($H$128&gt;1,'Unit Costs'!E194="Unable to Laminate"),AND(Rigid!$F$8="Drill Hole(s)",'Unit Costs'!E230="Vinyl")),"N/A",MAX(0,((IF(Rigid!$F$9="",((IF($J$126=1,IF($B$123&lt;1,IF($B$123=0,0,1),$B$123)*(IF($J$124=1,'Unit Costs'!E122,'Unit Costs'!E122/2)+IF($H$128=1,0,IF($H$128=2,'Unit Costs'!$K$122,IF($H$128=3,'Unit Costs'!$K$123,'Unit Costs'!$K$124)))),IF($B$123&lt;1,IF($B$123=0,0,1),$B$123)*(IF($J$124=1,'Unit Costs'!E122*1.75,'Unit Costs'!E122/2)+IF($H$128=1,0,IF($H$128=2,'Unit Costs'!$K$122*2,IF($H$128=3,'Unit Costs'!$K$123*2,'Unit Costs'!$K$124*2))))))+Rigid!$D$9)-Rigid!$H$9,((IF($J$126=1,IF($B$123&lt;1,IF($B$123=0,0,1),$B$123)*(IF($J$124=1,'Unit Costs'!E122,'Unit Costs'!E122/2)+IF($H$128=1,0,IF($H$128=2,'Unit Costs'!$K$122,IF($H$128=3,'Unit Costs'!$K$123,'Unit Costs'!$K$124)))),IF($B$123&lt;1,IF($B$123=0,0,1),$B$123)*(IF($J$124=1,'Unit Costs'!E122*1.75,'Unit Costs'!E122/2)+IF($H$128=1,0,IF($H$128=2,'Unit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Costs'!K132+IF(Rigid!$D$10&gt;1,Rigid!$D$10-1,0),0)))</f>
        <v>0</v>
      </c>
      <c r="F140" s="9" t="s">
        <v>707</v>
      </c>
      <c r="G140" s="9" t="s">
        <v>163</v>
      </c>
      <c r="H140" s="357" t="s">
        <v>77</v>
      </c>
      <c r="I140" s="671">
        <f>IF(OR(AND($J$126&gt;1,'Unit Costs'!I158="Single Sided Only"),AND($H$128&gt;1,'Unit Costs'!I194="Unable to Laminate"),AND(Rigid!$F$8="Drill Hole(s)",'Unit Costs'!I230="Vinyl")),"N/A",MAX(0,((IF(Rigid!$F$9="",((IF($J$126=1,IF($B$123&lt;1,IF($B$123=0,0,1),$B$123)*(IF($J$124=1,'Unit Costs'!I122,'Unit Costs'!I122/2)+IF($H$128=1,0,IF($H$128=2,'Unit Costs'!$K$122,IF($H$128=3,'Unit Costs'!$K$123,'Unit Costs'!$K$124)))),IF($B$123&lt;1,IF($B$123=0,0,1),$B$123)*(IF($J$124=1,'Unit Costs'!I122*1.75,'Unit Costs'!I122/2)+IF($H$128=1,0,IF($H$128=2,'Unit Costs'!$K$122*2,IF($H$128=3,'Unit Costs'!$K$123*2,'Unit Costs'!$K$124*2))))))+Rigid!$D$9)-Rigid!$H$9,((IF($J$126=1,IF($B$123&lt;1,IF($B$123=0,0,1),$B$123)*(IF($J$124=1,'Unit Costs'!I122,'Unit Costs'!I122/2)+IF($H$128=1,0,IF($H$128=2,'Unit Costs'!$K$122,IF($H$128=3,'Unit Costs'!$K$123,'Unit Costs'!$K$124)))),IF($B$123&lt;1,IF($B$123=0,0,1),$B$123)*(IF($J$124=1,'Unit Costs'!I122*1.75,'Unit Costs'!I122/2)+IF($H$128=1,0,IF($H$128=2,'Unit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Costs'!O132+IF(Rigid!$D$10&gt;1,Rigid!$D$10-1,0),0)))</f>
        <v>0</v>
      </c>
      <c r="K140" s="9" t="s">
        <v>169</v>
      </c>
      <c r="L140" s="704">
        <f>IF(Rigid!$L$20=0,0,MAX(0,IF(Rigid!$F$9="",((IF($J$126=1,IF($B$123&lt;1,IF($B$123=0,0,1),$B$123)*(IF($J$124=1,'Unit Costs'!K121,'Unit Costs'!K121/2)+IF($H$128=1,0,IF($H$128=2,'Unit Costs'!$K$122,IF($H$128=3,'Unit Costs'!$K$123,'Unit Costs'!$K$124)))),IF($B$123&lt;1,IF($B$123=0,0,1),$B$123)*(IF($J$124=1,'Unit Costs'!K121*1.75,'Unit Costs'!K121/2)+IF($H$128=1,0,IF($H$128=2,'Unit Costs'!$K$122,IF($H$128=3,'Unit Costs'!$K$123,'Unit Costs'!$K$124))))))+Rigid!$D$9)-Rigid!$H$9,((IF($J$126=1,IF($B$123&lt;1,IF($B$123=0,0,1),$B$123)*(IF($J$124=1,'Unit Costs'!K121,'Unit Costs'!K121/2)+IF($H$128=1,0,IF($H$128=2,'Unit Costs'!$K$122,IF($H$128=3,'Unit Costs'!$K$123,'Unit Costs'!$K$124)))),IF($B$123&lt;1,IF($B$123=0,0,1),$B$123)*(IF($J$124=1,'Unit Costs'!K121*1.75,'Unit Costs'!K121/2)+IF($H$128=1,0,IF($H$128=2,'Unit Costs'!$K$122,IF($H$128=3,'Unit Costs'!$K$123,'Unit Costs'!$K$124))))))+Rigid!$D$9)*(1-Rigid!$F$9))*IF(Rigid!$D$10="",1,Rigid!$D$10))+IF($I$130=2,IF(Rigid!$D$10="",'Unit Costs'!$K$125,Rigid!$D$10*'Unit Costs'!$K$125),IF($I$130=3,'Unit Costs'!K126+IF(Rigid!$D$10&gt;1,Rigid!$D$10-1,0),0)))</f>
        <v>0</v>
      </c>
      <c r="M140" s="229"/>
    </row>
    <row r="141" spans="2:22" ht="15" customHeight="1" x14ac:dyDescent="0.3">
      <c r="B141" s="7" t="s">
        <v>695</v>
      </c>
      <c r="C141" s="9" t="s">
        <v>399</v>
      </c>
      <c r="D141" s="9" t="s">
        <v>77</v>
      </c>
      <c r="E141" s="671">
        <f>IF(OR(AND($J$126&gt;1,'Unit Costs'!E159="Single Sided Only"),AND($H$128&gt;1,'Unit Costs'!E195="Unable to Laminate"),AND(Rigid!$F$8="Drill Hole(s)",'Unit Costs'!E231="Vinyl")),"N/A",MAX(0,((IF(Rigid!$F$9="",((IF($J$126=1,IF($B$123&lt;1,IF($B$123=0,0,1),$B$123)*(IF($J$124=1,'Unit Costs'!E123,'Unit Costs'!E123/2)+IF($H$128=1,0,IF($H$128=2,'Unit Costs'!$K$122,IF($H$128=3,'Unit Costs'!$K$123,'Unit Costs'!$K$124)))),IF($B$123&lt;1,IF($B$123=0,0,1),$B$123)*(IF($J$124=1,'Unit Costs'!E123*1.75,'Unit Costs'!E123/2)+IF($H$128=1,0,IF($H$128=2,'Unit Costs'!$K$122*2,IF($H$128=3,'Unit Costs'!$K$123*2,'Unit Costs'!$K$124*2))))))+Rigid!$D$9)-Rigid!$H$9,((IF($J$126=1,IF($B$123&lt;1,IF($B$123=0,0,1),$B$123)*(IF($J$124=1,'Unit Costs'!E123,'Unit Costs'!E123/2)+IF($H$128=1,0,IF($H$128=2,'Unit Costs'!$K$122,IF($H$128=3,'Unit Costs'!$K$123,'Unit Costs'!$K$124)))),IF($B$123&lt;1,IF($B$123=0,0,1),$B$123)*(IF($J$124=1,'Unit Costs'!E123*1.75,'Unit Costs'!E123/2)+IF($H$128=1,0,IF($H$128=2,'Unit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Costs'!K133+IF(Rigid!$D$10&gt;1,Rigid!$D$10-1,0),0)))</f>
        <v>0</v>
      </c>
      <c r="F141" s="9" t="s">
        <v>707</v>
      </c>
      <c r="G141" s="9" t="s">
        <v>164</v>
      </c>
      <c r="H141" s="357" t="s">
        <v>78</v>
      </c>
      <c r="I141" s="671">
        <f>IF(OR(AND($J$126&gt;1,'Unit Costs'!I159="Single Sided Only"),AND($H$128&gt;1,'Unit Costs'!I195="Unable to Laminate"),AND(Rigid!$F$8="Drill Hole(s)",'Unit Costs'!I231="Vinyl")),"N/A",MAX(0,((IF(Rigid!$F$9="",((IF($J$126=1,IF($B$123&lt;1,IF($B$123=0,0,1),$B$123)*(IF($J$124=1,'Unit Costs'!I123,'Unit Costs'!I123/2)+IF($H$128=1,0,IF($H$128=2,'Unit Costs'!$K$122,IF($H$128=3,'Unit Costs'!$K$123,'Unit Costs'!$K$124)))),IF($B$123&lt;1,IF($B$123=0,0,1),$B$123)*(IF($J$124=1,'Unit Costs'!I123*1.75,'Unit Costs'!I123/2)+IF($H$128=1,0,IF($H$128=2,'Unit Costs'!$K$122*2,IF($H$128=3,'Unit Costs'!$K$123*2,'Unit Costs'!$K$124*2))))))+Rigid!$D$9)-Rigid!$H$9,((IF($J$126=1,IF($B$123&lt;1,IF($B$123=0,0,1),$B$123)*(IF($J$124=1,'Unit Costs'!I123,'Unit Costs'!I123/2)+IF($H$128=1,0,IF($H$128=2,'Unit Costs'!$K$122,IF($H$128=3,'Unit Costs'!$K$123,'Unit Costs'!$K$124)))),IF($B$123&lt;1,IF($B$123=0,0,1),$B$123)*(IF($J$124=1,'Unit Costs'!I123*1.75,'Unit Costs'!I123/2)+IF($H$128=1,0,IF($H$128=2,'Unit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Costs'!O133+IF(Rigid!$D$10&gt;1,Rigid!$D$10-1,0),0)))</f>
        <v>0</v>
      </c>
      <c r="J141" s="9"/>
      <c r="K141" s="272"/>
      <c r="L141" s="205"/>
      <c r="M141" s="229"/>
      <c r="N141" s="218"/>
    </row>
    <row r="142" spans="2:22" ht="15" customHeight="1" x14ac:dyDescent="0.3">
      <c r="B142" s="7" t="s">
        <v>695</v>
      </c>
      <c r="C142" s="9" t="s">
        <v>402</v>
      </c>
      <c r="D142" s="9" t="s">
        <v>77</v>
      </c>
      <c r="E142" s="671">
        <f>IF(OR(AND($J$126&gt;1,'Unit Costs'!E160="Single Sided Only"),AND($H$128&gt;1,'Unit Costs'!E196="Unable to Laminate"),AND(Rigid!$F$8="Drill Hole(s)",'Unit Costs'!E232="Vinyl")),"N/A",MAX(0,((IF(Rigid!$F$9="",((IF($J$126=1,IF($B$123&lt;1,IF($B$123=0,0,1),$B$123)*(IF($J$124=1,'Unit Costs'!E124,'Unit Costs'!E124/2)+IF($H$128=1,0,IF($H$128=2,'Unit Costs'!$K$122,IF($H$128=3,'Unit Costs'!$K$123,'Unit Costs'!$K$124)))),IF($B$123&lt;1,IF($B$123=0,0,1),$B$123)*(IF($J$124=1,'Unit Costs'!E124*1.75,'Unit Costs'!E124/2)+IF($H$128=1,0,IF($H$128=2,'Unit Costs'!$K$122*2,IF($H$128=3,'Unit Costs'!$K$123*2,'Unit Costs'!$K$124*2))))))+Rigid!$D$9)-Rigid!$H$9,((IF($J$126=1,IF($B$123&lt;1,IF($B$123=0,0,1),$B$123)*(IF($J$124=1,'Unit Costs'!E124,'Unit Costs'!E124/2)+IF($H$128=1,0,IF($H$128=2,'Unit Costs'!$K$122,IF($H$128=3,'Unit Costs'!$K$123,'Unit Costs'!$K$124)))),IF($B$123&lt;1,IF($B$123=0,0,1),$B$123)*(IF($J$124=1,'Unit Costs'!E124*1.75,'Unit Costs'!E124/2)+IF($H$128=1,0,IF($H$128=2,'Unit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Costs'!K134+IF(Rigid!$D$10&gt;1,Rigid!$D$10-1,0),0)))</f>
        <v>0</v>
      </c>
      <c r="F142" s="9" t="s">
        <v>707</v>
      </c>
      <c r="G142" s="9" t="s">
        <v>164</v>
      </c>
      <c r="H142" s="357" t="s">
        <v>77</v>
      </c>
      <c r="I142" s="671">
        <f>IF(OR(AND($J$126&gt;1,'Unit Costs'!I160="Single Sided Only"),AND($H$128&gt;1,'Unit Costs'!I196="Unable to Laminate"),AND(Rigid!$F$8="Drill Hole(s)",'Unit Costs'!I232="Vinyl")),"N/A",MAX(0,((IF(Rigid!$F$9="",((IF($J$126=1,IF($B$123&lt;1,IF($B$123=0,0,1),$B$123)*(IF($J$124=1,'Unit Costs'!I124,'Unit Costs'!I124/2)+IF($H$128=1,0,IF($H$128=2,'Unit Costs'!$K$122,IF($H$128=3,'Unit Costs'!$K$123,'Unit Costs'!$K$124)))),IF($B$123&lt;1,IF($B$123=0,0,1),$B$123)*(IF($J$124=1,'Unit Costs'!I124*1.75,'Unit Costs'!I124/2)+IF($H$128=1,0,IF($H$128=2,'Unit Costs'!$K$122*2,IF($H$128=3,'Unit Costs'!$K$123*2,'Unit Costs'!$K$124*2))))))+Rigid!$D$9)-Rigid!$H$9,((IF($J$126=1,IF($B$123&lt;1,IF($B$123=0,0,1),$B$123)*(IF($J$124=1,'Unit Costs'!I124,'Unit Costs'!I124/2)+IF($H$128=1,0,IF($H$128=2,'Unit Costs'!$K$122,IF($H$128=3,'Unit Costs'!$K$123,'Unit Costs'!$K$124)))),IF($B$123&lt;1,IF($B$123=0,0,1),$B$123)*(IF($J$124=1,'Unit Costs'!I124*1.75,'Unit Costs'!I124/2)+IF($H$128=1,0,IF($H$128=2,'Unit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Costs'!O134+IF(Rigid!$D$10&gt;1,Rigid!$D$10-1,0),0)))</f>
        <v>0</v>
      </c>
      <c r="J142" s="9"/>
      <c r="K142" s="272"/>
      <c r="L142" s="205"/>
      <c r="M142" s="229"/>
      <c r="N142" s="218"/>
      <c r="O142" s="674"/>
    </row>
    <row r="143" spans="2:22" ht="15" customHeight="1" x14ac:dyDescent="0.3">
      <c r="B143" s="7" t="s">
        <v>695</v>
      </c>
      <c r="C143" s="9" t="s">
        <v>163</v>
      </c>
      <c r="D143" s="9" t="s">
        <v>77</v>
      </c>
      <c r="E143" s="671">
        <f>IF(OR(AND($J$126&gt;1,'Unit Costs'!E161="Single Sided Only"),AND($H$128&gt;1,'Unit Costs'!E197="Unable to Laminate"),AND(Rigid!$F$8="Drill Hole(s)",'Unit Costs'!E233="Vinyl")),"N/A",MAX(0,((IF(Rigid!$F$9="",((IF($J$126=1,IF($B$123&lt;1,IF($B$123=0,0,1),$B$123)*(IF($J$124=1,'Unit Costs'!E125,'Unit Costs'!E125/2)+IF($H$128=1,0,IF($H$128=2,'Unit Costs'!$K$122,IF($H$128=3,'Unit Costs'!$K$123,'Unit Costs'!$K$124)))),IF($B$123&lt;1,IF($B$123=0,0,1),$B$123)*(IF($J$124=1,'Unit Costs'!E125*1.75,'Unit Costs'!E125/2)+IF($H$128=1,0,IF($H$128=2,'Unit Costs'!$K$122*2,IF($H$128=3,'Unit Costs'!$K$123*2,'Unit Costs'!$K$124*2))))))+Rigid!$D$9)-Rigid!$H$9,((IF($J$126=1,IF($B$123&lt;1,IF($B$123=0,0,1),$B$123)*(IF($J$124=1,'Unit Costs'!E125,'Unit Costs'!E125/2)+IF($H$128=1,0,IF($H$128=2,'Unit Costs'!$K$122,IF($H$128=3,'Unit Costs'!$K$123,'Unit Costs'!$K$124)))),IF($B$123&lt;1,IF($B$123=0,0,1),$B$123)*(IF($J$124=1,'Unit Costs'!E125*1.75,'Unit Costs'!E125/2)+IF($H$128=1,0,IF($H$128=2,'Unit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Costs'!K135+IF(Rigid!$D$10&gt;1,Rigid!$D$10-1,0),0)))</f>
        <v>0</v>
      </c>
      <c r="F143" s="9" t="s">
        <v>707</v>
      </c>
      <c r="G143" s="9" t="s">
        <v>165</v>
      </c>
      <c r="H143" s="357" t="s">
        <v>78</v>
      </c>
      <c r="I143" s="671">
        <f>IF(OR(AND($J$126&gt;1,'Unit Costs'!I161="Single Sided Only"),AND($H$128&gt;1,'Unit Costs'!I197="Unable to Laminate"),AND(Rigid!$F$8="Drill Hole(s)",'Unit Costs'!I233="Vinyl")),"N/A",MAX(0,((IF(Rigid!$F$9="",((IF($J$126=1,IF($B$123&lt;1,IF($B$123=0,0,1),$B$123)*(IF($J$124=1,'Unit Costs'!I125,'Unit Costs'!I125/2)+IF($H$128=1,0,IF($H$128=2,'Unit Costs'!$K$122,IF($H$128=3,'Unit Costs'!$K$123,'Unit Costs'!$K$124)))),IF($B$123&lt;1,IF($B$123=0,0,1),$B$123)*(IF($J$124=1,'Unit Costs'!I125*1.75,'Unit Costs'!I125/2)+IF($H$128=1,0,IF($H$128=2,'Unit Costs'!$K$122*2,IF($H$128=3,'Unit Costs'!$K$123*2,'Unit Costs'!$K$124*2))))))+Rigid!$D$9)-Rigid!$H$9,((IF($J$126=1,IF($B$123&lt;1,IF($B$123=0,0,1),$B$123)*(IF($J$124=1,'Unit Costs'!I125,'Unit Costs'!I125/2)+IF($H$128=1,0,IF($H$128=2,'Unit Costs'!$K$122,IF($H$128=3,'Unit Costs'!$K$123,'Unit Costs'!$K$124)))),IF($B$123&lt;1,IF($B$123=0,0,1),$B$123)*(IF($J$124=1,'Unit Costs'!I125*1.75,'Unit Costs'!I125/2)+IF($H$128=1,0,IF($H$128=2,'Unit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Costs'!O135+IF(Rigid!$D$10&gt;1,Rigid!$D$10-1,0),0)))</f>
        <v>0</v>
      </c>
      <c r="J143" s="9"/>
      <c r="K143" s="272"/>
      <c r="L143" s="205"/>
      <c r="M143" s="229"/>
      <c r="N143" s="218"/>
    </row>
    <row r="144" spans="2:22" ht="15" customHeight="1" x14ac:dyDescent="0.3">
      <c r="B144" s="7" t="s">
        <v>461</v>
      </c>
      <c r="C144" s="9" t="s">
        <v>398</v>
      </c>
      <c r="D144" s="9" t="s">
        <v>77</v>
      </c>
      <c r="E144" s="671">
        <f>IF(OR(AND($J$126&gt;1,'Unit Costs'!E162="Single Sided Only"),AND($H$128&gt;1,'Unit Costs'!E198="Unable to Laminate"),AND(Rigid!$F$8="Drill Hole(s)",'Unit Costs'!E234="Vinyl")),"N/A",MAX(0,((IF(Rigid!$F$9="",((IF($J$126=1,IF($B$123&lt;1,IF($B$123=0,0,1),$B$123)*(IF($J$124=1,'Unit Costs'!E126,'Unit Costs'!E126/2)+IF($H$128=1,0,IF($H$128=2,'Unit Costs'!$K$122,IF($H$128=3,'Unit Costs'!$K$123,'Unit Costs'!$K$124)))),IF($B$123&lt;1,IF($B$123=0,0,1),$B$123)*(IF($J$124=1,'Unit Costs'!E126*1.75,'Unit Costs'!E126/2)+IF($H$128=1,0,IF($H$128=2,'Unit Costs'!$K$122*2,IF($H$128=3,'Unit Costs'!$K$123*2,'Unit Costs'!$K$124*2))))))+Rigid!$D$9)-Rigid!$H$9,((IF($J$126=1,IF($B$123&lt;1,IF($B$123=0,0,1),$B$123)*(IF($J$124=1,'Unit Costs'!E126,'Unit Costs'!E126/2)+IF($H$128=1,0,IF($H$128=2,'Unit Costs'!$K$122,IF($H$128=3,'Unit Costs'!$K$123,'Unit Costs'!$K$124)))),IF($B$123&lt;1,IF($B$123=0,0,1),$B$123)*(IF($J$124=1,'Unit Costs'!E126*1.75,'Unit Costs'!E126/2)+IF($H$128=1,0,IF($H$128=2,'Unit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Costs'!K136+IF(Rigid!$D$10&gt;1,Rigid!$D$10-1,0),0)))</f>
        <v>0</v>
      </c>
      <c r="F144" s="9" t="s">
        <v>707</v>
      </c>
      <c r="G144" s="9" t="s">
        <v>165</v>
      </c>
      <c r="H144" s="357" t="s">
        <v>77</v>
      </c>
      <c r="I144" s="671">
        <f>IF(OR(AND($J$126&gt;1,'Unit Costs'!I162="Single Sided Only"),AND($H$128&gt;1,'Unit Costs'!I198="Unable to Laminate"),AND(Rigid!$F$8="Drill Hole(s)",'Unit Costs'!I234="Vinyl")),"N/A",MAX(0,((IF(Rigid!$F$9="",((IF($J$126=1,IF($B$123&lt;1,IF($B$123=0,0,1),$B$123)*(IF($J$124=1,'Unit Costs'!I126,'Unit Costs'!I126/2)+IF($H$128=1,0,IF($H$128=2,'Unit Costs'!$K$122,IF($H$128=3,'Unit Costs'!$K$123,'Unit Costs'!$K$124)))),IF($B$123&lt;1,IF($B$123=0,0,1),$B$123)*(IF($J$124=1,'Unit Costs'!I126*1.75,'Unit Costs'!I126/2)+IF($H$128=1,0,IF($H$128=2,'Unit Costs'!$K$122*2,IF($H$128=3,'Unit Costs'!$K$123*2,'Unit Costs'!$K$124*2))))))+Rigid!$D$9)-Rigid!$H$9,((IF($J$126=1,IF($B$123&lt;1,IF($B$123=0,0,1),$B$123)*(IF($J$124=1,'Unit Costs'!I126,'Unit Costs'!I126/2)+IF($H$128=1,0,IF($H$128=2,'Unit Costs'!$K$122,IF($H$128=3,'Unit Costs'!$K$123,'Unit Costs'!$K$124)))),IF($B$123&lt;1,IF($B$123=0,0,1),$B$123)*(IF($J$124=1,'Unit Costs'!I126*1.75,'Unit Costs'!I126/2)+IF($H$128=1,0,IF($H$128=2,'Unit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Costs'!O136+IF(Rigid!$D$10&gt;1,Rigid!$D$10-1,0),0)))</f>
        <v>0</v>
      </c>
      <c r="J144" s="9"/>
      <c r="K144" s="272"/>
      <c r="L144" s="205"/>
      <c r="Q144" s="218"/>
      <c r="R144" s="218"/>
      <c r="S144" s="218"/>
      <c r="T144" s="218"/>
      <c r="U144" s="218"/>
      <c r="V144" s="218"/>
    </row>
    <row r="145" spans="2:14" ht="15" customHeight="1" x14ac:dyDescent="0.3">
      <c r="B145" s="7" t="s">
        <v>697</v>
      </c>
      <c r="C145" s="9" t="s">
        <v>158</v>
      </c>
      <c r="D145" s="357" t="s">
        <v>77</v>
      </c>
      <c r="E145" s="671">
        <f>IF(OR(AND($J$126&gt;1,'Unit Costs'!E163="Single Sided Only"),AND($H$128&gt;1,'Unit Costs'!E199="Unable to Laminate"),AND(Rigid!$F$8="Drill Hole(s)",'Unit Costs'!E235="Vinyl")),"N/A",MAX(0,((IF(Rigid!$F$9="",((IF($J$126=1,IF($B$123&lt;1,IF($B$123=0,0,1),$B$123)*(IF($J$124=1,'Unit Costs'!E127,'Unit Costs'!E127/2)+IF($H$128=1,0,IF($H$128=2,'Unit Costs'!$K$122,IF($H$128=3,'Unit Costs'!$K$123,'Unit Costs'!$K$124)))),IF($B$123&lt;1,IF($B$123=0,0,1),$B$123)*(IF($J$124=1,'Unit Costs'!E127*1.75,'Unit Costs'!E127/2)+IF($H$128=1,0,IF($H$128=2,'Unit Costs'!$K$122*2,IF($H$128=3,'Unit Costs'!$K$123*2,'Unit Costs'!$K$124*2))))))+Rigid!$D$9)-Rigid!$H$9,((IF($J$126=1,IF($B$123&lt;1,IF($B$123=0,0,1),$B$123)*(IF($J$124=1,'Unit Costs'!E127,'Unit Costs'!E127/2)+IF($H$128=1,0,IF($H$128=2,'Unit Costs'!$K$122,IF($H$128=3,'Unit Costs'!$K$123,'Unit Costs'!$K$124)))),IF($B$123&lt;1,IF($B$123=0,0,1),$B$123)*(IF($J$124=1,'Unit Costs'!E127*1.75,'Unit Costs'!E127/2)+IF($H$128=1,0,IF($H$128=2,'Unit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Costs'!K137+IF(Rigid!$D$10&gt;1,Rigid!$D$10-1,0),0)))</f>
        <v>0</v>
      </c>
      <c r="F145" s="9" t="s">
        <v>708</v>
      </c>
      <c r="G145" s="9" t="s">
        <v>399</v>
      </c>
      <c r="H145" s="357" t="s">
        <v>77</v>
      </c>
      <c r="I145" s="671">
        <f>IF(OR(AND($J$126&gt;1,'Unit Costs'!I163="Single Sided Only"),AND($H$128&gt;1,'Unit Costs'!I199="Unable to Laminate"),AND(Rigid!$F$8="Drill Hole(s)",'Unit Costs'!I235="Vinyl")),"N/A",MAX(0,((IF(Rigid!$F$9="",((IF($J$126=1,IF($B$123&lt;1,IF($B$123=0,0,1),$B$123)*(IF($J$124=1,'Unit Costs'!I127,'Unit Costs'!I127/2)+IF($H$128=1,0,IF($H$128=2,'Unit Costs'!$K$122,IF($H$128=3,'Unit Costs'!$K$123,'Unit Costs'!$K$124)))),IF($B$123&lt;1,IF($B$123=0,0,1),$B$123)*(IF($J$124=1,'Unit Costs'!I127*1.75,'Unit Costs'!I127/2)+IF($H$128=1,0,IF($H$128=2,'Unit Costs'!$K$122*2,IF($H$128=3,'Unit Costs'!$K$123*2,'Unit Costs'!$K$124*2))))))+Rigid!$D$9)-Rigid!$H$9,((IF($J$126=1,IF($B$123&lt;1,IF($B$123=0,0,1),$B$123)*(IF($J$124=1,'Unit Costs'!I127,'Unit Costs'!I127/2)+IF($H$128=1,0,IF($H$128=2,'Unit Costs'!$K$122,IF($H$128=3,'Unit Costs'!$K$123,'Unit Costs'!$K$124)))),IF($B$123&lt;1,IF($B$123=0,0,1),$B$123)*(IF($J$124=1,'Unit Costs'!I127*1.75,'Unit Costs'!I127/2)+IF($H$128=1,0,IF($H$128=2,'Unit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Costs'!O137+IF(Rigid!$D$10&gt;1,Rigid!$D$10-1,0),0)))</f>
        <v>0</v>
      </c>
      <c r="J145" s="9"/>
      <c r="K145" s="9" t="s">
        <v>454</v>
      </c>
      <c r="L145" s="705">
        <f>IF(OR(Rigid!$L$24&lt;=0,Rigid!$L$25&lt;=0,Rigid!$L$24&lt;Rigid!$L$25),0,1-(Rigid!$L$25/Rigid!$L$24))</f>
        <v>0</v>
      </c>
      <c r="M145" s="229"/>
      <c r="N145" s="218"/>
    </row>
    <row r="146" spans="2:14" ht="15" customHeight="1" x14ac:dyDescent="0.3">
      <c r="B146" s="7" t="s">
        <v>698</v>
      </c>
      <c r="C146" s="9" t="s">
        <v>158</v>
      </c>
      <c r="D146" s="357" t="s">
        <v>77</v>
      </c>
      <c r="E146" s="671">
        <f>IF(OR(AND($J$126&gt;1,'Unit Costs'!E164="Single Sided Only"),AND($H$128&gt;1,'Unit Costs'!E200="Unable to Laminate"),AND(Rigid!$F$8="Drill Hole(s)",'Unit Costs'!E236="Vinyl")),"N/A",MAX(0,((IF(Rigid!$F$9="",((IF($J$126=1,IF($B$123&lt;1,IF($B$123=0,0,1),$B$123)*(IF($J$124=1,'Unit Costs'!E128,'Unit Costs'!E128/2)+IF($H$128=1,0,IF($H$128=2,'Unit Costs'!$K$122,IF($H$128=3,'Unit Costs'!$K$123,'Unit Costs'!$K$124)))),IF($B$123&lt;1,IF($B$123=0,0,1),$B$123)*(IF($J$124=1,'Unit Costs'!E128*1.75,'Unit Costs'!E128/2)+IF($H$128=1,0,IF($H$128=2,'Unit Costs'!$K$122*2,IF($H$128=3,'Unit Costs'!$K$123*2,'Unit Costs'!$K$124*2))))))+Rigid!$D$9)-Rigid!$H$9,((IF($J$126=1,IF($B$123&lt;1,IF($B$123=0,0,1),$B$123)*(IF($J$124=1,'Unit Costs'!E128,'Unit Costs'!E128/2)+IF($H$128=1,0,IF($H$128=2,'Unit Costs'!$K$122,IF($H$128=3,'Unit Costs'!$K$123,'Unit Costs'!$K$124)))),IF($B$123&lt;1,IF($B$123=0,0,1),$B$123)*(IF($J$124=1,'Unit Costs'!E128*1.75,'Unit Costs'!E128/2)+IF($H$128=1,0,IF($H$128=2,'Unit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Costs'!K138+IF(Rigid!$D$10&gt;1,Rigid!$D$10-1,0),0)))</f>
        <v>0</v>
      </c>
      <c r="F146" s="9" t="s">
        <v>708</v>
      </c>
      <c r="G146" s="9" t="s">
        <v>400</v>
      </c>
      <c r="H146" s="357" t="s">
        <v>77</v>
      </c>
      <c r="I146" s="671">
        <f>IF(OR(AND($J$126&gt;1,'Unit Costs'!I164="Single Sided Only"),AND($H$128&gt;1,'Unit Costs'!I200="Unable to Laminate"),AND(Rigid!$F$8="Drill Hole(s)",'Unit Costs'!I236="Vinyl")),"N/A",MAX(0,((IF(Rigid!$F$9="",((IF($J$126=1,IF($B$123&lt;1,IF($B$123=0,0,1),$B$123)*(IF($J$124=1,'Unit Costs'!I128,'Unit Costs'!I128/2)+IF($H$128=1,0,IF($H$128=2,'Unit Costs'!$K$122,IF($H$128=3,'Unit Costs'!$K$123,'Unit Costs'!$K$124)))),IF($B$123&lt;1,IF($B$123=0,0,1),$B$123)*(IF($J$124=1,'Unit Costs'!I128*1.75,'Unit Costs'!I128/2)+IF($H$128=1,0,IF($H$128=2,'Unit Costs'!$K$122*2,IF($H$128=3,'Unit Costs'!$K$123*2,'Unit Costs'!$K$124*2))))))+Rigid!$D$9)-Rigid!$H$9,((IF($J$126=1,IF($B$123&lt;1,IF($B$123=0,0,1),$B$123)*(IF($J$124=1,'Unit Costs'!I128,'Unit Costs'!I128/2)+IF($H$128=1,0,IF($H$128=2,'Unit Costs'!$K$122,IF($H$128=3,'Unit Costs'!$K$123,'Unit Costs'!$K$124)))),IF($B$123&lt;1,IF($B$123=0,0,1),$B$123)*(IF($J$124=1,'Unit Costs'!I128*1.75,'Unit Costs'!I128/2)+IF($H$128=1,0,IF($H$128=2,'Unit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Costs'!O138+IF(Rigid!$D$10&gt;1,Rigid!$D$10-1,0),0)))</f>
        <v>0</v>
      </c>
      <c r="J146" s="9"/>
      <c r="K146" s="272"/>
      <c r="L146" s="205"/>
      <c r="M146" s="229"/>
      <c r="N146" s="218"/>
    </row>
    <row r="147" spans="2:14" ht="15" customHeight="1" x14ac:dyDescent="0.3">
      <c r="B147" s="7" t="s">
        <v>699</v>
      </c>
      <c r="C147" s="9" t="s">
        <v>158</v>
      </c>
      <c r="D147" s="357" t="s">
        <v>77</v>
      </c>
      <c r="E147" s="671">
        <f>IF(OR(AND($J$126&gt;1,'Unit Costs'!E165="Single Sided Only"),AND($H$128&gt;1,'Unit Costs'!E201="Unable to Laminate"),AND(Rigid!$F$8="Drill Hole(s)",'Unit Costs'!E237="Vinyl")),"N/A",MAX(0,((IF(Rigid!$F$9="",((IF($J$126=1,IF($B$123&lt;1,IF($B$123=0,0,1),$B$123)*(IF($J$124=1,'Unit Costs'!E129,'Unit Costs'!E129/2)+IF($H$128=1,0,IF($H$128=2,'Unit Costs'!$K$122,IF($H$128=3,'Unit Costs'!$K$123,'Unit Costs'!$K$124)))),IF($B$123&lt;1,IF($B$123=0,0,1),$B$123)*(IF($J$124=1,'Unit Costs'!E129*1.75,'Unit Costs'!E129/2)+IF($H$128=1,0,IF($H$128=2,'Unit Costs'!$K$122*2,IF($H$128=3,'Unit Costs'!$K$123*2,'Unit Costs'!$K$124*2))))))+Rigid!$D$9)-Rigid!$H$9,((IF($J$126=1,IF($B$123&lt;1,IF($B$123=0,0,1),$B$123)*(IF($J$124=1,'Unit Costs'!E129,'Unit Costs'!E129/2)+IF($H$128=1,0,IF($H$128=2,'Unit Costs'!$K$122,IF($H$128=3,'Unit Costs'!$K$123,'Unit Costs'!$K$124)))),IF($B$123&lt;1,IF($B$123=0,0,1),$B$123)*(IF($J$124=1,'Unit Costs'!E129*1.75,'Unit Costs'!E129/2)+IF($H$128=1,0,IF($H$128=2,'Unit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Costs'!K139+IF(Rigid!$D$10&gt;1,Rigid!$D$10-1,0),0)))</f>
        <v>0</v>
      </c>
      <c r="F147" s="9" t="s">
        <v>708</v>
      </c>
      <c r="G147" s="9" t="s">
        <v>401</v>
      </c>
      <c r="H147" s="357" t="s">
        <v>77</v>
      </c>
      <c r="I147" s="671">
        <f>IF(OR(AND($J$126&gt;1,'Unit Costs'!I165="Single Sided Only"),AND($H$128&gt;1,'Unit Costs'!I201="Unable to Laminate"),AND(Rigid!$F$8="Drill Hole(s)",'Unit Costs'!I237="Vinyl")),"N/A",MAX(0,((IF(Rigid!$F$9="",((IF($J$126=1,IF($B$123&lt;1,IF($B$123=0,0,1),$B$123)*(IF($J$124=1,'Unit Costs'!I129,'Unit Costs'!I129/2)+IF($H$128=1,0,IF($H$128=2,'Unit Costs'!$K$122,IF($H$128=3,'Unit Costs'!$K$123,'Unit Costs'!$K$124)))),IF($B$123&lt;1,IF($B$123=0,0,1),$B$123)*(IF($J$124=1,'Unit Costs'!I129*1.75,'Unit Costs'!I129/2)+IF($H$128=1,0,IF($H$128=2,'Unit Costs'!$K$122*2,IF($H$128=3,'Unit Costs'!$K$123*2,'Unit Costs'!$K$124*2))))))+Rigid!$D$9)-Rigid!$H$9,((IF($J$126=1,IF($B$123&lt;1,IF($B$123=0,0,1),$B$123)*(IF($J$124=1,'Unit Costs'!I129,'Unit Costs'!I129/2)+IF($H$128=1,0,IF($H$128=2,'Unit Costs'!$K$122,IF($H$128=3,'Unit Costs'!$K$123,'Unit Costs'!$K$124)))),IF($B$123&lt;1,IF($B$123=0,0,1),$B$123)*(IF($J$124=1,'Unit Costs'!I129*1.75,'Unit Costs'!I129/2)+IF($H$128=1,0,IF($H$128=2,'Unit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Costs'!O139+IF(Rigid!$D$10&gt;1,Rigid!$D$10-1,0),0)))</f>
        <v>0</v>
      </c>
      <c r="J147" s="9"/>
      <c r="K147" s="272"/>
      <c r="L147" s="205"/>
      <c r="M147" s="229"/>
      <c r="N147" s="218"/>
    </row>
    <row r="148" spans="2:14" ht="15" customHeight="1" x14ac:dyDescent="0.3">
      <c r="B148" s="7" t="s">
        <v>700</v>
      </c>
      <c r="C148" s="9" t="s">
        <v>520</v>
      </c>
      <c r="D148" s="357" t="s">
        <v>77</v>
      </c>
      <c r="E148" s="671">
        <f>IF(OR(AND($J$126&gt;1,'Unit Costs'!E166="Single Sided Only"),AND($H$128&gt;1,'Unit Costs'!E202="Unable to Laminate"),AND(Rigid!$F$8="Drill Hole(s)",'Unit Costs'!E238="Vinyl")),"N/A",MAX(0,((IF(Rigid!$F$9="",((IF($J$126=1,IF($B$123&lt;1,IF($B$123=0,0,1),$B$123)*(IF($J$124=1,'Unit Costs'!E130,'Unit Costs'!E130/2)+IF($H$128=1,0,IF($H$128=2,'Unit Costs'!$K$122,IF($H$128=3,'Unit Costs'!$K$123,'Unit Costs'!$K$124)))),IF($B$123&lt;1,IF($B$123=0,0,1),$B$123)*(IF($J$124=1,'Unit Costs'!E130*1.75,'Unit Costs'!E130/2)+IF($H$128=1,0,IF($H$128=2,'Unit Costs'!$K$122*2,IF($H$128=3,'Unit Costs'!$K$123*2,'Unit Costs'!$K$124*2))))))+Rigid!$D$9)-Rigid!$H$9,((IF($J$126=1,IF($B$123&lt;1,IF($B$123=0,0,1),$B$123)*(IF($J$124=1,'Unit Costs'!E130,'Unit Costs'!E130/2)+IF($H$128=1,0,IF($H$128=2,'Unit Costs'!$K$122,IF($H$128=3,'Unit Costs'!$K$123,'Unit Costs'!$K$124)))),IF($B$123&lt;1,IF($B$123=0,0,1),$B$123)*(IF($J$124=1,'Unit Costs'!E130*1.75,'Unit Costs'!E130/2)+IF($H$128=1,0,IF($H$128=2,'Unit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Costs'!K140+IF(Rigid!$D$10&gt;1,Rigid!$D$10-1,0),0)))</f>
        <v>0</v>
      </c>
      <c r="F148" s="9" t="s">
        <v>708</v>
      </c>
      <c r="G148" s="9" t="s">
        <v>402</v>
      </c>
      <c r="H148" s="357" t="s">
        <v>77</v>
      </c>
      <c r="I148" s="671">
        <f>IF(OR(AND($J$126&gt;1,'Unit Costs'!I166="Single Sided Only"),AND($H$128&gt;1,'Unit Costs'!I202="Unable to Laminate"),AND(Rigid!$F$8="Drill Hole(s)",'Unit Costs'!I238="Vinyl")),"N/A",MAX(0,((IF(Rigid!$F$9="",((IF($J$126=1,IF($B$123&lt;1,IF($B$123=0,0,1),$B$123)*(IF($J$124=1,'Unit Costs'!I130,'Unit Costs'!I130/2)+IF($H$128=1,0,IF($H$128=2,'Unit Costs'!$K$122,IF($H$128=3,'Unit Costs'!$K$123,'Unit Costs'!$K$124)))),IF($B$123&lt;1,IF($B$123=0,0,1),$B$123)*(IF($J$124=1,'Unit Costs'!I130*1.75,'Unit Costs'!I130/2)+IF($H$128=1,0,IF($H$128=2,'Unit Costs'!$K$122*2,IF($H$128=3,'Unit Costs'!$K$123*2,'Unit Costs'!$K$124*2))))))+Rigid!$D$9)-Rigid!$H$9,((IF($J$126=1,IF($B$123&lt;1,IF($B$123=0,0,1),$B$123)*(IF($J$124=1,'Unit Costs'!I130,'Unit Costs'!I130/2)+IF($H$128=1,0,IF($H$128=2,'Unit Costs'!$K$122,IF($H$128=3,'Unit Costs'!$K$123,'Unit Costs'!$K$124)))),IF($B$123&lt;1,IF($B$123=0,0,1),$B$123)*(IF($J$124=1,'Unit Costs'!I130*1.75,'Unit Costs'!I130/2)+IF($H$128=1,0,IF($H$128=2,'Unit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Costs'!O140+IF(Rigid!$D$10&gt;1,Rigid!$D$10-1,0),0)))</f>
        <v>0</v>
      </c>
      <c r="J148" s="9"/>
      <c r="K148" s="272"/>
      <c r="L148" s="205"/>
      <c r="M148" s="229"/>
      <c r="N148" s="218"/>
    </row>
    <row r="149" spans="2:14" ht="15" customHeight="1" x14ac:dyDescent="0.3">
      <c r="B149" s="7" t="s">
        <v>700</v>
      </c>
      <c r="C149" s="9" t="s">
        <v>521</v>
      </c>
      <c r="D149" s="357" t="s">
        <v>77</v>
      </c>
      <c r="E149" s="671">
        <f>IF(OR(AND($J$126&gt;1,'Unit Costs'!E167="Single Sided Only"),AND($H$128&gt;1,'Unit Costs'!E203="Unable to Laminate"),AND(Rigid!$F$8="Drill Hole(s)",'Unit Costs'!E239="Vinyl")),"N/A",MAX(0,((IF(Rigid!$F$9="",((IF($J$126=1,IF($B$123&lt;1,IF($B$123=0,0,1),$B$123)*(IF($J$124=1,'Unit Costs'!E131,'Unit Costs'!E131/2)+IF($H$128=1,0,IF($H$128=2,'Unit Costs'!$K$122,IF($H$128=3,'Unit Costs'!$K$123,'Unit Costs'!$K$124)))),IF($B$123&lt;1,IF($B$123=0,0,1),$B$123)*(IF($J$124=1,'Unit Costs'!E131*1.75,'Unit Costs'!E131/2)+IF($H$128=1,0,IF($H$128=2,'Unit Costs'!$K$122*2,IF($H$128=3,'Unit Costs'!$K$123*2,'Unit Costs'!$K$124*2))))))+Rigid!$D$9)-Rigid!$H$9,((IF($J$126=1,IF($B$123&lt;1,IF($B$123=0,0,1),$B$123)*(IF($J$124=1,'Unit Costs'!E131,'Unit Costs'!E131/2)+IF($H$128=1,0,IF($H$128=2,'Unit Costs'!$K$122,IF($H$128=3,'Unit Costs'!$K$123,'Unit Costs'!$K$124)))),IF($B$123&lt;1,IF($B$123=0,0,1),$B$123)*(IF($J$124=1,'Unit Costs'!E131*1.75,'Unit Costs'!E131/2)+IF($H$128=1,0,IF($H$128=2,'Unit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Costs'!K141+IF(Rigid!$D$10&gt;1,Rigid!$D$10-1,0),0)))</f>
        <v>0</v>
      </c>
      <c r="F149" s="9" t="s">
        <v>82</v>
      </c>
      <c r="G149" s="9"/>
      <c r="H149" s="357" t="s">
        <v>83</v>
      </c>
      <c r="I149" s="671">
        <f>IF(OR(AND($J$126&gt;1,'Unit Costs'!I167="Single Sided Only"),AND($H$128&gt;1,'Unit Costs'!I203="Unable to Laminate"),AND(Rigid!$F$8="Drill Hole(s)",'Unit Costs'!I239="Vinyl")),"N/A",MAX(0,((IF(Rigid!$F$9="",((IF($J$126=1,IF($B$123&lt;1,IF($B$123=0,0,1),$B$123)*(IF($J$124=1,'Unit Costs'!I131,'Unit Costs'!I131/2)+IF($H$128=1,0,IF($H$128=2,'Unit Costs'!$K$122,IF($H$128=3,'Unit Costs'!$K$123,'Unit Costs'!$K$124)))),IF($B$123&lt;1,IF($B$123=0,0,1),$B$123)*(IF($J$124=1,'Unit Costs'!I131*1.75,'Unit Costs'!I131/2)+IF($H$128=1,0,IF($H$128=2,'Unit Costs'!$K$122*2,IF($H$128=3,'Unit Costs'!$K$123*2,'Unit Costs'!$K$124*2))))))+Rigid!$D$9)-Rigid!$H$9,((IF($J$126=1,IF($B$123&lt;1,IF($B$123=0,0,1),$B$123)*(IF($J$124=1,'Unit Costs'!I131,'Unit Costs'!I131/2)+IF($H$128=1,0,IF($H$128=2,'Unit Costs'!$K$122,IF($H$128=3,'Unit Costs'!$K$123,'Unit Costs'!$K$124)))),IF($B$123&lt;1,IF($B$123=0,0,1),$B$123)*(IF($J$124=1,'Unit Costs'!I131*1.75,'Unit Costs'!I131/2)+IF($H$128=1,0,IF($H$128=2,'Unit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Costs'!O141+IF(Rigid!$D$10&gt;1,Rigid!$D$10-1,0),0)))</f>
        <v>0</v>
      </c>
      <c r="J149" s="9"/>
      <c r="K149" s="272"/>
      <c r="L149" s="205"/>
      <c r="M149" s="229"/>
      <c r="N149" s="218"/>
    </row>
    <row r="150" spans="2:14" ht="15" customHeight="1" x14ac:dyDescent="0.3">
      <c r="B150" s="228" t="s">
        <v>701</v>
      </c>
      <c r="C150" s="26" t="s">
        <v>158</v>
      </c>
      <c r="D150" s="357" t="s">
        <v>77</v>
      </c>
      <c r="E150" s="671">
        <f>IF(OR(AND($J$126&gt;1,'Unit Costs'!E168="Single Sided Only"),AND($H$128&gt;1,'Unit Costs'!E204="Unable to Laminate"),AND(Rigid!$F$8="Drill Hole(s)",'Unit Costs'!E240="Vinyl")),"N/A",MAX(0,((IF(Rigid!$F$9="",((IF($J$126=1,IF($B$123&lt;1,IF($B$123=0,0,1),$B$123)*(IF($J$124=1,'Unit Costs'!E132,'Unit Costs'!E132/2)+IF($H$128=1,0,IF($H$128=2,'Unit Costs'!$K$122,IF($H$128=3,'Unit Costs'!$K$123,'Unit Costs'!$K$124)))),IF($B$123&lt;1,IF($B$123=0,0,1),$B$123)*(IF($J$124=1,'Unit Costs'!E132*1.75,'Unit Costs'!E132/2)+IF($H$128=1,0,IF($H$128=2,'Unit Costs'!$K$122*2,IF($H$128=3,'Unit Costs'!$K$123*2,'Unit Costs'!$K$124*2))))))+Rigid!$D$9)-Rigid!$H$9,((IF($J$126=1,IF($B$123&lt;1,IF($B$123=0,0,1),$B$123)*(IF($J$124=1,'Unit Costs'!E132,'Unit Costs'!E132/2)+IF($H$128=1,0,IF($H$128=2,'Unit Costs'!$K$122,IF($H$128=3,'Unit Costs'!$K$123,'Unit Costs'!$K$124)))),IF($B$123&lt;1,IF($B$123=0,0,1),$B$123)*(IF($J$124=1,'Unit Costs'!E132*1.75,'Unit Costs'!E132/2)+IF($H$128=1,0,IF($H$128=2,'Unit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Costs'!K142+IF(Rigid!$D$10&gt;1,Rigid!$D$10-1,0),0)))</f>
        <v>0</v>
      </c>
      <c r="F150" s="9" t="s">
        <v>82</v>
      </c>
      <c r="G150" s="9"/>
      <c r="H150" s="357" t="s">
        <v>77</v>
      </c>
      <c r="I150" s="671">
        <f>IF(OR(AND($J$126&gt;1,'Unit Costs'!I168="Single Sided Only"),AND($H$128&gt;1,'Unit Costs'!I204="Unable to Laminate"),AND(Rigid!$F$8="Drill Hole(s)",'Unit Costs'!I240="Vinyl")),"N/A",MAX(0,((IF(Rigid!$F$9="",((IF($J$126=1,IF($B$123&lt;1,IF($B$123=0,0,1),$B$123)*(IF($J$124=1,'Unit Costs'!I132,'Unit Costs'!I132/2)+IF($H$128=1,0,IF($H$128=2,'Unit Costs'!$K$122,IF($H$128=3,'Unit Costs'!$K$123,'Unit Costs'!$K$124)))),IF($B$123&lt;1,IF($B$123=0,0,1),$B$123)*(IF($J$124=1,'Unit Costs'!I132*1.75,'Unit Costs'!I132/2)+IF($H$128=1,0,IF($H$128=2,'Unit Costs'!$K$122*2,IF($H$128=3,'Unit Costs'!$K$123*2,'Unit Costs'!$K$124*2))))))+Rigid!$D$9)-Rigid!$H$9,((IF($J$126=1,IF($B$123&lt;1,IF($B$123=0,0,1),$B$123)*(IF($J$124=1,'Unit Costs'!I132,'Unit Costs'!I132/2)+IF($H$128=1,0,IF($H$128=2,'Unit Costs'!$K$122,IF($H$128=3,'Unit Costs'!$K$123,'Unit Costs'!$K$124)))),IF($B$123&lt;1,IF($B$123=0,0,1),$B$123)*(IF($J$124=1,'Unit Costs'!I132*1.75,'Unit Costs'!I132/2)+IF($H$128=1,0,IF($H$128=2,'Unit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Costs'!O142+IF(Rigid!$D$10&gt;1,Rigid!$D$10-1,0),0)))</f>
        <v>0</v>
      </c>
      <c r="J150" s="9"/>
      <c r="K150" s="272"/>
      <c r="L150" s="205"/>
      <c r="M150" s="229"/>
      <c r="N150" s="218"/>
    </row>
    <row r="151" spans="2:14" ht="15" customHeight="1" x14ac:dyDescent="0.3">
      <c r="B151" s="7" t="s">
        <v>702</v>
      </c>
      <c r="C151" s="9"/>
      <c r="D151" s="9" t="s">
        <v>77</v>
      </c>
      <c r="E151" s="671">
        <f>IF(OR(AND($J$126&gt;1,'Unit Costs'!E169="Single Sided Only"),AND($H$128&gt;1,'Unit Costs'!E205="Unable to Laminate"),AND(Rigid!$F$8="Drill Hole(s)",'Unit Costs'!E241="Vinyl")),"N/A",MAX(0,((IF(Rigid!$F$9="",((IF($J$126=1,IF($B$123&lt;1,IF($B$123=0,0,1),$B$123)*(IF($J$124=1,'Unit Costs'!E133,'Unit Costs'!E133/2)+IF($H$128=1,0,IF($H$128=2,'Unit Costs'!$K$122,IF($H$128=3,'Unit Costs'!$K$123,'Unit Costs'!$K$124)))),IF($B$123&lt;1,IF($B$123=0,0,1),$B$123)*(IF($J$124=1,'Unit Costs'!E133*1.75,'Unit Costs'!E133/2)+IF($H$128=1,0,IF($H$128=2,'Unit Costs'!$K$122*2,IF($H$128=3,'Unit Costs'!$K$123*2,'Unit Costs'!$K$124*2))))))+Rigid!$D$9)-Rigid!$H$9,((IF($J$126=1,IF($B$123&lt;1,IF($B$123=0,0,1),$B$123)*(IF($J$124=1,'Unit Costs'!E133,'Unit Costs'!E133/2)+IF($H$128=1,0,IF($H$128=2,'Unit Costs'!$K$122,IF($H$128=3,'Unit Costs'!$K$123,'Unit Costs'!$K$124)))),IF($B$123&lt;1,IF($B$123=0,0,1),$B$123)*(IF($J$124=1,'Unit Costs'!E133*1.75,'Unit Costs'!E133/2)+IF($H$128=1,0,IF($H$128=2,'Unit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Costs'!K143+IF(Rigid!$D$10&gt;1,Rigid!$D$10-1,0),0)))</f>
        <v>0</v>
      </c>
      <c r="F151" s="9" t="s">
        <v>709</v>
      </c>
      <c r="G151" s="9"/>
      <c r="H151" s="357" t="s">
        <v>77</v>
      </c>
      <c r="I151" s="671">
        <f>IF(OR(AND($J$126&gt;1,'Unit Costs'!I169="Single Sided Only"),AND($H$128&gt;1,'Unit Costs'!I205="Unable to Laminate"),AND(Rigid!$F$8="Drill Hole(s)",'Unit Costs'!I241="Vinyl")),"N/A",MAX(0,((IF(Rigid!$F$9="",((IF($J$126=1,IF($B$123&lt;1,IF($B$123=0,0,1),$B$123)*(IF($J$124=1,'Unit Costs'!I133,'Unit Costs'!I133/2)+IF($H$128=1,0,IF($H$128=2,'Unit Costs'!$K$122,IF($H$128=3,'Unit Costs'!$K$123,'Unit Costs'!$K$124)))),IF($B$123&lt;1,IF($B$123=0,0,1),$B$123)*(IF($J$124=1,'Unit Costs'!I133*1.75,'Unit Costs'!I133/2)+IF($H$128=1,0,IF($H$128=2,'Unit Costs'!$K$122*2,IF($H$128=3,'Unit Costs'!$K$123*2,'Unit Costs'!$K$124*2))))))+Rigid!$D$9)-Rigid!$H$9,((IF($J$126=1,IF($B$123&lt;1,IF($B$123=0,0,1),$B$123)*(IF($J$124=1,'Unit Costs'!I133,'Unit Costs'!I133/2)+IF($H$128=1,0,IF($H$128=2,'Unit Costs'!$K$122,IF($H$128=3,'Unit Costs'!$K$123,'Unit Costs'!$K$124)))),IF($B$123&lt;1,IF($B$123=0,0,1),$B$123)*(IF($J$124=1,'Unit Costs'!I133*1.75,'Unit Costs'!I133/2)+IF($H$128=1,0,IF($H$128=2,'Unit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Costs'!O143+IF(Rigid!$D$10&gt;1,Rigid!$D$10-1,0),0)))</f>
        <v>0</v>
      </c>
      <c r="J151" s="9"/>
      <c r="K151" s="272"/>
      <c r="L151" s="205"/>
      <c r="M151" s="229"/>
      <c r="N151" s="218"/>
    </row>
    <row r="152" spans="2:14" ht="15" customHeight="1" x14ac:dyDescent="0.3">
      <c r="B152" s="228" t="s">
        <v>703</v>
      </c>
      <c r="C152" s="9"/>
      <c r="D152" s="357" t="s">
        <v>77</v>
      </c>
      <c r="E152" s="671">
        <f>IF(OR(AND($J$126&gt;1,'Unit Costs'!E170="Single Sided Only"),AND($H$128&gt;1,'Unit Costs'!E206="Unable to Laminate"),AND(Rigid!$F$8="Drill Hole(s)",'Unit Costs'!E242="Vinyl")),"N/A",MAX(0,((IF(Rigid!$F$9="",((IF($J$126=1,IF($B$123&lt;1,IF($B$123=0,0,1),$B$123)*(IF($J$124=1,'Unit Costs'!E134,'Unit Costs'!E134/2)+IF($H$128=1,0,IF($H$128=2,'Unit Costs'!$K$122,IF($H$128=3,'Unit Costs'!$K$123,'Unit Costs'!$K$124)))),IF($B$123&lt;1,IF($B$123=0,0,1),$B$123)*(IF($J$124=1,'Unit Costs'!E134*1.75,'Unit Costs'!E134/2)+IF($H$128=1,0,IF($H$128=2,'Unit Costs'!$K$122*2,IF($H$128=3,'Unit Costs'!$K$123*2,'Unit Costs'!$K$124*2))))))+Rigid!$D$9)-Rigid!$H$9,((IF($J$126=1,IF($B$123&lt;1,IF($B$123=0,0,1),$B$123)*(IF($J$124=1,'Unit Costs'!E134,'Unit Costs'!E134/2)+IF($H$128=1,0,IF($H$128=2,'Unit Costs'!$K$122,IF($H$128=3,'Unit Costs'!$K$123,'Unit Costs'!$K$124)))),IF($B$123&lt;1,IF($B$123=0,0,1),$B$123)*(IF($J$124=1,'Unit Costs'!E134*1.75,'Unit Costs'!E134/2)+IF($H$128=1,0,IF($H$128=2,'Unit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Costs'!K144+IF(Rigid!$D$10&gt;1,Rigid!$D$10-1,0),0)))</f>
        <v>0</v>
      </c>
      <c r="F152" s="26" t="s">
        <v>387</v>
      </c>
      <c r="G152" s="26" t="s">
        <v>158</v>
      </c>
      <c r="H152" s="26" t="s">
        <v>77</v>
      </c>
      <c r="I152" s="671">
        <f>IF(OR(AND($J$126&gt;1,'Unit Costs'!I170="Single Sided Only"),AND($H$128&gt;1,'Unit Costs'!I206="Unable to Laminate"),AND(Rigid!$F$8="Drill Hole(s)",'Unit Costs'!I242="Vinyl")),"N/A",MAX(0,((IF(Rigid!$F$9="",((IF($J$126=1,IF($B$123&lt;1,IF($B$123=0,0,1),$B$123)*(IF($J$124=1,'Unit Costs'!I134,'Unit Costs'!I134/2)+IF($H$128=1,0,IF($H$128=2,'Unit Costs'!$K$122,IF($H$128=3,'Unit Costs'!$K$123,'Unit Costs'!$K$124)))),IF($B$123&lt;1,IF($B$123=0,0,1),$B$123)*(IF($J$124=1,'Unit Costs'!I134*1.75,'Unit Costs'!I134/2)+IF($H$128=1,0,IF($H$128=2,'Unit Costs'!$K$122*2,IF($H$128=3,'Unit Costs'!$K$123*2,'Unit Costs'!$K$124*2))))))+Rigid!$D$9)-Rigid!$H$9,((IF($J$126=1,IF($B$123&lt;1,IF($B$123=0,0,1),$B$123)*(IF($J$124=1,'Unit Costs'!I134,'Unit Costs'!I134/2)+IF($H$128=1,0,IF($H$128=2,'Unit Costs'!$K$122,IF($H$128=3,'Unit Costs'!$K$123,'Unit Costs'!$K$124)))),IF($B$123&lt;1,IF($B$123=0,0,1),$B$123)*(IF($J$124=1,'Unit Costs'!I134*1.75,'Unit Costs'!I134/2)+IF($H$128=1,0,IF($H$128=2,'Unit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Costs'!O144+IF(Rigid!$D$10&gt;1,Rigid!$D$10-1,0),0)))</f>
        <v>0</v>
      </c>
      <c r="J152" s="9"/>
      <c r="K152" s="272"/>
      <c r="L152" s="205"/>
      <c r="M152" s="229"/>
      <c r="N152" s="218"/>
    </row>
    <row r="153" spans="2:14" ht="15" customHeight="1" x14ac:dyDescent="0.3">
      <c r="B153" s="228" t="s">
        <v>755</v>
      </c>
      <c r="C153" s="9" t="s">
        <v>163</v>
      </c>
      <c r="D153" s="357" t="s">
        <v>81</v>
      </c>
      <c r="E153" s="671">
        <f>IF(OR(AND($J$126&gt;1,'Unit Costs'!E171="Single Sided Only"),AND($H$128&gt;1,'Unit Costs'!E207="Unable to Laminate"),AND(Rigid!$F$8="Drill Hole(s)",'Unit Costs'!E243="Vinyl")),"N/A",MAX(0,((IF(Rigid!$F$9="",((IF($J$126=1,IF($B$123&lt;1,IF($B$123=0,0,1),$B$123)*(IF($J$124=1,'Unit Costs'!E135,'Unit Costs'!E135/2)+IF($H$128=1,0,IF($H$128=2,'Unit Costs'!$K$122,IF($H$128=3,'Unit Costs'!$K$123,'Unit Costs'!$K$124)))),IF($B$123&lt;1,IF($B$123=0,0,1),$B$123)*(IF($J$124=1,'Unit Costs'!E135*1.75,'Unit Costs'!E135/2)+IF($H$128=1,0,IF($H$128=2,'Unit Costs'!$K$122*2,IF($H$128=3,'Unit Costs'!$K$123*2,'Unit Costs'!$K$124*2))))))+Rigid!$D$9)-Rigid!$H$9,((IF($J$126=1,IF($B$123&lt;1,IF($B$123=0,0,1),$B$123)*(IF($J$124=1,'Unit Costs'!E135,'Unit Costs'!E135/2)+IF($H$128=1,0,IF($H$128=2,'Unit Costs'!$K$122,IF($H$128=3,'Unit Costs'!$K$123,'Unit Costs'!$K$124)))),IF($B$123&lt;1,IF($B$123=0,0,1),$B$123)*(IF($J$124=1,'Unit Costs'!E135*1.75,'Unit Costs'!E135/2)+IF($H$128=1,0,IF($H$128=2,'Unit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Costs'!K145+IF(Rigid!$D$10&gt;1,Rigid!$D$10-1,0),0)))</f>
        <v>0</v>
      </c>
      <c r="F153" s="9" t="s">
        <v>710</v>
      </c>
      <c r="G153" s="9" t="s">
        <v>398</v>
      </c>
      <c r="H153" s="357" t="s">
        <v>78</v>
      </c>
      <c r="I153" s="671">
        <f>IF(OR(AND($J$126&gt;1,'Unit Costs'!I171="Single Sided Only"),AND($H$128&gt;1,'Unit Costs'!I207="Unable to Laminate"),AND(Rigid!$F$8="Drill Hole(s)",'Unit Costs'!I243="Vinyl")),"N/A",MAX(0,((IF(Rigid!$F$9="",((IF($J$126=1,IF($B$123&lt;1,IF($B$123=0,0,1),$B$123)*(IF($J$124=1,'Unit Costs'!I135,'Unit Costs'!I135/2)+IF($H$128=1,0,IF($H$128=2,'Unit Costs'!$K$122,IF($H$128=3,'Unit Costs'!$K$123,'Unit Costs'!$K$124)))),IF($B$123&lt;1,IF($B$123=0,0,1),$B$123)*(IF($J$124=1,'Unit Costs'!I135*1.75,'Unit Costs'!I135/2)+IF($H$128=1,0,IF($H$128=2,'Unit Costs'!$K$122*2,IF($H$128=3,'Unit Costs'!$K$123*2,'Unit Costs'!$K$124*2))))))+Rigid!$D$9)-Rigid!$H$9,((IF($J$126=1,IF($B$123&lt;1,IF($B$123=0,0,1),$B$123)*(IF($J$124=1,'Unit Costs'!I135,'Unit Costs'!I135/2)+IF($H$128=1,0,IF($H$128=2,'Unit Costs'!$K$122,IF($H$128=3,'Unit Costs'!$K$123,'Unit Costs'!$K$124)))),IF($B$123&lt;1,IF($B$123=0,0,1),$B$123)*(IF($J$124=1,'Unit Costs'!I135*1.75,'Unit Costs'!I135/2)+IF($H$128=1,0,IF($H$128=2,'Unit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Costs'!O145+IF(Rigid!$D$10&gt;1,Rigid!$D$10-1,0),0)))</f>
        <v>0</v>
      </c>
      <c r="J153" s="9"/>
      <c r="K153" s="272"/>
      <c r="L153" s="205"/>
      <c r="M153" s="229"/>
      <c r="N153" s="218"/>
    </row>
    <row r="154" spans="2:14" ht="15" customHeight="1" x14ac:dyDescent="0.3">
      <c r="B154" s="7" t="s">
        <v>755</v>
      </c>
      <c r="C154" s="9" t="s">
        <v>163</v>
      </c>
      <c r="D154" s="9" t="s">
        <v>84</v>
      </c>
      <c r="E154" s="671">
        <f>IF(OR(AND($J$126&gt;1,'Unit Costs'!E172="Single Sided Only"),AND($H$128&gt;1,'Unit Costs'!E208="Unable to Laminate"),AND(Rigid!$F$8="Drill Hole(s)",'Unit Costs'!E244="Vinyl")),"N/A",MAX(0,((IF(Rigid!$F$9="",((IF($J$126=1,IF($B$123&lt;1,IF($B$123=0,0,1),$B$123)*(IF($J$124=1,'Unit Costs'!E136,'Unit Costs'!E136/2)+IF($H$128=1,0,IF($H$128=2,'Unit Costs'!$K$122,IF($H$128=3,'Unit Costs'!$K$123,'Unit Costs'!$K$124)))),IF($B$123&lt;1,IF($B$123=0,0,1),$B$123)*(IF($J$124=1,'Unit Costs'!E136*1.75,'Unit Costs'!E136/2)+IF($H$128=1,0,IF($H$128=2,'Unit Costs'!$K$122*2,IF($H$128=3,'Unit Costs'!$K$123*2,'Unit Costs'!$K$124*2))))))+Rigid!$D$9)-Rigid!$H$9,((IF($J$126=1,IF($B$123&lt;1,IF($B$123=0,0,1),$B$123)*(IF($J$124=1,'Unit Costs'!E136,'Unit Costs'!E136/2)+IF($H$128=1,0,IF($H$128=2,'Unit Costs'!$K$122,IF($H$128=3,'Unit Costs'!$K$123,'Unit Costs'!$K$124)))),IF($B$123&lt;1,IF($B$123=0,0,1),$B$123)*(IF($J$124=1,'Unit Costs'!E136*1.75,'Unit Costs'!E136/2)+IF($H$128=1,0,IF($H$128=2,'Unit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Costs'!K146+IF(Rigid!$D$10&gt;1,Rigid!$D$10-1,0),0)))</f>
        <v>0</v>
      </c>
      <c r="F154" s="9" t="s">
        <v>710</v>
      </c>
      <c r="G154" s="9" t="s">
        <v>398</v>
      </c>
      <c r="H154" s="357" t="s">
        <v>77</v>
      </c>
      <c r="I154" s="671">
        <f>IF(OR(AND($J$126&gt;1,'Unit Costs'!I172="Single Sided Only"),AND($H$128&gt;1,'Unit Costs'!I208="Unable to Laminate"),AND(Rigid!$F$8="Drill Hole(s)",'Unit Costs'!I244="Vinyl")),"N/A",MAX(0,((IF(Rigid!$F$9="",((IF($J$126=1,IF($B$123&lt;1,IF($B$123=0,0,1),$B$123)*(IF($J$124=1,'Unit Costs'!I136,'Unit Costs'!I136/2)+IF($H$128=1,0,IF($H$128=2,'Unit Costs'!$K$122,IF($H$128=3,'Unit Costs'!$K$123,'Unit Costs'!$K$124)))),IF($B$123&lt;1,IF($B$123=0,0,1),$B$123)*(IF($J$124=1,'Unit Costs'!I136*1.75,'Unit Costs'!I136/2)+IF($H$128=1,0,IF($H$128=2,'Unit Costs'!$K$122*2,IF($H$128=3,'Unit Costs'!$K$123*2,'Unit Costs'!$K$124*2))))))+Rigid!$D$9)-Rigid!$H$9,((IF($J$126=1,IF($B$123&lt;1,IF($B$123=0,0,1),$B$123)*(IF($J$124=1,'Unit Costs'!I136,'Unit Costs'!I136/2)+IF($H$128=1,0,IF($H$128=2,'Unit Costs'!$K$122,IF($H$128=3,'Unit Costs'!$K$123,'Unit Costs'!$K$124)))),IF($B$123&lt;1,IF($B$123=0,0,1),$B$123)*(IF($J$124=1,'Unit Costs'!I136*1.75,'Unit Costs'!I136/2)+IF($H$128=1,0,IF($H$128=2,'Unit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Costs'!O146+IF(Rigid!$D$10&gt;1,Rigid!$D$10-1,0),0)))</f>
        <v>0</v>
      </c>
      <c r="J154" s="9"/>
      <c r="K154" s="272"/>
      <c r="L154" s="205"/>
      <c r="M154" s="229"/>
      <c r="N154" s="218"/>
    </row>
    <row r="155" spans="2:14" ht="15" customHeight="1" x14ac:dyDescent="0.3">
      <c r="B155" s="228" t="s">
        <v>755</v>
      </c>
      <c r="C155" s="9" t="s">
        <v>164</v>
      </c>
      <c r="D155" s="357" t="s">
        <v>81</v>
      </c>
      <c r="E155" s="671">
        <f>IF(OR(AND($J$126&gt;1,'Unit Costs'!E173="Single Sided Only"),AND($H$128&gt;1,'Unit Costs'!E209="Unable to Laminate"),AND(Rigid!$F$8="Drill Hole(s)",'Unit Costs'!E245="Vinyl")),"N/A",MAX(0,((IF(Rigid!$F$9="",((IF($J$126=1,IF($B$123&lt;1,IF($B$123=0,0,1),$B$123)*(IF($J$124=1,'Unit Costs'!E137,'Unit Costs'!E137/2)+IF($H$128=1,0,IF($H$128=2,'Unit Costs'!$K$122,IF($H$128=3,'Unit Costs'!$K$123,'Unit Costs'!$K$124)))),IF($B$123&lt;1,IF($B$123=0,0,1),$B$123)*(IF($J$124=1,'Unit Costs'!E137*1.75,'Unit Costs'!E137/2)+IF($H$128=1,0,IF($H$128=2,'Unit Costs'!$K$122*2,IF($H$128=3,'Unit Costs'!$K$123*2,'Unit Costs'!$K$124*2))))))+Rigid!$D$9)-Rigid!$H$9,((IF($J$126=1,IF($B$123&lt;1,IF($B$123=0,0,1),$B$123)*(IF($J$124=1,'Unit Costs'!E137,'Unit Costs'!E137/2)+IF($H$128=1,0,IF($H$128=2,'Unit Costs'!$K$122,IF($H$128=3,'Unit Costs'!$K$123,'Unit Costs'!$K$124)))),IF($B$123&lt;1,IF($B$123=0,0,1),$B$123)*(IF($J$124=1,'Unit Costs'!E137*1.75,'Unit Costs'!E137/2)+IF($H$128=1,0,IF($H$128=2,'Unit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Costs'!K147+IF(Rigid!$D$10&gt;1,Rigid!$D$10-1,0),0)))</f>
        <v>0</v>
      </c>
      <c r="F155" s="9" t="s">
        <v>710</v>
      </c>
      <c r="G155" s="9" t="s">
        <v>165</v>
      </c>
      <c r="H155" s="357" t="s">
        <v>78</v>
      </c>
      <c r="I155" s="671">
        <f>IF(OR(AND($J$126&gt;1,'Unit Costs'!I173="Single Sided Only"),AND($H$128&gt;1,'Unit Costs'!I209="Unable to Laminate"),AND(Rigid!$F$8="Drill Hole(s)",'Unit Costs'!I245="Vinyl")),"N/A",MAX(0,((IF(Rigid!$F$9="",((IF($J$126=1,IF($B$123&lt;1,IF($B$123=0,0,1),$B$123)*(IF($J$124=1,'Unit Costs'!I137,'Unit Costs'!I137/2)+IF($H$128=1,0,IF($H$128=2,'Unit Costs'!$K$122,IF($H$128=3,'Unit Costs'!$K$123,'Unit Costs'!$K$124)))),IF($B$123&lt;1,IF($B$123=0,0,1),$B$123)*(IF($J$124=1,'Unit Costs'!I137*1.75,'Unit Costs'!I137/2)+IF($H$128=1,0,IF($H$128=2,'Unit Costs'!$K$122*2,IF($H$128=3,'Unit Costs'!$K$123*2,'Unit Costs'!$K$124*2))))))+Rigid!$D$9)-Rigid!$H$9,((IF($J$126=1,IF($B$123&lt;1,IF($B$123=0,0,1),$B$123)*(IF($J$124=1,'Unit Costs'!I137,'Unit Costs'!I137/2)+IF($H$128=1,0,IF($H$128=2,'Unit Costs'!$K$122,IF($H$128=3,'Unit Costs'!$K$123,'Unit Costs'!$K$124)))),IF($B$123&lt;1,IF($B$123=0,0,1),$B$123)*(IF($J$124=1,'Unit Costs'!I137*1.75,'Unit Costs'!I137/2)+IF($H$128=1,0,IF($H$128=2,'Unit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Costs'!O147+IF(Rigid!$D$10&gt;1,Rigid!$D$10-1,0),0)))</f>
        <v>0</v>
      </c>
      <c r="J155" s="9"/>
      <c r="K155" s="272"/>
      <c r="L155" s="42"/>
      <c r="M155" s="9"/>
      <c r="N155" s="9"/>
    </row>
    <row r="156" spans="2:14" ht="15" customHeight="1" x14ac:dyDescent="0.3">
      <c r="B156" s="228" t="s">
        <v>755</v>
      </c>
      <c r="C156" s="9" t="s">
        <v>164</v>
      </c>
      <c r="D156" s="357" t="s">
        <v>84</v>
      </c>
      <c r="E156" s="671">
        <f>IF(OR(AND($J$126&gt;1,'Unit Costs'!E174="Single Sided Only"),AND($H$128&gt;1,'Unit Costs'!E210="Unable to Laminate"),AND(Rigid!$F$8="Drill Hole(s)",'Unit Costs'!E246="Vinyl")),"N/A",MAX(0,((IF(Rigid!$F$9="",((IF($J$126=1,IF($B$123&lt;1,IF($B$123=0,0,1),$B$123)*(IF($J$124=1,'Unit Costs'!E138,'Unit Costs'!E138/2)+IF($H$128=1,0,IF($H$128=2,'Unit Costs'!$K$122,IF($H$128=3,'Unit Costs'!$K$123,'Unit Costs'!$K$124)))),IF($B$123&lt;1,IF($B$123=0,0,1),$B$123)*(IF($J$124=1,'Unit Costs'!E138*1.75,'Unit Costs'!E138/2)+IF($H$128=1,0,IF($H$128=2,'Unit Costs'!$K$122*2,IF($H$128=3,'Unit Costs'!$K$123*2,'Unit Costs'!$K$124*2))))))+Rigid!$D$9)-Rigid!$H$9,((IF($J$126=1,IF($B$123&lt;1,IF($B$123=0,0,1),$B$123)*(IF($J$124=1,'Unit Costs'!E138,'Unit Costs'!E138/2)+IF($H$128=1,0,IF($H$128=2,'Unit Costs'!$K$122,IF($H$128=3,'Unit Costs'!$K$123,'Unit Costs'!$K$124)))),IF($B$123&lt;1,IF($B$123=0,0,1),$B$123)*(IF($J$124=1,'Unit Costs'!E138*1.75,'Unit Costs'!E138/2)+IF($H$128=1,0,IF($H$128=2,'Unit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Costs'!K148+IF(Rigid!$D$10&gt;1,Rigid!$D$10-1,0),0)))</f>
        <v>0</v>
      </c>
      <c r="F156" s="9" t="s">
        <v>710</v>
      </c>
      <c r="G156" s="9" t="s">
        <v>165</v>
      </c>
      <c r="H156" s="357" t="s">
        <v>77</v>
      </c>
      <c r="I156" s="671">
        <f>IF(OR(AND($J$126&gt;1,'Unit Costs'!I174="Single Sided Only"),AND($H$128&gt;1,'Unit Costs'!I210="Unable to Laminate"),AND(Rigid!$F$8="Drill Hole(s)",'Unit Costs'!I246="Vinyl")),"N/A",MAX(0,((IF(Rigid!$F$9="",((IF($J$126=1,IF($B$123&lt;1,IF($B$123=0,0,1),$B$123)*(IF($J$124=1,'Unit Costs'!I138,'Unit Costs'!I138/2)+IF($H$128=1,0,IF($H$128=2,'Unit Costs'!$K$122,IF($H$128=3,'Unit Costs'!$K$123,'Unit Costs'!$K$124)))),IF($B$123&lt;1,IF($B$123=0,0,1),$B$123)*(IF($J$124=1,'Unit Costs'!I138*1.75,'Unit Costs'!I138/2)+IF($H$128=1,0,IF($H$128=2,'Unit Costs'!$K$122*2,IF($H$128=3,'Unit Costs'!$K$123*2,'Unit Costs'!$K$124*2))))))+Rigid!$D$9)-Rigid!$H$9,((IF($J$126=1,IF($B$123&lt;1,IF($B$123=0,0,1),$B$123)*(IF($J$124=1,'Unit Costs'!I138,'Unit Costs'!I138/2)+IF($H$128=1,0,IF($H$128=2,'Unit Costs'!$K$122,IF($H$128=3,'Unit Costs'!$K$123,'Unit Costs'!$K$124)))),IF($B$123&lt;1,IF($B$123=0,0,1),$B$123)*(IF($J$124=1,'Unit Costs'!I138*1.75,'Unit Costs'!I138/2)+IF($H$128=1,0,IF($H$128=2,'Unit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Costs'!O148+IF(Rigid!$D$10&gt;1,Rigid!$D$10-1,0),0)))</f>
        <v>0</v>
      </c>
      <c r="J156" s="9"/>
      <c r="K156" s="272"/>
      <c r="L156" s="205"/>
    </row>
    <row r="157" spans="2:14" ht="15" customHeight="1" x14ac:dyDescent="0.3">
      <c r="B157" s="228" t="s">
        <v>705</v>
      </c>
      <c r="C157" s="9" t="s">
        <v>397</v>
      </c>
      <c r="D157" s="357" t="s">
        <v>81</v>
      </c>
      <c r="E157" s="671">
        <f>IF(OR(AND($J$126&gt;1,'Unit Costs'!E175="Single Sided Only"),AND($H$128&gt;1,'Unit Costs'!E211="Unable to Laminate"),AND(Rigid!$F$8="Drill Hole(s)",'Unit Costs'!E247="Vinyl")),"N/A",MAX(0,((IF(Rigid!$F$9="",((IF($J$126=1,IF($B$123&lt;1,IF($B$123=0,0,1),$B$123)*(IF($J$124=1,'Unit Costs'!E139,'Unit Costs'!E139/2)+IF($H$128=1,0,IF($H$128=2,'Unit Costs'!$K$122,IF($H$128=3,'Unit Costs'!$K$123,'Unit Costs'!$K$124)))),IF($B$123&lt;1,IF($B$123=0,0,1),$B$123)*(IF($J$124=1,'Unit Costs'!E139*1.75,'Unit Costs'!E139/2)+IF($H$128=1,0,IF($H$128=2,'Unit Costs'!$K$122*2,IF($H$128=3,'Unit Costs'!$K$123*2,'Unit Costs'!$K$124*2))))))+Rigid!$D$9)-Rigid!$H$9,((IF($J$126=1,IF($B$123&lt;1,IF($B$123=0,0,1),$B$123)*(IF($J$124=1,'Unit Costs'!E139,'Unit Costs'!E139/2)+IF($H$128=1,0,IF($H$128=2,'Unit Costs'!$K$122,IF($H$128=3,'Unit Costs'!$K$123,'Unit Costs'!$K$124)))),IF($B$123&lt;1,IF($B$123=0,0,1),$B$123)*(IF($J$124=1,'Unit Costs'!E139*1.75,'Unit Costs'!E139/2)+IF($H$128=1,0,IF($H$128=2,'Unit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Costs'!K149+IF(Rigid!$D$10&gt;1,Rigid!$D$10-1,0),0)))</f>
        <v>0</v>
      </c>
      <c r="F157" s="9" t="s">
        <v>711</v>
      </c>
      <c r="G157" s="9"/>
      <c r="H157" s="357" t="s">
        <v>77</v>
      </c>
      <c r="I157" s="671">
        <f>IF(OR(AND($J$126&gt;1,'Unit Costs'!I175="Single Sided Only"),AND($H$128&gt;1,'Unit Costs'!I211="Unable to Laminate"),AND(Rigid!$F$8="Drill Hole(s)",'Unit Costs'!I247="Vinyl")),"N/A",MAX(0,((IF(Rigid!$F$9="",((IF($J$126=1,IF($B$123&lt;1,IF($B$123=0,0,1),$B$123)*(IF($J$124=1,'Unit Costs'!I139,'Unit Costs'!I139/2)+IF($H$128=1,0,IF($H$128=2,'Unit Costs'!$K$122,IF($H$128=3,'Unit Costs'!$K$123,'Unit Costs'!$K$124)))),IF($B$123&lt;1,IF($B$123=0,0,1),$B$123)*(IF($J$124=1,'Unit Costs'!I139*1.75,'Unit Costs'!I139/2)+IF($H$128=1,0,IF($H$128=2,'Unit Costs'!$K$122*2,IF($H$128=3,'Unit Costs'!$K$123*2,'Unit Costs'!$K$124*2))))))+Rigid!$D$9)-Rigid!$H$9,((IF($J$126=1,IF($B$123&lt;1,IF($B$123=0,0,1),$B$123)*(IF($J$124=1,'Unit Costs'!I139,'Unit Costs'!I139/2)+IF($H$128=1,0,IF($H$128=2,'Unit Costs'!$K$122,IF($H$128=3,'Unit Costs'!$K$123,'Unit Costs'!$K$124)))),IF($B$123&lt;1,IF($B$123=0,0,1),$B$123)*(IF($J$124=1,'Unit Costs'!I139*1.75,'Unit Costs'!I139/2)+IF($H$128=1,0,IF($H$128=2,'Unit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Costs'!O149+IF(Rigid!$D$10&gt;1,Rigid!$D$10-1,0),0)))</f>
        <v>0</v>
      </c>
      <c r="J157" s="9"/>
      <c r="K157" s="9"/>
      <c r="L157" s="205"/>
    </row>
    <row r="158" spans="2:14" ht="15" customHeight="1" x14ac:dyDescent="0.3">
      <c r="B158" s="7" t="s">
        <v>705</v>
      </c>
      <c r="C158" s="9" t="s">
        <v>397</v>
      </c>
      <c r="D158" s="9" t="s">
        <v>84</v>
      </c>
      <c r="E158" s="671">
        <f>IF(OR(AND($J$126&gt;1,'Unit Costs'!E176="Single Sided Only"),AND($H$128&gt;1,'Unit Costs'!E212="Unable to Laminate"),AND(Rigid!$F$8="Drill Hole(s)",'Unit Costs'!E248="Vinyl")),"N/A",MAX(0,((IF(Rigid!$F$9="",((IF($J$126=1,IF($B$123&lt;1,IF($B$123=0,0,1),$B$123)*(IF($J$124=1,'Unit Costs'!E140,'Unit Costs'!E140/2)+IF($H$128=1,0,IF($H$128=2,'Unit Costs'!$K$122,IF($H$128=3,'Unit Costs'!$K$123,'Unit Costs'!$K$124)))),IF($B$123&lt;1,IF($B$123=0,0,1),$B$123)*(IF($J$124=1,'Unit Costs'!E140*1.75,'Unit Costs'!E140/2)+IF($H$128=1,0,IF($H$128=2,'Unit Costs'!$K$122*2,IF($H$128=3,'Unit Costs'!$K$123*2,'Unit Costs'!$K$124*2))))))+Rigid!$D$9)-Rigid!$H$9,((IF($J$126=1,IF($B$123&lt;1,IF($B$123=0,0,1),$B$123)*(IF($J$124=1,'Unit Costs'!E140,'Unit Costs'!E140/2)+IF($H$128=1,0,IF($H$128=2,'Unit Costs'!$K$122,IF($H$128=3,'Unit Costs'!$K$123,'Unit Costs'!$K$124)))),IF($B$123&lt;1,IF($B$123=0,0,1),$B$123)*(IF($J$124=1,'Unit Costs'!E140*1.75,'Unit Costs'!E140/2)+IF($H$128=1,0,IF($H$128=2,'Unit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Costs'!K150+IF(Rigid!$D$10&gt;1,Rigid!$D$10-1,0),0)))</f>
        <v>0</v>
      </c>
      <c r="F158" s="9" t="s">
        <v>712</v>
      </c>
      <c r="G158" s="9" t="s">
        <v>158</v>
      </c>
      <c r="H158" s="357" t="s">
        <v>77</v>
      </c>
      <c r="I158" s="671">
        <f>IF(OR(AND($J$126&gt;1,'Unit Costs'!I176="Single Sided Only"),AND($H$128&gt;1,'Unit Costs'!I212="Unable to Laminate"),AND(Rigid!$F$8="Drill Hole(s)",'Unit Costs'!I248="Vinyl")),"N/A",MAX(0,((IF(Rigid!$F$9="",((IF($J$126=1,IF($B$123&lt;1,IF($B$123=0,0,1),$B$123)*(IF($J$124=1,'Unit Costs'!I140,'Unit Costs'!I140/2)+IF($H$128=1,0,IF($H$128=2,'Unit Costs'!$K$122,IF($H$128=3,'Unit Costs'!$K$123,'Unit Costs'!$K$124)))),IF($B$123&lt;1,IF($B$123=0,0,1),$B$123)*(IF($J$124=1,'Unit Costs'!I140*1.75,'Unit Costs'!I140/2)+IF($H$128=1,0,IF($H$128=2,'Unit Costs'!$K$122*2,IF($H$128=3,'Unit Costs'!$K$123*2,'Unit Costs'!$K$124*2))))))+Rigid!$D$9)-Rigid!$H$9,((IF($J$126=1,IF($B$123&lt;1,IF($B$123=0,0,1),$B$123)*(IF($J$124=1,'Unit Costs'!I140,'Unit Costs'!I140/2)+IF($H$128=1,0,IF($H$128=2,'Unit Costs'!$K$122,IF($H$128=3,'Unit Costs'!$K$123,'Unit Costs'!$K$124)))),IF($B$123&lt;1,IF($B$123=0,0,1),$B$123)*(IF($J$124=1,'Unit Costs'!I140*1.75,'Unit Costs'!I140/2)+IF($H$128=1,0,IF($H$128=2,'Unit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Costs'!O150+IF(Rigid!$D$10&gt;1,Rigid!$D$10-1,0),0)))</f>
        <v>0</v>
      </c>
      <c r="J158" s="9"/>
      <c r="K158" s="9"/>
      <c r="L158" s="205"/>
    </row>
    <row r="159" spans="2:14" ht="15" customHeight="1" x14ac:dyDescent="0.3">
      <c r="B159" s="228" t="s">
        <v>705</v>
      </c>
      <c r="C159" s="9" t="s">
        <v>163</v>
      </c>
      <c r="D159" s="357" t="s">
        <v>81</v>
      </c>
      <c r="E159" s="671">
        <f>IF(OR(AND($J$126&gt;1,'Unit Costs'!E177="Single Sided Only"),AND($H$128&gt;1,'Unit Costs'!E213="Unable to Laminate"),AND(Rigid!$F$8="Drill Hole(s)",'Unit Costs'!E249="Vinyl")),"N/A",MAX(0,((IF(Rigid!$F$9="",((IF($J$126=1,IF($B$123&lt;1,IF($B$123=0,0,1),$B$123)*(IF($J$124=1,'Unit Costs'!E141,'Unit Costs'!E141/2)+IF($H$128=1,0,IF($H$128=2,'Unit Costs'!$K$122,IF($H$128=3,'Unit Costs'!$K$123,'Unit Costs'!$K$124)))),IF($B$123&lt;1,IF($B$123=0,0,1),$B$123)*(IF($J$124=1,'Unit Costs'!E141*1.75,'Unit Costs'!E141/2)+IF($H$128=1,0,IF($H$128=2,'Unit Costs'!$K$122*2,IF($H$128=3,'Unit Costs'!$K$123*2,'Unit Costs'!$K$124*2))))))+Rigid!$D$9)-Rigid!$H$9,((IF($J$126=1,IF($B$123&lt;1,IF($B$123=0,0,1),$B$123)*(IF($J$124=1,'Unit Costs'!E141,'Unit Costs'!E141/2)+IF($H$128=1,0,IF($H$128=2,'Unit Costs'!$K$122,IF($H$128=3,'Unit Costs'!$K$123,'Unit Costs'!$K$124)))),IF($B$123&lt;1,IF($B$123=0,0,1),$B$123)*(IF($J$124=1,'Unit Costs'!E141*1.75,'Unit Costs'!E141/2)+IF($H$128=1,0,IF($H$128=2,'Unit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Costs'!K151+IF(Rigid!$D$10&gt;1,Rigid!$D$10-1,0),0)))</f>
        <v>0</v>
      </c>
      <c r="F159" s="9" t="s">
        <v>713</v>
      </c>
      <c r="G159" s="9" t="s">
        <v>158</v>
      </c>
      <c r="H159" s="357" t="s">
        <v>78</v>
      </c>
      <c r="I159" s="671">
        <f>IF(OR(AND($J$126&gt;1,'Unit Costs'!I177="Single Sided Only"),AND($H$128&gt;1,'Unit Costs'!I213="Unable to Laminate"),AND(Rigid!$F$8="Drill Hole(s)",'Unit Costs'!I249="Vinyl")),"N/A",MAX(0,((IF(Rigid!$F$9="",((IF($J$126=1,IF($B$123&lt;1,IF($B$123=0,0,1),$B$123)*(IF($J$124=1,'Unit Costs'!I141,'Unit Costs'!I141/2)+IF($H$128=1,0,IF($H$128=2,'Unit Costs'!$K$122,IF($H$128=3,'Unit Costs'!$K$123,'Unit Costs'!$K$124)))),IF($B$123&lt;1,IF($B$123=0,0,1),$B$123)*(IF($J$124=1,'Unit Costs'!I141*1.75,'Unit Costs'!I141/2)+IF($H$128=1,0,IF($H$128=2,'Unit Costs'!$K$122*2,IF($H$128=3,'Unit Costs'!$K$123*2,'Unit Costs'!$K$124*2))))))+Rigid!$D$9)-Rigid!$H$9,((IF($J$126=1,IF($B$123&lt;1,IF($B$123=0,0,1),$B$123)*(IF($J$124=1,'Unit Costs'!I141,'Unit Costs'!I141/2)+IF($H$128=1,0,IF($H$128=2,'Unit Costs'!$K$122,IF($H$128=3,'Unit Costs'!$K$123,'Unit Costs'!$K$124)))),IF($B$123&lt;1,IF($B$123=0,0,1),$B$123)*(IF($J$124=1,'Unit Costs'!I141*1.75,'Unit Costs'!I141/2)+IF($H$128=1,0,IF($H$128=2,'Unit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Costs'!O151+IF(Rigid!$D$10&gt;1,Rigid!$D$10-1,0),0)))</f>
        <v>0</v>
      </c>
      <c r="J159" s="9"/>
      <c r="K159" s="9"/>
      <c r="L159" s="205"/>
    </row>
    <row r="160" spans="2:14" ht="15" customHeight="1" x14ac:dyDescent="0.3">
      <c r="B160" s="228" t="s">
        <v>705</v>
      </c>
      <c r="C160" s="9" t="s">
        <v>163</v>
      </c>
      <c r="D160" s="357" t="s">
        <v>84</v>
      </c>
      <c r="E160" s="671">
        <f>IF(OR(AND($J$126&gt;1,'Unit Costs'!E178="Single Sided Only"),AND($H$128&gt;1,'Unit Costs'!E214="Unable to Laminate"),AND(Rigid!$F$8="Drill Hole(s)",'Unit Costs'!E250="Vinyl")),"N/A",MAX(0,((IF(Rigid!$F$9="",((IF($J$126=1,IF($B$123&lt;1,IF($B$123=0,0,1),$B$123)*(IF($J$124=1,'Unit Costs'!E142,'Unit Costs'!E142/2)+IF($H$128=1,0,IF($H$128=2,'Unit Costs'!$K$122,IF($H$128=3,'Unit Costs'!$K$123,'Unit Costs'!$K$124)))),IF($B$123&lt;1,IF($B$123=0,0,1),$B$123)*(IF($J$124=1,'Unit Costs'!E142*1.75,'Unit Costs'!E142/2)+IF($H$128=1,0,IF($H$128=2,'Unit Costs'!$K$122*2,IF($H$128=3,'Unit Costs'!$K$123*2,'Unit Costs'!$K$124*2))))))+Rigid!$D$9)-Rigid!$H$9,((IF($J$126=1,IF($B$123&lt;1,IF($B$123=0,0,1),$B$123)*(IF($J$124=1,'Unit Costs'!E142,'Unit Costs'!E142/2)+IF($H$128=1,0,IF($H$128=2,'Unit Costs'!$K$122,IF($H$128=3,'Unit Costs'!$K$123,'Unit Costs'!$K$124)))),IF($B$123&lt;1,IF($B$123=0,0,1),$B$123)*(IF($J$124=1,'Unit Costs'!E142*1.75,'Unit Costs'!E142/2)+IF($H$128=1,0,IF($H$128=2,'Unit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Costs'!K152+IF(Rigid!$D$10&gt;1,Rigid!$D$10-1,0),0)))</f>
        <v>0</v>
      </c>
      <c r="F160" s="9" t="s">
        <v>714</v>
      </c>
      <c r="G160" s="9"/>
      <c r="H160" s="357" t="s">
        <v>81</v>
      </c>
      <c r="I160" s="671">
        <f>IF(OR(AND($J$126&gt;1,'Unit Costs'!I178="Single Sided Only"),AND($H$128&gt;1,'Unit Costs'!I214="Unable to Laminate"),AND(Rigid!$F$8="Drill Hole(s)",'Unit Costs'!I250="Vinyl")),"N/A",MAX(0,((IF(Rigid!$F$9="",((IF($J$126=1,IF($B$123&lt;1,IF($B$123=0,0,1),$B$123)*(IF($J$124=1,'Unit Costs'!I142,'Unit Costs'!I142/2)+IF($H$128=1,0,IF($H$128=2,'Unit Costs'!$K$122,IF($H$128=3,'Unit Costs'!$K$123,'Unit Costs'!$K$124)))),IF($B$123&lt;1,IF($B$123=0,0,1),$B$123)*(IF($J$124=1,'Unit Costs'!I142*1.75,'Unit Costs'!I142/2)+IF($H$128=1,0,IF($H$128=2,'Unit Costs'!$K$122*2,IF($H$128=3,'Unit Costs'!$K$123*2,'Unit Costs'!$K$124*2))))))+Rigid!$D$9)-Rigid!$H$9,((IF($J$126=1,IF($B$123&lt;1,IF($B$123=0,0,1),$B$123)*(IF($J$124=1,'Unit Costs'!I142,'Unit Costs'!I142/2)+IF($H$128=1,0,IF($H$128=2,'Unit Costs'!$K$122,IF($H$128=3,'Unit Costs'!$K$123,'Unit Costs'!$K$124)))),IF($B$123&lt;1,IF($B$123=0,0,1),$B$123)*(IF($J$124=1,'Unit Costs'!I142*1.75,'Unit Costs'!I142/2)+IF($H$128=1,0,IF($H$128=2,'Unit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Costs'!O152+IF(Rigid!$D$10&gt;1,Rigid!$D$10-1,0),0)))</f>
        <v>0</v>
      </c>
      <c r="J160" s="9"/>
      <c r="K160" s="9"/>
      <c r="L160" s="205"/>
    </row>
    <row r="161" spans="2:12" ht="15" customHeight="1" x14ac:dyDescent="0.3">
      <c r="B161" s="228" t="s">
        <v>705</v>
      </c>
      <c r="C161" s="9" t="s">
        <v>163</v>
      </c>
      <c r="D161" s="357" t="s">
        <v>77</v>
      </c>
      <c r="E161" s="671">
        <f>IF(OR(AND($J$126&gt;1,'Unit Costs'!E179="Single Sided Only"),AND($H$128&gt;1,'Unit Costs'!E215="Unable to Laminate"),AND(Rigid!$F$8="Drill Hole(s)",'Unit Costs'!E251="Vinyl")),"N/A",MAX(0,((IF(Rigid!$F$9="",((IF($J$126=1,IF($B$123&lt;1,IF($B$123=0,0,1),$B$123)*(IF($J$124=1,'Unit Costs'!E143,'Unit Costs'!E143/2)+IF($H$128=1,0,IF($H$128=2,'Unit Costs'!$K$122,IF($H$128=3,'Unit Costs'!$K$123,'Unit Costs'!$K$124)))),IF($B$123&lt;1,IF($B$123=0,0,1),$B$123)*(IF($J$124=1,'Unit Costs'!E143*1.75,'Unit Costs'!E143/2)+IF($H$128=1,0,IF($H$128=2,'Unit Costs'!$K$122*2,IF($H$128=3,'Unit Costs'!$K$123*2,'Unit Costs'!$K$124*2))))))+Rigid!$D$9)-Rigid!$H$9,((IF($J$126=1,IF($B$123&lt;1,IF($B$123=0,0,1),$B$123)*(IF($J$124=1,'Unit Costs'!E143,'Unit Costs'!E143/2)+IF($H$128=1,0,IF($H$128=2,'Unit Costs'!$K$122,IF($H$128=3,'Unit Costs'!$K$123,'Unit Costs'!$K$124)))),IF($B$123&lt;1,IF($B$123=0,0,1),$B$123)*(IF($J$124=1,'Unit Costs'!E143*1.75,'Unit Costs'!E143/2)+IF($H$128=1,0,IF($H$128=2,'Unit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Costs'!K153+IF(Rigid!$D$10&gt;1,Rigid!$D$10-1,0),0)))</f>
        <v>0</v>
      </c>
      <c r="F161" s="9" t="s">
        <v>715</v>
      </c>
      <c r="G161" s="9" t="s">
        <v>158</v>
      </c>
      <c r="H161" s="357" t="s">
        <v>81</v>
      </c>
      <c r="I161" s="671">
        <f>IF(OR(AND($J$126&gt;1,'Unit Costs'!I179="Single Sided Only"),AND($H$128&gt;1,'Unit Costs'!I215="Unable to Laminate"),AND(Rigid!$F$8="Drill Hole(s)",'Unit Costs'!I251="Vinyl")),"N/A",MAX(0,((IF(Rigid!$F$9="",((IF($J$126=1,IF($B$123&lt;1,IF($B$123=0,0,1),$B$123)*(IF($J$124=1,'Unit Costs'!I143,'Unit Costs'!I143/2)+IF($H$128=1,0,IF($H$128=2,'Unit Costs'!$K$122,IF($H$128=3,'Unit Costs'!$K$123,'Unit Costs'!$K$124)))),IF($B$123&lt;1,IF($B$123=0,0,1),$B$123)*(IF($J$124=1,'Unit Costs'!I143*1.75,'Unit Costs'!I143/2)+IF($H$128=1,0,IF($H$128=2,'Unit Costs'!$K$122*2,IF($H$128=3,'Unit Costs'!$K$123*2,'Unit Costs'!$K$124*2))))))+Rigid!$D$9)-Rigid!$H$9,((IF($J$126=1,IF($B$123&lt;1,IF($B$123=0,0,1),$B$123)*(IF($J$124=1,'Unit Costs'!I143,'Unit Costs'!I143/2)+IF($H$128=1,0,IF($H$128=2,'Unit Costs'!$K$122,IF($H$128=3,'Unit Costs'!$K$123,'Unit Costs'!$K$124)))),IF($B$123&lt;1,IF($B$123=0,0,1),$B$123)*(IF($J$124=1,'Unit Costs'!I143*1.75,'Unit Costs'!I143/2)+IF($H$128=1,0,IF($H$128=2,'Unit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Costs'!O153+IF(Rigid!$D$10&gt;1,Rigid!$D$10-1,0),0)))</f>
        <v>0</v>
      </c>
      <c r="J161" s="9"/>
      <c r="K161" s="9"/>
      <c r="L161" s="205"/>
    </row>
    <row r="162" spans="2:12" ht="15" customHeight="1" x14ac:dyDescent="0.3">
      <c r="B162" s="233" t="s">
        <v>705</v>
      </c>
      <c r="C162" s="681" t="s">
        <v>164</v>
      </c>
      <c r="D162" s="480" t="s">
        <v>81</v>
      </c>
      <c r="E162" s="679">
        <f>IF(OR(AND($J$126&gt;1,'Unit Costs'!E180="Single Sided Only"),AND($H$128&gt;1,'Unit Costs'!E216="Unable to Laminate"),AND(Rigid!$F$8="Drill Hole(s)",'Unit Costs'!E252="Vinyl")),"N/A",MAX(0,((IF(Rigid!$F$9="",((IF($J$126=1,IF($B$123&lt;1,IF($B$123=0,0,1),$B$123)*(IF($J$124=1,'Unit Costs'!E144,'Unit Costs'!E144/2)+IF($H$128=1,0,IF($H$128=2,'Unit Costs'!$K$122,IF($H$128=3,'Unit Costs'!$K$123,'Unit Costs'!$K$124)))),IF($B$123&lt;1,IF($B$123=0,0,1),$B$123)*(IF($J$124=1,'Unit Costs'!E144*1.75,'Unit Costs'!E144/2)+IF($H$128=1,0,IF($H$128=2,'Unit Costs'!$K$122*2,IF($H$128=3,'Unit Costs'!$K$123*2,'Unit Costs'!$K$124*2))))))+Rigid!$D$9)-Rigid!$H$9,((IF($J$126=1,IF($B$123&lt;1,IF($B$123=0,0,1),$B$123)*(IF($J$124=1,'Unit Costs'!E144,'Unit Costs'!E144/2)+IF($H$128=1,0,IF($H$128=2,'Unit Costs'!$K$122,IF($H$128=3,'Unit Costs'!$K$123,'Unit Costs'!$K$124)))),IF($B$123&lt;1,IF($B$123=0,0,1),$B$123)*(IF($J$124=1,'Unit Costs'!E144*1.75,'Unit Costs'!E144/2)+IF($H$128=1,0,IF($H$128=2,'Unit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Costs'!K154+IF(Rigid!$D$10&gt;1,Rigid!$D$10-1,0),0)))</f>
        <v>0</v>
      </c>
      <c r="F162" s="681"/>
      <c r="G162" s="681"/>
      <c r="H162" s="681"/>
      <c r="I162" s="681"/>
      <c r="J162" s="681"/>
      <c r="K162" s="681"/>
      <c r="L162" s="209"/>
    </row>
    <row r="163" spans="2:12" ht="15" customHeight="1" x14ac:dyDescent="0.3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7" spans="2:12" ht="15" customHeight="1" x14ac:dyDescent="0.3">
      <c r="B167" s="287" t="s">
        <v>716</v>
      </c>
      <c r="C167" s="19"/>
      <c r="D167" s="19"/>
      <c r="E167" s="19"/>
      <c r="F167" s="19"/>
      <c r="G167" s="19"/>
      <c r="H167" s="19"/>
      <c r="I167" s="19"/>
      <c r="J167" s="691"/>
    </row>
    <row r="168" spans="2:12" ht="15" customHeight="1" x14ac:dyDescent="0.3">
      <c r="B168" s="669">
        <f>$D$169*$E$169</f>
        <v>0</v>
      </c>
      <c r="C168" s="9" t="s">
        <v>482</v>
      </c>
      <c r="D168" s="9" t="s">
        <v>148</v>
      </c>
      <c r="E168" s="9" t="s">
        <v>149</v>
      </c>
      <c r="F168" s="9"/>
      <c r="G168" s="9"/>
      <c r="H168" s="9"/>
      <c r="I168" s="9"/>
      <c r="J168" s="205"/>
    </row>
    <row r="169" spans="2:12" ht="15" customHeight="1" x14ac:dyDescent="0.3">
      <c r="B169" s="669">
        <f>($D$169*$E$169)/144</f>
        <v>0</v>
      </c>
      <c r="C169" s="9" t="s">
        <v>483</v>
      </c>
      <c r="D169" s="670">
        <f>MAX(0,IF('Vinyl Cut'!$D$5="",IF('Vinyl Cut'!$F$5="",('Vinyl Cut'!$H$5/25.4),'Vinyl Cut'!$F$5*12),'Vinyl Cut'!$D$5))</f>
        <v>0</v>
      </c>
      <c r="E169" s="670">
        <f>MAX(0,IF('Vinyl Cut'!$D$6="",IF('Vinyl Cut'!$F$6="",('Vinyl Cut'!$H$6/25.4),'Vinyl Cut'!$F$6*12),'Vinyl Cut'!$D$6))</f>
        <v>0</v>
      </c>
      <c r="F169" s="9"/>
      <c r="G169" s="9"/>
      <c r="H169" s="9"/>
      <c r="I169" s="9"/>
      <c r="J169" s="205"/>
    </row>
    <row r="170" spans="2:12" ht="15" customHeight="1" x14ac:dyDescent="0.3">
      <c r="B170" s="7"/>
      <c r="C170" s="9"/>
      <c r="D170" s="9"/>
      <c r="E170" s="9"/>
      <c r="F170" s="9"/>
      <c r="G170" s="9"/>
      <c r="H170" s="9"/>
      <c r="I170" s="9"/>
      <c r="J170" s="205"/>
    </row>
    <row r="171" spans="2:12" ht="15" customHeight="1" x14ac:dyDescent="0.3">
      <c r="B171" s="7"/>
      <c r="C171" s="9"/>
      <c r="D171" s="9"/>
      <c r="E171" s="9"/>
      <c r="F171" s="9"/>
      <c r="G171" s="9"/>
      <c r="H171" s="9"/>
      <c r="I171" s="9"/>
      <c r="J171" s="205"/>
    </row>
    <row r="172" spans="2:12" ht="15" customHeight="1" x14ac:dyDescent="0.3">
      <c r="B172" s="7" t="s">
        <v>387</v>
      </c>
      <c r="C172" s="706">
        <f>MAX(0,IF('Vinyl Cut'!$F$7="",($B$169*'Unit Costs'!C258)-'Vinyl Cut'!$H$7,($B$169*'Unit Costs'!C258)*(1-'Vinyl Cut'!$F$7))+'Vinyl Cut'!$D$7)*IF('Vinyl Cut'!$D$8="",1,'Vinyl Cut'!$D$8)</f>
        <v>0</v>
      </c>
      <c r="D172" s="9"/>
      <c r="E172" s="9"/>
      <c r="F172" s="9"/>
      <c r="G172" s="9"/>
      <c r="H172" s="9"/>
      <c r="I172" s="9"/>
      <c r="J172" s="205"/>
    </row>
    <row r="173" spans="2:12" ht="15" customHeight="1" x14ac:dyDescent="0.3">
      <c r="B173" s="7"/>
      <c r="C173" s="9"/>
      <c r="D173" s="9"/>
      <c r="E173" s="9"/>
      <c r="F173" s="9"/>
      <c r="G173" s="9"/>
      <c r="H173" s="9"/>
      <c r="I173" s="9"/>
      <c r="J173" s="205"/>
    </row>
    <row r="174" spans="2:12" ht="15" customHeight="1" x14ac:dyDescent="0.3">
      <c r="B174" s="7" t="s">
        <v>169</v>
      </c>
      <c r="C174" s="22">
        <f>IF('Unit Costs'!C259=0,0,MAX(0,IF('Vinyl Cut'!$F$7="",'Unit Costs'!C259-'Vinyl Cut'!$H$7,'Unit Costs'!C259*(1-'Vinyl Cut'!$F$7)))+'Vinyl Cut'!$D$48)*IF('Vinyl Cut'!$D$8="",1,'Vinyl Cut'!$D$8)</f>
        <v>0</v>
      </c>
      <c r="D174" s="9"/>
      <c r="E174" s="9"/>
      <c r="F174" s="9"/>
      <c r="G174" s="9"/>
      <c r="H174" s="9"/>
      <c r="I174" s="9" t="s">
        <v>454</v>
      </c>
      <c r="J174" s="707">
        <f>IF(OR('Vinyl Cut'!$C$16&lt;=0,'Vinyl Cut'!$C$17&lt;=0,'Vinyl Cut'!$C$16&lt;'Vinyl Cut'!$C$17),0,1-('Vinyl Cut'!$C$17/'Vinyl Cut'!$C$16))</f>
        <v>0</v>
      </c>
    </row>
    <row r="175" spans="2:12" ht="15" customHeight="1" x14ac:dyDescent="0.3">
      <c r="B175" s="7"/>
      <c r="C175" s="9"/>
      <c r="D175" s="9"/>
      <c r="E175" s="9"/>
      <c r="F175" s="9"/>
      <c r="G175" s="9"/>
      <c r="H175" s="9"/>
      <c r="I175" s="9"/>
      <c r="J175" s="205"/>
    </row>
    <row r="176" spans="2:12" ht="15" customHeight="1" x14ac:dyDescent="0.3">
      <c r="B176" s="7"/>
      <c r="C176" s="9"/>
      <c r="D176" s="9"/>
      <c r="E176" s="9" t="s">
        <v>6</v>
      </c>
      <c r="F176" s="22">
        <f>MAX(0,IF('Vinyl Cut'!$F$7="",'Unit Costs'!F259-'Vinyl Cut'!$H$7,'Unit Costs'!F259*(1-'Vinyl Cut'!$F$7))+'Vinyl Cut'!$D$7)</f>
        <v>13</v>
      </c>
      <c r="G176" s="22">
        <f>MAX(0,IF('Vinyl Cut'!$F$7="",'Unit Costs'!G259-'Vinyl Cut'!$H$7,'Unit Costs'!G259*(1-'Vinyl Cut'!$F$7))+'Vinyl Cut'!$D$7)</f>
        <v>21</v>
      </c>
      <c r="H176" s="9"/>
      <c r="I176" s="9"/>
      <c r="J176" s="205"/>
    </row>
    <row r="177" spans="2:10" ht="15" customHeight="1" x14ac:dyDescent="0.3">
      <c r="B177" s="7"/>
      <c r="C177" s="9"/>
      <c r="D177" s="9"/>
      <c r="E177" s="9" t="s">
        <v>10</v>
      </c>
      <c r="F177" s="22">
        <f>MAX(0,IF('Vinyl Cut'!$F$7="",'Unit Costs'!F260-'Vinyl Cut'!$H$7,'Unit Costs'!F260*(1-'Vinyl Cut'!$F$7))+'Vinyl Cut'!$D$7)</f>
        <v>25</v>
      </c>
      <c r="G177" s="22">
        <f>MAX(0,IF('Vinyl Cut'!$F$7="",'Unit Costs'!G260-'Vinyl Cut'!$H$7,'Unit Costs'!G260*(1-'Vinyl Cut'!$F$7))+'Vinyl Cut'!$D$7)</f>
        <v>42</v>
      </c>
      <c r="H177" s="9"/>
      <c r="I177" s="9"/>
      <c r="J177" s="205"/>
    </row>
    <row r="178" spans="2:10" ht="15" customHeight="1" x14ac:dyDescent="0.3">
      <c r="B178" s="7"/>
      <c r="C178" s="9"/>
      <c r="D178" s="9"/>
      <c r="E178" s="9" t="s">
        <v>14</v>
      </c>
      <c r="F178" s="22">
        <f>MAX(0,IF('Vinyl Cut'!$F$7="",'Unit Costs'!F261-'Vinyl Cut'!$H$7,'Unit Costs'!F261*(1-'Vinyl Cut'!$F$7))+'Vinyl Cut'!$D$7)</f>
        <v>31</v>
      </c>
      <c r="G178" s="22">
        <f>MAX(0,IF('Vinyl Cut'!$F$7="",'Unit Costs'!G261-'Vinyl Cut'!$H$7,'Unit Costs'!G261*(1-'Vinyl Cut'!$F$7))+'Vinyl Cut'!$D$7)</f>
        <v>52</v>
      </c>
      <c r="H178" s="9"/>
      <c r="I178" s="9"/>
      <c r="J178" s="205"/>
    </row>
    <row r="179" spans="2:10" ht="15" customHeight="1" x14ac:dyDescent="0.3">
      <c r="B179" s="7"/>
      <c r="C179" s="9"/>
      <c r="D179" s="9"/>
      <c r="E179" s="9" t="s">
        <v>18</v>
      </c>
      <c r="F179" s="22">
        <f>MAX(0,IF('Vinyl Cut'!$F$7="",'Unit Costs'!F262-'Vinyl Cut'!$H$7,'Unit Costs'!F262*(1-'Vinyl Cut'!$F$7))+'Vinyl Cut'!$D$7)</f>
        <v>41</v>
      </c>
      <c r="G179" s="22">
        <f>MAX(0,IF('Vinyl Cut'!$F$7="",'Unit Costs'!G262-'Vinyl Cut'!$H$7,'Unit Costs'!G262*(1-'Vinyl Cut'!$F$7))+'Vinyl Cut'!$D$7)</f>
        <v>68</v>
      </c>
      <c r="H179" s="9"/>
      <c r="I179" s="9"/>
      <c r="J179" s="205"/>
    </row>
    <row r="180" spans="2:10" ht="15" customHeight="1" x14ac:dyDescent="0.3">
      <c r="B180" s="7"/>
      <c r="C180" s="9"/>
      <c r="D180" s="9"/>
      <c r="E180" s="9" t="s">
        <v>22</v>
      </c>
      <c r="F180" s="22">
        <f>MAX(0,IF('Vinyl Cut'!$F$7="",'Unit Costs'!F263-'Vinyl Cut'!$H$7,'Unit Costs'!F263*(1-'Vinyl Cut'!$F$7))+'Vinyl Cut'!$D$7)</f>
        <v>50</v>
      </c>
      <c r="G180" s="22">
        <f>MAX(0,IF('Vinyl Cut'!$F$7="",'Unit Costs'!G263-'Vinyl Cut'!$H$7,'Unit Costs'!G263*(1-'Vinyl Cut'!$F$7))+'Vinyl Cut'!$D$7)</f>
        <v>84</v>
      </c>
      <c r="H180" s="9"/>
      <c r="I180" s="9"/>
      <c r="J180" s="205"/>
    </row>
    <row r="181" spans="2:10" ht="15" customHeight="1" x14ac:dyDescent="0.3">
      <c r="B181" s="7"/>
      <c r="C181" s="9"/>
      <c r="D181" s="9"/>
      <c r="E181" s="9" t="s">
        <v>27</v>
      </c>
      <c r="F181" s="22">
        <f>MAX(0,IF('Vinyl Cut'!$F$7="",'Unit Costs'!F264-'Vinyl Cut'!$H$7,'Unit Costs'!F264*(1-'Vinyl Cut'!$F$7))+'Vinyl Cut'!$D$7)</f>
        <v>60</v>
      </c>
      <c r="G181" s="22">
        <f>MAX(0,IF('Vinyl Cut'!$F$7="",'Unit Costs'!G264-'Vinyl Cut'!$H$7,'Unit Costs'!G264*(1-'Vinyl Cut'!$F$7))+'Vinyl Cut'!$D$7)</f>
        <v>99</v>
      </c>
      <c r="H181" s="9"/>
      <c r="I181" s="9"/>
      <c r="J181" s="205"/>
    </row>
    <row r="182" spans="2:10" ht="15" customHeight="1" x14ac:dyDescent="0.3">
      <c r="B182" s="7"/>
      <c r="C182" s="9"/>
      <c r="D182" s="9"/>
      <c r="E182" s="9" t="s">
        <v>31</v>
      </c>
      <c r="F182" s="22">
        <f>MAX(0,IF('Vinyl Cut'!$F$7="",'Unit Costs'!F265-'Vinyl Cut'!$H$7,'Unit Costs'!F265*(1-'Vinyl Cut'!$F$7))+'Vinyl Cut'!$D$7)</f>
        <v>69</v>
      </c>
      <c r="G182" s="22">
        <f>MAX(0,IF('Vinyl Cut'!$F$7="",'Unit Costs'!G265-'Vinyl Cut'!$H$7,'Unit Costs'!G265*(1-'Vinyl Cut'!$F$7))+'Vinyl Cut'!$D$7)</f>
        <v>115</v>
      </c>
      <c r="H182" s="9"/>
      <c r="I182" s="9"/>
      <c r="J182" s="205"/>
    </row>
    <row r="183" spans="2:10" ht="15" customHeight="1" x14ac:dyDescent="0.3">
      <c r="B183" s="7"/>
      <c r="C183" s="9"/>
      <c r="D183" s="9"/>
      <c r="E183" s="9" t="s">
        <v>35</v>
      </c>
      <c r="F183" s="22">
        <f>MAX(0,IF('Vinyl Cut'!$F$7="",'Unit Costs'!F266-'Vinyl Cut'!$H$7,'Unit Costs'!F266*(1-'Vinyl Cut'!$F$7))+'Vinyl Cut'!$D$7)</f>
        <v>78</v>
      </c>
      <c r="G183" s="22">
        <f>MAX(0,IF('Vinyl Cut'!$F$7="",'Unit Costs'!G266-'Vinyl Cut'!$H$7,'Unit Costs'!G266*(1-'Vinyl Cut'!$F$7))+'Vinyl Cut'!$D$7)</f>
        <v>131</v>
      </c>
      <c r="H183" s="9"/>
      <c r="I183" s="9"/>
      <c r="J183" s="205"/>
    </row>
    <row r="184" spans="2:10" ht="15" customHeight="1" x14ac:dyDescent="0.3">
      <c r="B184" s="7"/>
      <c r="C184" s="9"/>
      <c r="D184" s="9"/>
      <c r="E184" s="9" t="s">
        <v>38</v>
      </c>
      <c r="F184" s="22">
        <f>MAX(0,IF('Vinyl Cut'!$F$7="",'Unit Costs'!F267-'Vinyl Cut'!$H$7,'Unit Costs'!F267*(1-'Vinyl Cut'!$F$7))+'Vinyl Cut'!$D$7)</f>
        <v>86</v>
      </c>
      <c r="G184" s="22">
        <f>MAX(0,IF('Vinyl Cut'!$F$7="",'Unit Costs'!G267-'Vinyl Cut'!$H$7,'Unit Costs'!G267*(1-'Vinyl Cut'!$F$7))+'Vinyl Cut'!$D$7)</f>
        <v>143</v>
      </c>
      <c r="H184" s="9"/>
      <c r="I184" s="9"/>
      <c r="J184" s="205"/>
    </row>
    <row r="185" spans="2:10" ht="15" customHeight="1" x14ac:dyDescent="0.3">
      <c r="B185" s="7"/>
      <c r="C185" s="9"/>
      <c r="D185" s="9"/>
      <c r="E185" s="9" t="s">
        <v>41</v>
      </c>
      <c r="F185" s="22">
        <f>MAX(0,IF('Vinyl Cut'!$F$7="",'Unit Costs'!F268-'Vinyl Cut'!$H$7,'Unit Costs'!F268*(1-'Vinyl Cut'!$F$7))+'Vinyl Cut'!$D$7)</f>
        <v>94</v>
      </c>
      <c r="G185" s="22">
        <f>MAX(0,IF('Vinyl Cut'!$F$7="",'Unit Costs'!G268-'Vinyl Cut'!$H$7,'Unit Costs'!G268*(1-'Vinyl Cut'!$F$7))+'Vinyl Cut'!$D$7)</f>
        <v>157</v>
      </c>
      <c r="H185" s="9"/>
      <c r="I185" s="9"/>
      <c r="J185" s="205"/>
    </row>
    <row r="186" spans="2:10" ht="15" customHeight="1" x14ac:dyDescent="0.3">
      <c r="B186" s="7"/>
      <c r="C186" s="9"/>
      <c r="D186" s="9"/>
      <c r="E186" s="9" t="s">
        <v>106</v>
      </c>
      <c r="F186" s="22">
        <f>MAX(0,IF('Vinyl Cut'!$F$7="",'Unit Costs'!F269-'Vinyl Cut'!$H$7,'Unit Costs'!F269*(1-'Vinyl Cut'!$F$7))+'Vinyl Cut'!$D$7)</f>
        <v>102</v>
      </c>
      <c r="G186" s="22">
        <f>MAX(0,IF('Vinyl Cut'!$F$7="",'Unit Costs'!G269-'Vinyl Cut'!$H$7,'Unit Costs'!G269*(1-'Vinyl Cut'!$F$7))+'Vinyl Cut'!$D$7)</f>
        <v>170</v>
      </c>
      <c r="H186" s="9"/>
      <c r="I186" s="9"/>
      <c r="J186" s="205"/>
    </row>
    <row r="187" spans="2:10" ht="15" customHeight="1" x14ac:dyDescent="0.3">
      <c r="B187" s="7"/>
      <c r="C187" s="9"/>
      <c r="D187" s="9"/>
      <c r="E187" s="9" t="s">
        <v>108</v>
      </c>
      <c r="F187" s="22">
        <f>MAX(0,IF('Vinyl Cut'!$F$7="",'Unit Costs'!F270-'Vinyl Cut'!$H$7,'Unit Costs'!F270*(1-'Vinyl Cut'!$F$7))+'Vinyl Cut'!$D$7)</f>
        <v>110</v>
      </c>
      <c r="G187" s="22">
        <f>MAX(0,IF('Vinyl Cut'!$F$7="",'Unit Costs'!G270-'Vinyl Cut'!$H$7,'Unit Costs'!G270*(1-'Vinyl Cut'!$F$7))+'Vinyl Cut'!$D$7)</f>
        <v>183</v>
      </c>
      <c r="H187" s="9"/>
      <c r="I187" s="9"/>
      <c r="J187" s="205"/>
    </row>
    <row r="188" spans="2:10" ht="15" customHeight="1" x14ac:dyDescent="0.3">
      <c r="B188" s="7"/>
      <c r="C188" s="9"/>
      <c r="D188" s="9"/>
      <c r="E188" s="9" t="s">
        <v>109</v>
      </c>
      <c r="F188" s="22">
        <f>MAX(0,IF('Vinyl Cut'!$F$7="",'Unit Costs'!F271-'Vinyl Cut'!$H$7,'Unit Costs'!F271*(1-'Vinyl Cut'!$F$7))+'Vinyl Cut'!$D$7)</f>
        <v>115</v>
      </c>
      <c r="G188" s="22">
        <f>MAX(0,IF('Vinyl Cut'!$F$7="",'Unit Costs'!G271-'Vinyl Cut'!$H$7,'Unit Costs'!G271*(1-'Vinyl Cut'!$F$7))+'Vinyl Cut'!$D$7)</f>
        <v>191</v>
      </c>
      <c r="H188" s="9"/>
      <c r="I188" s="9"/>
      <c r="J188" s="205"/>
    </row>
    <row r="189" spans="2:10" ht="15" customHeight="1" x14ac:dyDescent="0.3">
      <c r="B189" s="7"/>
      <c r="C189" s="9"/>
      <c r="D189" s="9"/>
      <c r="E189" s="9" t="s">
        <v>110</v>
      </c>
      <c r="F189" s="22">
        <f>MAX(0,IF('Vinyl Cut'!$F$7="",'Unit Costs'!F272-'Vinyl Cut'!$H$7,'Unit Costs'!F272*(1-'Vinyl Cut'!$F$7))+'Vinyl Cut'!$D$7)</f>
        <v>118</v>
      </c>
      <c r="G189" s="22">
        <f>MAX(0,IF('Vinyl Cut'!$F$7="",'Unit Costs'!G272-'Vinyl Cut'!$H$7,'Unit Costs'!G272*(1-'Vinyl Cut'!$F$7))+'Vinyl Cut'!$D$7)</f>
        <v>198</v>
      </c>
      <c r="H189" s="9"/>
      <c r="I189" s="9"/>
      <c r="J189" s="205"/>
    </row>
    <row r="190" spans="2:10" ht="15" customHeight="1" x14ac:dyDescent="0.3">
      <c r="B190" s="7"/>
      <c r="C190" s="9"/>
      <c r="D190" s="9"/>
      <c r="E190" s="9" t="s">
        <v>111</v>
      </c>
      <c r="F190" s="22">
        <f>MAX(0,IF('Vinyl Cut'!$F$7="",'Unit Costs'!F273-'Vinyl Cut'!$H$7,'Unit Costs'!F273*(1-'Vinyl Cut'!$F$7))+'Vinyl Cut'!$D$7)</f>
        <v>122</v>
      </c>
      <c r="G190" s="22">
        <f>MAX(0,IF('Vinyl Cut'!$F$7="",'Unit Costs'!G273-'Vinyl Cut'!$H$7,'Unit Costs'!G273*(1-'Vinyl Cut'!$F$7))+'Vinyl Cut'!$D$7)</f>
        <v>204</v>
      </c>
      <c r="H190" s="9"/>
      <c r="I190" s="9"/>
      <c r="J190" s="205"/>
    </row>
    <row r="191" spans="2:10" ht="15" customHeight="1" x14ac:dyDescent="0.3">
      <c r="B191" s="7"/>
      <c r="C191" s="9"/>
      <c r="D191" s="9"/>
      <c r="E191" s="9" t="s">
        <v>112</v>
      </c>
      <c r="F191" s="22">
        <f>MAX(0,IF('Vinyl Cut'!$F$7="",'Unit Costs'!F274-'Vinyl Cut'!$H$7,'Unit Costs'!F274*(1-'Vinyl Cut'!$F$7))+'Vinyl Cut'!$D$7)</f>
        <v>126</v>
      </c>
      <c r="G191" s="22">
        <f>MAX(0,IF('Vinyl Cut'!$F$7="",'Unit Costs'!G274-'Vinyl Cut'!$H$7,'Unit Costs'!G274*(1-'Vinyl Cut'!$F$7))+'Vinyl Cut'!$D$7)</f>
        <v>210</v>
      </c>
      <c r="H191" s="9"/>
      <c r="I191" s="9"/>
      <c r="J191" s="205"/>
    </row>
    <row r="192" spans="2:10" ht="15" customHeight="1" x14ac:dyDescent="0.3">
      <c r="B192" s="7"/>
      <c r="C192" s="9"/>
      <c r="D192" s="9"/>
      <c r="E192" s="9" t="s">
        <v>113</v>
      </c>
      <c r="F192" s="22">
        <f>MAX(0,IF('Vinyl Cut'!$F$7="",'Unit Costs'!F275-'Vinyl Cut'!$H$7,'Unit Costs'!F275*(1-'Vinyl Cut'!$F$7))+'Vinyl Cut'!$D$7)</f>
        <v>130</v>
      </c>
      <c r="G192" s="22">
        <f>MAX(0,IF('Vinyl Cut'!$F$7="",'Unit Costs'!G275-'Vinyl Cut'!$H$7,'Unit Costs'!G275*(1-'Vinyl Cut'!$F$7))+'Vinyl Cut'!$D$7)</f>
        <v>216</v>
      </c>
      <c r="H192" s="9"/>
      <c r="I192" s="9"/>
      <c r="J192" s="205"/>
    </row>
    <row r="193" spans="2:17" ht="15" customHeight="1" x14ac:dyDescent="0.3">
      <c r="B193" s="7"/>
      <c r="C193" s="9"/>
      <c r="D193" s="9"/>
      <c r="E193" s="9" t="s">
        <v>114</v>
      </c>
      <c r="F193" s="22">
        <f>MAX(0,IF('Vinyl Cut'!$F$7="",'Unit Costs'!F276-'Vinyl Cut'!$H$7,'Unit Costs'!F276*(1-'Vinyl Cut'!$F$7))+'Vinyl Cut'!$D$7)</f>
        <v>134</v>
      </c>
      <c r="G193" s="22">
        <f>MAX(0,IF('Vinyl Cut'!$F$7="",'Unit Costs'!G276-'Vinyl Cut'!$H$7,'Unit Costs'!G276*(1-'Vinyl Cut'!$F$7))+'Vinyl Cut'!$D$7)</f>
        <v>223</v>
      </c>
      <c r="H193" s="9"/>
      <c r="I193" s="9"/>
      <c r="J193" s="205"/>
    </row>
    <row r="194" spans="2:17" ht="15" customHeight="1" x14ac:dyDescent="0.3">
      <c r="B194" s="7"/>
      <c r="C194" s="9"/>
      <c r="D194" s="9"/>
      <c r="E194" s="9" t="s">
        <v>115</v>
      </c>
      <c r="F194" s="22">
        <f>MAX(0,IF('Vinyl Cut'!$F$7="",'Unit Costs'!F277-'Vinyl Cut'!$H$7,'Unit Costs'!F277*(1-'Vinyl Cut'!$F$7))+'Vinyl Cut'!$D$7)</f>
        <v>137</v>
      </c>
      <c r="G194" s="22">
        <f>MAX(0,IF('Vinyl Cut'!$F$7="",'Unit Costs'!G277-'Vinyl Cut'!$H$7,'Unit Costs'!G277*(1-'Vinyl Cut'!$F$7))+'Vinyl Cut'!$D$7)</f>
        <v>228</v>
      </c>
      <c r="H194" s="9"/>
      <c r="I194" s="9"/>
      <c r="J194" s="205"/>
    </row>
    <row r="195" spans="2:17" ht="15" customHeight="1" x14ac:dyDescent="0.3">
      <c r="B195" s="7"/>
      <c r="C195" s="9"/>
      <c r="D195" s="9"/>
      <c r="E195" s="9" t="s">
        <v>116</v>
      </c>
      <c r="F195" s="22">
        <f>MAX(0,IF('Vinyl Cut'!$F$7="",'Unit Costs'!F278-'Vinyl Cut'!$H$7,'Unit Costs'!F278*(1-'Vinyl Cut'!$F$7))+'Vinyl Cut'!$D$7)</f>
        <v>141</v>
      </c>
      <c r="G195" s="22">
        <f>MAX(0,IF('Vinyl Cut'!$F$7="",'Unit Costs'!G278-'Vinyl Cut'!$H$7,'Unit Costs'!G278*(1-'Vinyl Cut'!$F$7))+'Vinyl Cut'!$D$7)</f>
        <v>235</v>
      </c>
      <c r="H195" s="9"/>
      <c r="I195" s="9"/>
      <c r="J195" s="205"/>
    </row>
    <row r="196" spans="2:17" ht="15" customHeight="1" x14ac:dyDescent="0.3">
      <c r="B196" s="7"/>
      <c r="C196" s="9"/>
      <c r="D196" s="9"/>
      <c r="E196" s="9" t="s">
        <v>118</v>
      </c>
      <c r="F196" s="22">
        <f>MAX(0,IF('Vinyl Cut'!$F$7="",'Unit Costs'!F279-'Vinyl Cut'!$H$7,'Unit Costs'!F279*(1-'Vinyl Cut'!$F$7))+'Vinyl Cut'!$D$7)</f>
        <v>145</v>
      </c>
      <c r="G196" s="22">
        <f>MAX(0,IF('Vinyl Cut'!$F$7="",'Unit Costs'!G279-'Vinyl Cut'!$H$7,'Unit Costs'!G279*(1-'Vinyl Cut'!$F$7))+'Vinyl Cut'!$D$7)</f>
        <v>241</v>
      </c>
      <c r="H196" s="9"/>
      <c r="I196" s="9"/>
      <c r="J196" s="205"/>
    </row>
    <row r="197" spans="2:17" ht="15" customHeight="1" x14ac:dyDescent="0.3">
      <c r="B197" s="7"/>
      <c r="C197" s="9"/>
      <c r="D197" s="9"/>
      <c r="E197" s="9" t="s">
        <v>120</v>
      </c>
      <c r="F197" s="22">
        <f>MAX(0,IF('Vinyl Cut'!$F$7="",'Unit Costs'!F280-'Vinyl Cut'!$H$7,'Unit Costs'!F280*(1-'Vinyl Cut'!$F$7))+'Vinyl Cut'!$D$7)</f>
        <v>148</v>
      </c>
      <c r="G197" s="22">
        <f>MAX(0,IF('Vinyl Cut'!$F$7="",'Unit Costs'!G280-'Vinyl Cut'!$H$7,'Unit Costs'!G280*(1-'Vinyl Cut'!$F$7))+'Vinyl Cut'!$D$7)</f>
        <v>248</v>
      </c>
      <c r="H197" s="9"/>
      <c r="I197" s="9"/>
      <c r="J197" s="205"/>
    </row>
    <row r="198" spans="2:17" ht="15" customHeight="1" x14ac:dyDescent="0.3">
      <c r="B198" s="7"/>
      <c r="C198" s="9"/>
      <c r="D198" s="9"/>
      <c r="E198" s="9" t="s">
        <v>122</v>
      </c>
      <c r="F198" s="22">
        <f>MAX(0,IF('Vinyl Cut'!$F$7="",'Unit Costs'!F281-'Vinyl Cut'!$H$7,'Unit Costs'!F281*(1-'Vinyl Cut'!$F$7))+'Vinyl Cut'!$D$7)</f>
        <v>153</v>
      </c>
      <c r="G198" s="22">
        <f>MAX(0,IF('Vinyl Cut'!$F$7="",'Unit Costs'!G281-'Vinyl Cut'!$H$7,'Unit Costs'!G281*(1-'Vinyl Cut'!$F$7))+'Vinyl Cut'!$D$7)</f>
        <v>254</v>
      </c>
      <c r="H198" s="9"/>
      <c r="I198" s="9"/>
      <c r="J198" s="205"/>
    </row>
    <row r="199" spans="2:17" ht="15" customHeight="1" x14ac:dyDescent="0.3">
      <c r="B199" s="7"/>
      <c r="C199" s="9"/>
      <c r="D199" s="9"/>
      <c r="E199" s="9" t="s">
        <v>124</v>
      </c>
      <c r="F199" s="22">
        <f>MAX(0,IF('Vinyl Cut'!$F$7="",'Unit Costs'!F282-'Vinyl Cut'!$H$7,'Unit Costs'!F282*(1-'Vinyl Cut'!$F$7))+'Vinyl Cut'!$D$7)</f>
        <v>156</v>
      </c>
      <c r="G199" s="22">
        <f>MAX(0,IF('Vinyl Cut'!$F$7="",'Unit Costs'!G282-'Vinyl Cut'!$H$7,'Unit Costs'!G282*(1-'Vinyl Cut'!$F$7))+'Vinyl Cut'!$D$7)</f>
        <v>260</v>
      </c>
      <c r="H199" s="9"/>
      <c r="I199" s="9"/>
      <c r="J199" s="205"/>
    </row>
    <row r="200" spans="2:17" ht="15" customHeight="1" x14ac:dyDescent="0.3">
      <c r="B200" s="17"/>
      <c r="C200" s="681"/>
      <c r="D200" s="681"/>
      <c r="E200" s="681" t="s">
        <v>126</v>
      </c>
      <c r="F200" s="679">
        <f>MAX(0,IF('Vinyl Cut'!$F$7="",'Unit Costs'!F283-'Vinyl Cut'!$H$7,'Unit Costs'!F283*(1-'Vinyl Cut'!$F$7))+'Vinyl Cut'!$D$7)</f>
        <v>160</v>
      </c>
      <c r="G200" s="679">
        <f>MAX(0,IF('Vinyl Cut'!$F$7="",'Unit Costs'!G283-'Vinyl Cut'!$H$7,'Unit Costs'!G283*(1-'Vinyl Cut'!$F$7))+'Vinyl Cut'!$D$7)</f>
        <v>266</v>
      </c>
      <c r="H200" s="681"/>
      <c r="I200" s="681"/>
      <c r="J200" s="209"/>
    </row>
    <row r="205" spans="2:17" ht="15" customHeight="1" x14ac:dyDescent="0.3">
      <c r="B205" s="18" t="s">
        <v>127</v>
      </c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691"/>
      <c r="N205" s="28"/>
      <c r="O205" s="28"/>
      <c r="P205" s="28"/>
      <c r="Q205" s="28"/>
    </row>
    <row r="206" spans="2:17" ht="15" customHeight="1" x14ac:dyDescent="0.3">
      <c r="B206" s="669">
        <f>(D206*E206)/144</f>
        <v>0</v>
      </c>
      <c r="C206" s="9" t="s">
        <v>483</v>
      </c>
      <c r="D206" s="9">
        <f>IF('Custom SEG'!D5="",IF('Custom SEG'!F5="",('Custom SEG'!H5/25.4),'Custom SEG'!F5*12),'Custom SEG'!D5)</f>
        <v>0</v>
      </c>
      <c r="E206" s="9">
        <f>IF('Custom SEG'!D6="",IF('Custom SEG'!F6="",('Custom SEG'!H6/25.4),'Custom SEG'!F6*12),'Custom SEG'!D6)</f>
        <v>0</v>
      </c>
      <c r="F206" s="9"/>
      <c r="G206" s="9">
        <f>(IFERROR((VLOOKUP('Custom SEG'!B19,B432:D475,3,FALSE)),"ERROR"))</f>
        <v>1</v>
      </c>
      <c r="H206" s="9" t="s">
        <v>485</v>
      </c>
      <c r="I206" s="9"/>
      <c r="J206" s="9"/>
      <c r="K206" s="9"/>
      <c r="L206" s="9"/>
      <c r="M206" s="205"/>
      <c r="N206" s="28"/>
      <c r="O206" s="28"/>
      <c r="P206" s="28"/>
      <c r="Q206" s="28"/>
    </row>
    <row r="207" spans="2:17" ht="15" customHeight="1" x14ac:dyDescent="0.3">
      <c r="B207" s="669">
        <f>(D207*2)+(E207*2)+SUM(D209:E209)</f>
        <v>0</v>
      </c>
      <c r="C207" s="9" t="s">
        <v>735</v>
      </c>
      <c r="D207" s="9">
        <f>IF('Custom SEG'!D7="",IF('Custom SEG'!F7="",'Custom SEG'!H7/30.48,'Custom SEG'!F7),'Custom SEG'!D7/12)</f>
        <v>0</v>
      </c>
      <c r="E207" s="9">
        <f>IF('Custom SEG'!D8="",IF('Custom SEG'!F8="",'Custom SEG'!H8/30.48,'Custom SEG'!F8),'Custom SEG'!D8/12)</f>
        <v>0</v>
      </c>
      <c r="F207" s="9"/>
      <c r="G207" s="9">
        <f>(IFERROR((VLOOKUP('Custom SEG'!B24,B432:D475,3,FALSE)),"ERROR"))</f>
        <v>1</v>
      </c>
      <c r="H207" s="9" t="s">
        <v>486</v>
      </c>
      <c r="I207" s="9"/>
      <c r="J207" s="9"/>
      <c r="K207" s="9"/>
      <c r="L207" s="9"/>
      <c r="M207" s="205"/>
      <c r="N207" s="28"/>
      <c r="O207" s="28"/>
      <c r="P207" s="28"/>
      <c r="Q207" s="28"/>
    </row>
    <row r="208" spans="2:17" ht="15" customHeight="1" x14ac:dyDescent="0.3">
      <c r="B208" s="669">
        <f>IF('Custom SEG'!D9="",IF('Custom SEG'!F9="",'Custom SEG'!H9/30.48,'Custom SEG'!F9),'Custom SEG'!D9/12)</f>
        <v>0</v>
      </c>
      <c r="C208" s="9" t="s">
        <v>736</v>
      </c>
      <c r="D208" s="9" t="s">
        <v>158</v>
      </c>
      <c r="E208" s="9"/>
      <c r="F208" s="9"/>
      <c r="G208" s="9"/>
      <c r="H208" s="9" t="s">
        <v>154</v>
      </c>
      <c r="I208" s="9" t="s">
        <v>490</v>
      </c>
      <c r="J208" s="9"/>
      <c r="K208" s="9"/>
      <c r="L208" s="9"/>
      <c r="M208" s="205"/>
      <c r="N208" s="28"/>
      <c r="O208" s="28"/>
      <c r="P208" s="28"/>
      <c r="Q208" s="28"/>
    </row>
    <row r="209" spans="2:21" ht="15" customHeight="1" x14ac:dyDescent="0.3">
      <c r="B209" s="7"/>
      <c r="C209" s="9" t="s">
        <v>484</v>
      </c>
      <c r="D209" s="9">
        <f>IF('Custom SEG'!D10="",IF('Custom SEG'!F10="",'Custom SEG'!H10/30.48,'Custom SEG'!F10),'Custom SEG'!D10/12)</f>
        <v>0</v>
      </c>
      <c r="E209" s="9">
        <f>IF('Custom SEG'!D11="",IF('Custom SEG'!F11="",'Custom SEG'!H11/30.48,'Custom SEG'!F11),'Custom SEG'!D11/12)</f>
        <v>0</v>
      </c>
      <c r="F209" s="9"/>
      <c r="G209" s="674">
        <f>IFERROR(HLOOKUP('Custom SEG'!D14,$H$208:$I$209,2,FALSE),"Invalid")</f>
        <v>1</v>
      </c>
      <c r="H209" s="9">
        <v>1</v>
      </c>
      <c r="I209" s="9">
        <v>2</v>
      </c>
      <c r="J209" s="9"/>
      <c r="K209" s="9"/>
      <c r="L209" s="9"/>
      <c r="M209" s="205"/>
      <c r="N209" s="28"/>
      <c r="O209" s="28"/>
      <c r="P209" s="28"/>
      <c r="Q209" s="28"/>
    </row>
    <row r="210" spans="2:21" ht="15" customHeight="1" x14ac:dyDescent="0.3">
      <c r="B210" s="7"/>
      <c r="C210" s="9" t="s">
        <v>742</v>
      </c>
      <c r="D210" s="9">
        <f>IF('Custom SEG'!D12="",IF('Custom SEG'!F12="",'Custom SEG'!H12/30.48,'Custom SEG'!F12),'Custom SEG'!D12/12)</f>
        <v>0</v>
      </c>
      <c r="E210" s="9"/>
      <c r="F210" s="9"/>
      <c r="J210" s="9"/>
      <c r="K210" s="9"/>
      <c r="L210" s="9"/>
      <c r="M210" s="205"/>
      <c r="N210" s="28"/>
      <c r="O210" s="28"/>
      <c r="P210" s="28"/>
      <c r="Q210" s="28"/>
      <c r="U210" s="9"/>
    </row>
    <row r="211" spans="2:21" ht="15" customHeight="1" x14ac:dyDescent="0.3"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205"/>
      <c r="N211" s="28"/>
      <c r="O211" s="28"/>
      <c r="P211" s="28"/>
      <c r="Q211" s="28"/>
      <c r="U211" s="9"/>
    </row>
    <row r="212" spans="2:21" ht="15" customHeight="1" x14ac:dyDescent="0.3">
      <c r="B212" s="7" t="s">
        <v>186</v>
      </c>
      <c r="C212" s="9" t="str">
        <f>IFERROR((VLOOKUP('Custom SEG'!B19,B432:D475,2,FALSE)),"ERROR")</f>
        <v>Silicone E</v>
      </c>
      <c r="D212" s="658" t="str">
        <f>CONCATENATE(IF($D$206=0,0,MAX(0,TRUNC($D$206,4))), """ x ",IF($E$206=0,0,MAX(0,TRUNC($E$206,4))),"""")</f>
        <v>0" x 0"</v>
      </c>
      <c r="E212" s="658" t="str">
        <f>CONCATENATE(IF($D$206=0,0,MAX(0,TRUNC($D$206+$G$206,4))), """ x ",IF($E$206=0,0,MAX(0,TRUNC($E$206+$G$206,4))),"""")</f>
        <v>0" x 0"</v>
      </c>
      <c r="F212" s="9"/>
      <c r="G212" s="9" t="s">
        <v>734</v>
      </c>
      <c r="H212" s="658" t="str">
        <f>CONCATENATE(TRUNC(IF($B$207=0,$B$208,$B$207),4), " ln. ft.")</f>
        <v>0 ln. ft.</v>
      </c>
      <c r="I212" s="671">
        <f>$B$207*'Unit Costs'!F290</f>
        <v>0</v>
      </c>
      <c r="J212" s="9"/>
      <c r="K212" s="9" t="s">
        <v>734</v>
      </c>
      <c r="L212" s="658" t="str">
        <f>CONCATENATE(TRUNC($B$207,4), " ln. ft.")</f>
        <v>0 ln. ft.</v>
      </c>
      <c r="M212" s="342">
        <f>$B$207*'Unit Costs'!I290</f>
        <v>0</v>
      </c>
      <c r="U212" s="9"/>
    </row>
    <row r="213" spans="2:21" ht="15" customHeight="1" x14ac:dyDescent="0.3">
      <c r="B213" s="7"/>
      <c r="F213" s="9"/>
      <c r="G213" s="9" t="s">
        <v>132</v>
      </c>
      <c r="H213" s="9"/>
      <c r="I213" s="671">
        <f>ROUND('Custom SEG'!H20,0)*'Unit Costs'!F291</f>
        <v>0</v>
      </c>
      <c r="J213" s="9"/>
      <c r="K213" s="9" t="s">
        <v>741</v>
      </c>
      <c r="L213" s="658" t="str">
        <f>CONCATENATE(TRUNC($D$210,4), " ln. ft.")</f>
        <v>0 ln. ft.</v>
      </c>
      <c r="M213" s="342">
        <f>$D$210*'Unit Costs'!I291</f>
        <v>0</v>
      </c>
      <c r="U213" s="9"/>
    </row>
    <row r="214" spans="2:21" ht="15" customHeight="1" x14ac:dyDescent="0.3">
      <c r="B214" s="7"/>
      <c r="C214" s="9"/>
      <c r="D214" s="9"/>
      <c r="E214" s="9"/>
      <c r="F214" s="9"/>
      <c r="G214" s="9" t="s">
        <v>133</v>
      </c>
      <c r="H214" s="9"/>
      <c r="I214" s="671">
        <f>ROUND('Custom SEG'!H21,0)*'Unit Costs'!F292</f>
        <v>0</v>
      </c>
      <c r="J214" s="9"/>
      <c r="K214" s="9" t="s">
        <v>134</v>
      </c>
      <c r="L214" s="9"/>
      <c r="M214" s="342">
        <f>ROUND('Custom SEG'!L21,0)*'Unit Costs'!I292</f>
        <v>0</v>
      </c>
      <c r="U214" s="9"/>
    </row>
    <row r="215" spans="2:21" ht="15" customHeight="1" x14ac:dyDescent="0.3">
      <c r="B215" s="7"/>
      <c r="C215" s="9"/>
      <c r="D215" s="9"/>
      <c r="E215" s="9"/>
      <c r="F215" s="9"/>
      <c r="G215" s="9" t="s">
        <v>743</v>
      </c>
      <c r="H215" s="9"/>
      <c r="I215" s="671">
        <f>ROUND('Custom SEG'!H22,0)*'Unit Costs'!F293</f>
        <v>0</v>
      </c>
      <c r="J215" s="9"/>
      <c r="K215" s="9" t="s">
        <v>133</v>
      </c>
      <c r="L215" s="9"/>
      <c r="M215" s="342">
        <f>ROUND('Custom SEG'!L22,0)*'Unit Costs'!I293</f>
        <v>0</v>
      </c>
      <c r="U215" s="9"/>
    </row>
    <row r="216" spans="2:21" ht="15" customHeight="1" x14ac:dyDescent="0.3">
      <c r="B216" s="7"/>
      <c r="C216" s="9"/>
      <c r="D216" s="9"/>
      <c r="E216" s="9"/>
      <c r="F216" s="9"/>
      <c r="G216" s="9" t="s">
        <v>136</v>
      </c>
      <c r="H216" s="9"/>
      <c r="I216" s="671">
        <f>ROUND('Custom SEG'!H23,0)*'Unit Costs'!F294</f>
        <v>0</v>
      </c>
      <c r="J216" s="9"/>
      <c r="K216" s="9" t="s">
        <v>747</v>
      </c>
      <c r="L216" s="9"/>
      <c r="M216" s="342">
        <f>ROUND('Custom SEG'!L23,0)*'Unit Costs'!I294</f>
        <v>0</v>
      </c>
      <c r="U216" s="9"/>
    </row>
    <row r="217" spans="2:21" ht="15" customHeight="1" x14ac:dyDescent="0.3">
      <c r="B217" s="7" t="s">
        <v>185</v>
      </c>
      <c r="C217" s="9" t="str">
        <f>IFERROR((VLOOKUP('Custom SEG'!B24,B432:D475,2,FALSE)),"ERROR")</f>
        <v>Silicone E</v>
      </c>
      <c r="D217" s="658" t="str">
        <f>CONCATENATE(IF($D$206=0,0,MAX(0,TRUNC($D$206,4))), """ x ",IF($E$206=0,0,MAX(0,TRUNC($E$206,4))),"""")</f>
        <v>0" x 0"</v>
      </c>
      <c r="E217" s="658" t="str">
        <f>CONCATENATE(IF($D$206=0,0,MAX(0,TRUNC($D$206-$G$207,4))), """ x ",IF($E$206=0,0,MAX(0,TRUNC($E$206-$G$207,4))),"""")</f>
        <v>0" x 0"</v>
      </c>
      <c r="F217" s="9"/>
      <c r="J217" s="9"/>
      <c r="K217" s="9" t="s">
        <v>137</v>
      </c>
      <c r="L217" s="9"/>
      <c r="M217" s="342">
        <f>ROUND('Custom SEG'!L24,0)*'Unit Costs'!I295</f>
        <v>0</v>
      </c>
      <c r="U217" s="9"/>
    </row>
    <row r="218" spans="2:21" ht="15" customHeight="1" x14ac:dyDescent="0.3">
      <c r="B218" s="7"/>
      <c r="C218" s="9"/>
      <c r="D218" s="9"/>
      <c r="E218" s="9"/>
      <c r="F218" s="9"/>
      <c r="G218" s="9" t="s">
        <v>188</v>
      </c>
      <c r="H218" s="9"/>
      <c r="I218" s="671">
        <f>IF($I$212=0,0,SUM($I$212:$I$216))*IF('Custom SEG'!$D$15="",1,'Custom SEG'!$D$15)</f>
        <v>0</v>
      </c>
      <c r="J218" s="9"/>
      <c r="K218" s="9" t="s">
        <v>138</v>
      </c>
      <c r="L218" s="9"/>
      <c r="M218" s="342">
        <f>ROUND('Custom SEG'!L25,0)*'Unit Costs'!I296</f>
        <v>0</v>
      </c>
      <c r="U218" s="9"/>
    </row>
    <row r="219" spans="2:21" ht="15" customHeight="1" x14ac:dyDescent="0.3">
      <c r="B219" s="7"/>
      <c r="C219" s="9"/>
      <c r="D219" s="9"/>
      <c r="E219" s="9"/>
      <c r="F219" s="9"/>
      <c r="G219" s="9" t="s">
        <v>9</v>
      </c>
      <c r="H219" s="9"/>
      <c r="I219" s="671">
        <f>IF($I$218=0,0,$I$218+D221)</f>
        <v>0</v>
      </c>
      <c r="J219" s="9"/>
      <c r="K219" s="9" t="s">
        <v>139</v>
      </c>
      <c r="L219" s="9"/>
      <c r="M219" s="342">
        <f>ROUND('Custom SEG'!L26,0)*'Unit Costs'!I297</f>
        <v>0</v>
      </c>
      <c r="U219" s="9"/>
    </row>
    <row r="220" spans="2:21" ht="15" customHeight="1" x14ac:dyDescent="0.3">
      <c r="B220" s="7"/>
      <c r="F220" s="9"/>
      <c r="G220" s="9" t="s">
        <v>187</v>
      </c>
      <c r="H220" s="9"/>
      <c r="I220" s="671">
        <f>IF($I$218=0,0,$I$218+D222)</f>
        <v>0</v>
      </c>
      <c r="J220" s="9"/>
      <c r="K220" s="9" t="s">
        <v>744</v>
      </c>
      <c r="L220" s="9"/>
      <c r="M220" s="342">
        <f>ROUND('Custom SEG'!L27,0)*'Unit Costs'!I298</f>
        <v>0</v>
      </c>
      <c r="U220" s="9"/>
    </row>
    <row r="221" spans="2:21" ht="15" customHeight="1" x14ac:dyDescent="0.3">
      <c r="B221" s="7" t="s">
        <v>9</v>
      </c>
      <c r="C221" s="9"/>
      <c r="D221" s="701">
        <f>(MAX(0,IF('Custom SEG'!$F$13="",($B$206*'Unit Costs'!C290)-'Custom SEG'!$H$13,($B$206*'Unit Costs'!C290)*(1-'Custom SEG'!$F$13))+'Custom SEG'!$D$13)*IF('Custom SEG'!$D$15="",1,'Custom SEG'!$D$15))+IF($G$209=2,'Unit Costs'!C300+IF('Custom SEG'!$D$15&gt;1,'Custom SEG'!$D$15-1,0),0)</f>
        <v>0</v>
      </c>
      <c r="E221" s="9"/>
      <c r="F221" s="9"/>
      <c r="G221" s="9" t="s">
        <v>553</v>
      </c>
      <c r="H221" s="9"/>
      <c r="I221" s="671">
        <f>IF($I$218=0,0,$I$218+D223)</f>
        <v>0</v>
      </c>
      <c r="J221" s="9"/>
      <c r="K221" s="9" t="s">
        <v>745</v>
      </c>
      <c r="L221" s="9"/>
      <c r="M221" s="342">
        <f>ROUND('Custom SEG'!L28,0)*'Unit Costs'!I299</f>
        <v>0</v>
      </c>
      <c r="U221" s="9"/>
    </row>
    <row r="222" spans="2:21" ht="15" customHeight="1" x14ac:dyDescent="0.3">
      <c r="B222" s="7" t="s">
        <v>187</v>
      </c>
      <c r="C222" s="9"/>
      <c r="D222" s="671">
        <f>(MAX(0,IF('Custom SEG'!$F$13="",($B$206*'Unit Costs'!C291)-'Custom SEG'!$H$13,($B$206*'Unit Costs'!C291)*(1-'Custom SEG'!$F$13))+'Custom SEG'!$D$13)*IF('Custom SEG'!$D$15="",1,'Custom SEG'!$D$15))+IF($G$209=2,'Unit Costs'!C301+IF('Custom SEG'!$D$15&gt;1,'Custom SEG'!$D$15-1,0),0)</f>
        <v>0</v>
      </c>
      <c r="E222" s="9"/>
      <c r="F222" s="9"/>
      <c r="G222" s="9" t="s">
        <v>554</v>
      </c>
      <c r="H222" s="9"/>
      <c r="I222" s="671">
        <f>IF($I$218=0,0,$I$218+D224)</f>
        <v>0</v>
      </c>
      <c r="J222" s="9"/>
      <c r="K222" s="9" t="s">
        <v>746</v>
      </c>
      <c r="L222" s="9"/>
      <c r="M222" s="342">
        <f>ROUND('Custom SEG'!L29,0)*'Unit Costs'!I300</f>
        <v>0</v>
      </c>
      <c r="U222" s="9"/>
    </row>
    <row r="223" spans="2:21" ht="15" customHeight="1" x14ac:dyDescent="0.3">
      <c r="B223" s="7" t="s">
        <v>553</v>
      </c>
      <c r="C223" s="9"/>
      <c r="D223" s="671">
        <f>(MAX(0,IF('Custom SEG'!$F$13="",($B$206*'Unit Costs'!C292)-'Custom SEG'!$H$13,($B$206*'Unit Costs'!C292)*(1-'Custom SEG'!$F$13))+'Custom SEG'!$D$13)*IF('Custom SEG'!$D$15="",1,'Custom SEG'!$D$15))+IF($G$209=2,'Unit Costs'!C302+IF('Custom SEG'!$D$15&gt;1,'Custom SEG'!$D$15-1,0),0)</f>
        <v>0</v>
      </c>
      <c r="E223" s="9"/>
      <c r="F223" s="9"/>
      <c r="G223" s="9" t="s">
        <v>131</v>
      </c>
      <c r="H223" s="9"/>
      <c r="I223" s="671">
        <f>IF($I$218=0,0,$I$218+D226)</f>
        <v>0</v>
      </c>
      <c r="J223" s="9"/>
      <c r="K223" s="9" t="s">
        <v>141</v>
      </c>
      <c r="L223" s="9"/>
      <c r="M223" s="342">
        <f>ROUND('Custom SEG'!L30,0)*'Unit Costs'!I301</f>
        <v>0</v>
      </c>
      <c r="U223" s="9"/>
    </row>
    <row r="224" spans="2:21" ht="15" customHeight="1" x14ac:dyDescent="0.3">
      <c r="B224" s="7" t="s">
        <v>554</v>
      </c>
      <c r="C224" s="9"/>
      <c r="D224" s="671">
        <f>(MAX(0,IF('Custom SEG'!$F$13="",($B$206*'Unit Costs'!C293)-'Custom SEG'!$H$13,($B$206*'Unit Costs'!C293)*(1-'Custom SEG'!$F$13))+'Custom SEG'!$D$13)*IF('Custom SEG'!$D$15="",1,'Custom SEG'!$D$15))+IF($G$209=2,'Unit Costs'!C303+IF('Custom SEG'!$D$15&gt;1,'Custom SEG'!$D$15-1,0),0)</f>
        <v>0</v>
      </c>
      <c r="E224" s="9"/>
      <c r="F224" s="9"/>
      <c r="G224" s="9" t="s">
        <v>551</v>
      </c>
      <c r="H224" s="9"/>
      <c r="I224" s="671">
        <f>IF($I$218=0,0,$I$218+D227)</f>
        <v>0</v>
      </c>
      <c r="J224" s="9"/>
      <c r="K224" s="9" t="s">
        <v>142</v>
      </c>
      <c r="L224" s="9"/>
      <c r="M224" s="342">
        <f>ROUND('Custom SEG'!L31,0)*'Unit Costs'!I302</f>
        <v>0</v>
      </c>
      <c r="U224" s="9"/>
    </row>
    <row r="225" spans="2:24" ht="15" customHeight="1" x14ac:dyDescent="0.3">
      <c r="B225" s="7" t="s">
        <v>703</v>
      </c>
      <c r="C225" s="9"/>
      <c r="D225" s="671">
        <f>(MAX(0,IF('Custom SEG'!$F$13="",($B$206*'Unit Costs'!C294)-'Custom SEG'!$H$13,($B$206*'Unit Costs'!C294)*(1-'Custom SEG'!$F$13))+'Custom SEG'!$D$13)*IF('Custom SEG'!$D$15="",1,'Custom SEG'!$D$15))+IF($G$209=2,'Unit Costs'!C304+IF('Custom SEG'!$D$15&gt;1,'Custom SEG'!$D$15-1,0),0)</f>
        <v>0</v>
      </c>
      <c r="E225" s="9"/>
      <c r="F225" s="9"/>
      <c r="G225" s="9" t="s">
        <v>552</v>
      </c>
      <c r="H225" s="9"/>
      <c r="I225" s="671">
        <f>IF($I$218=0,0,$I$218+D228)</f>
        <v>0</v>
      </c>
      <c r="J225" s="9"/>
      <c r="K225" s="9" t="s">
        <v>143</v>
      </c>
      <c r="L225" s="9"/>
      <c r="M225" s="342">
        <f>ROUND('Custom SEG'!L32,0)*'Unit Costs'!I303</f>
        <v>0</v>
      </c>
      <c r="U225" s="9"/>
    </row>
    <row r="226" spans="2:24" ht="15" customHeight="1" x14ac:dyDescent="0.3">
      <c r="B226" s="7" t="s">
        <v>131</v>
      </c>
      <c r="C226" s="9"/>
      <c r="D226" s="671">
        <f>(MAX(0,IF('Custom SEG'!$F$13="",($B$206*'Unit Costs'!C295)-'Custom SEG'!$H$13,($B$206*'Unit Costs'!C295)*(1-'Custom SEG'!$F$13))+'Custom SEG'!$D$13)*IF('Custom SEG'!$D$15="",1,'Custom SEG'!$D$15))+IF($G$209=2,'Unit Costs'!C305+IF('Custom SEG'!$D$15&gt;1,'Custom SEG'!$D$15-1,0),0)</f>
        <v>0</v>
      </c>
      <c r="E226" s="9"/>
      <c r="F226" s="9"/>
      <c r="G226" s="9" t="s">
        <v>169</v>
      </c>
      <c r="H226" s="9"/>
      <c r="I226" s="671">
        <f>IF(OR($D$230=0,$I$218=0),0,(MAX(0,IF('Custom SEG'!$F$13="",($B$206*'Unit Costs'!F295)-'Custom SEG'!$H$13,($B$206*'Unit Costs'!F295)*(1-'Custom SEG'!$F$13))+'Custom SEG'!$D$13)*IF('Custom SEG'!$D$15="",1,'Custom SEG'!$D$15))+IF($G$209=2,'Unit Costs'!C309+IF('Custom SEG'!$D$15&gt;1,'Custom SEG'!$D$15-1,0),0))</f>
        <v>0</v>
      </c>
      <c r="J226" s="9"/>
      <c r="K226" s="9" t="s">
        <v>144</v>
      </c>
      <c r="L226" s="9"/>
      <c r="M226" s="342">
        <f>ROUND('Custom SEG'!L33,0)*'Unit Costs'!I304</f>
        <v>0</v>
      </c>
      <c r="R226" s="9"/>
      <c r="S226" s="9"/>
      <c r="T226" s="9"/>
      <c r="U226" s="9"/>
    </row>
    <row r="227" spans="2:24" ht="15" customHeight="1" x14ac:dyDescent="0.3">
      <c r="B227" s="7" t="s">
        <v>551</v>
      </c>
      <c r="C227" s="9"/>
      <c r="D227" s="671">
        <f>(MAX(0,IF('Custom SEG'!$F$13="",($B$206*'Unit Costs'!C296)-'Custom SEG'!$H$13,($B$206*'Unit Costs'!C296)*(1-'Custom SEG'!$F$13))+'Custom SEG'!$D$13)*IF('Custom SEG'!$D$15="",1,'Custom SEG'!$D$15))+IF($G$209=2,'Unit Costs'!C306+IF('Custom SEG'!$D$15&gt;1,'Custom SEG'!$D$15-1,0),0)</f>
        <v>0</v>
      </c>
      <c r="E227" s="9"/>
      <c r="F227" s="9"/>
      <c r="G227" s="9"/>
      <c r="H227" s="9"/>
      <c r="I227" s="658"/>
      <c r="J227" s="9"/>
      <c r="K227" s="9" t="s">
        <v>145</v>
      </c>
      <c r="L227" s="9"/>
      <c r="M227" s="342">
        <f>ROUND('Custom SEG'!L34,0)*'Unit Costs'!I305</f>
        <v>0</v>
      </c>
      <c r="R227" s="9"/>
      <c r="S227" s="9"/>
      <c r="T227" s="9"/>
      <c r="U227" s="9"/>
    </row>
    <row r="228" spans="2:24" ht="15" customHeight="1" x14ac:dyDescent="0.3">
      <c r="B228" s="7" t="s">
        <v>552</v>
      </c>
      <c r="C228" s="9"/>
      <c r="D228" s="671">
        <f>(MAX(0,IF('Custom SEG'!$F$13="",($B$206*'Unit Costs'!C297)-'Custom SEG'!$H$13,($B$206*'Unit Costs'!C297)*(1-'Custom SEG'!$F$13))+'Custom SEG'!$D$13)*IF('Custom SEG'!$D$15="",1,'Custom SEG'!$D$15))+IF($G$209=2,'Unit Costs'!C307+IF('Custom SEG'!$D$15&gt;1,'Custom SEG'!$D$15-1,0),0)</f>
        <v>0</v>
      </c>
      <c r="E228" s="9"/>
      <c r="F228" s="9"/>
      <c r="G228" s="9"/>
      <c r="H228" s="9"/>
      <c r="I228" s="9"/>
      <c r="J228" s="9"/>
      <c r="K228" s="9"/>
      <c r="L228" s="9"/>
      <c r="M228" s="205"/>
      <c r="R228" s="9"/>
      <c r="S228" s="9"/>
      <c r="T228" s="9"/>
      <c r="U228" s="9"/>
    </row>
    <row r="229" spans="2:24" ht="15" customHeight="1" x14ac:dyDescent="0.3">
      <c r="B229" s="7" t="s">
        <v>703</v>
      </c>
      <c r="C229" s="9"/>
      <c r="D229" s="671">
        <f>(MAX(0,IF('Custom SEG'!$F$13="",($B$206*'Unit Costs'!C298)-'Custom SEG'!$H$13,($B$206*'Unit Costs'!C298)*(1-'Custom SEG'!$F$13))+'Custom SEG'!$D$13)*IF('Custom SEG'!$D$15="",1,'Custom SEG'!$D$15))+IF($G$209=2,'Unit Costs'!C308+IF('Custom SEG'!$D$15&gt;1,'Custom SEG'!$D$15-1,0),0)</f>
        <v>0</v>
      </c>
      <c r="E229" s="9"/>
      <c r="F229" s="9"/>
      <c r="G229" s="9"/>
      <c r="H229" s="9"/>
      <c r="I229" s="9"/>
      <c r="J229" s="9"/>
      <c r="K229" s="9" t="s">
        <v>188</v>
      </c>
      <c r="L229" s="9"/>
      <c r="M229" s="342">
        <f>IF($M$212=0,0,SUM($M$212:$M$227))*IF('Custom SEG'!$D$15="",1,'Custom SEG'!$D$15)</f>
        <v>0</v>
      </c>
      <c r="R229" s="9"/>
      <c r="S229" s="9"/>
      <c r="T229" s="9"/>
      <c r="U229" s="9"/>
    </row>
    <row r="230" spans="2:24" ht="15" customHeight="1" x14ac:dyDescent="0.3">
      <c r="B230" s="7" t="s">
        <v>169</v>
      </c>
      <c r="C230" s="9"/>
      <c r="D230" s="671">
        <f>(MAX(0,IF('Custom SEG'!$F$13="",($B$206*'Unit Costs'!C299)-'Custom SEG'!$H$13,($B$206*'Unit Costs'!C299)*(1-'Custom SEG'!$F$13))+'Custom SEG'!$D$13)*IF('Custom SEG'!$D$15="",1,'Custom SEG'!$D$15))+IF($G$209=2,'Unit Costs'!C309+IF('Custom SEG'!$D$15&gt;1,'Custom SEG'!$D$15-1,0),0)</f>
        <v>0</v>
      </c>
      <c r="E230" s="9"/>
      <c r="F230" s="9"/>
      <c r="G230" s="9"/>
      <c r="H230" s="9"/>
      <c r="I230" s="9"/>
      <c r="J230" s="9"/>
      <c r="K230" s="9" t="s">
        <v>9</v>
      </c>
      <c r="L230" s="9"/>
      <c r="M230" s="342">
        <f>IF($M$229=0,0,$M$229+D221)</f>
        <v>0</v>
      </c>
      <c r="R230" s="9"/>
      <c r="S230" s="9"/>
      <c r="T230" s="9"/>
      <c r="U230" s="9"/>
    </row>
    <row r="231" spans="2:24" ht="15" customHeight="1" x14ac:dyDescent="0.3">
      <c r="B231" s="7"/>
      <c r="C231" s="9"/>
      <c r="D231" s="9"/>
      <c r="E231" s="9"/>
      <c r="F231" s="9"/>
      <c r="G231" s="72" t="s">
        <v>454</v>
      </c>
      <c r="H231" s="708">
        <f>IF(OR('Custom SEG'!$H$36&lt;=0,'Custom SEG'!$H$37&lt;=0,'Custom SEG'!$H$36&lt;'Custom SEG'!$H$37),0,1-('Custom SEG'!$H$37/'Custom SEG'!$H$36))</f>
        <v>0</v>
      </c>
      <c r="I231" s="9"/>
      <c r="J231" s="9"/>
      <c r="K231" s="9" t="s">
        <v>187</v>
      </c>
      <c r="L231" s="9"/>
      <c r="M231" s="342">
        <f>IF($M$229=0,0,$M$229+D222)</f>
        <v>0</v>
      </c>
      <c r="R231" s="9"/>
      <c r="S231" s="9"/>
      <c r="T231" s="9"/>
      <c r="U231" s="9"/>
    </row>
    <row r="232" spans="2:24" ht="15" customHeight="1" x14ac:dyDescent="0.3">
      <c r="B232" s="7"/>
      <c r="C232" s="9"/>
      <c r="D232" s="9"/>
      <c r="E232" s="9"/>
      <c r="F232" s="9"/>
      <c r="J232" s="9"/>
      <c r="K232" s="9" t="s">
        <v>553</v>
      </c>
      <c r="L232" s="9"/>
      <c r="M232" s="342">
        <f>IF($M$229=0,0,$M$229+D223)</f>
        <v>0</v>
      </c>
      <c r="R232" s="9"/>
      <c r="S232" s="9"/>
      <c r="T232" s="9"/>
      <c r="U232" s="9"/>
    </row>
    <row r="233" spans="2:24" ht="15" customHeight="1" x14ac:dyDescent="0.3">
      <c r="B233" s="7"/>
      <c r="C233" s="9"/>
      <c r="D233" s="9"/>
      <c r="E233" s="9"/>
      <c r="F233" s="9"/>
      <c r="G233" s="9"/>
      <c r="H233" s="9"/>
      <c r="I233" s="9"/>
      <c r="J233" s="9"/>
      <c r="K233" s="9" t="s">
        <v>554</v>
      </c>
      <c r="L233" s="9"/>
      <c r="M233" s="342">
        <f>IF($M$229=0,0,$M$229+D224)</f>
        <v>0</v>
      </c>
      <c r="R233" s="9"/>
      <c r="S233" s="9"/>
      <c r="T233" s="9"/>
      <c r="U233" s="9"/>
    </row>
    <row r="234" spans="2:24" ht="15" customHeight="1" x14ac:dyDescent="0.3">
      <c r="B234" s="7"/>
      <c r="C234" s="9"/>
      <c r="D234" s="9"/>
      <c r="E234" s="9"/>
      <c r="F234" s="9"/>
      <c r="G234" s="9"/>
      <c r="H234" s="9"/>
      <c r="I234" s="9"/>
      <c r="J234" s="9"/>
      <c r="K234" s="9" t="s">
        <v>131</v>
      </c>
      <c r="L234" s="9"/>
      <c r="M234" s="342">
        <f>IF($M$229=0,0,$M$229+D226)</f>
        <v>0</v>
      </c>
      <c r="R234" s="9"/>
      <c r="S234" s="9"/>
      <c r="T234" s="9"/>
      <c r="U234" s="9"/>
    </row>
    <row r="235" spans="2:24" ht="15" customHeight="1" x14ac:dyDescent="0.3">
      <c r="B235" s="7" t="s">
        <v>454</v>
      </c>
      <c r="C235" s="708">
        <f>IF(OR('Custom SEG'!$C$40&lt;=0,'Custom SEG'!$C$41&lt;=0,'Custom SEG'!$C$40&lt;'Custom SEG'!$C$41),0,1-('Custom SEG'!$C$41/'Custom SEG'!$C$40))</f>
        <v>0</v>
      </c>
      <c r="E235" s="9"/>
      <c r="F235" s="9"/>
      <c r="G235" s="9"/>
      <c r="H235" s="9"/>
      <c r="I235" s="9"/>
      <c r="J235" s="9"/>
      <c r="K235" s="9" t="s">
        <v>551</v>
      </c>
      <c r="L235" s="9"/>
      <c r="M235" s="342">
        <f>IF($M$229=0,0,$M$229+D227)</f>
        <v>0</v>
      </c>
      <c r="R235" s="9"/>
      <c r="S235" s="9"/>
      <c r="T235" s="9"/>
      <c r="U235" s="9"/>
    </row>
    <row r="236" spans="2:24" ht="15" customHeight="1" x14ac:dyDescent="0.3">
      <c r="B236" s="7"/>
      <c r="C236" s="9"/>
      <c r="D236" s="9"/>
      <c r="E236" s="9"/>
      <c r="F236" s="9"/>
      <c r="G236" s="9"/>
      <c r="H236" s="9"/>
      <c r="I236" s="9"/>
      <c r="J236" s="9"/>
      <c r="K236" s="9" t="s">
        <v>552</v>
      </c>
      <c r="L236" s="9"/>
      <c r="M236" s="342">
        <f>IF($M$229=0,0,$M$229+D228)</f>
        <v>0</v>
      </c>
      <c r="R236" s="9"/>
      <c r="S236" s="9"/>
      <c r="T236" s="9"/>
      <c r="U236" s="9"/>
    </row>
    <row r="237" spans="2:24" ht="15" customHeight="1" x14ac:dyDescent="0.3">
      <c r="B237" s="7"/>
      <c r="C237" s="9"/>
      <c r="D237" s="9"/>
      <c r="E237" s="9"/>
      <c r="F237" s="9"/>
      <c r="G237" s="9"/>
      <c r="H237" s="9"/>
      <c r="I237" s="9"/>
      <c r="J237" s="9"/>
      <c r="K237" s="9" t="s">
        <v>189</v>
      </c>
      <c r="L237" s="9"/>
      <c r="M237" s="342">
        <f>IF(OR($D$230=0,M229=0),0,(MAX(0,IF('Custom SEG'!$F$13="",($B$206*'Unit Costs'!I306)-'Custom SEG'!$H$13,($B$206*'Unit Costs'!I306)*(1-'Custom SEG'!$F$13))+'Custom SEG'!$D$13)*IF('Custom SEG'!$D$15="",1,'Custom SEG'!$D$15))+IF($G$209=2,'Unit Costs'!C309+IF('Custom SEG'!$D$15&gt;1,'Custom SEG'!$D$15-1,0),0))</f>
        <v>0</v>
      </c>
      <c r="R237" s="9"/>
      <c r="S237" s="9"/>
      <c r="T237" s="9"/>
      <c r="U237" s="9"/>
      <c r="V237" s="671"/>
      <c r="W237" s="9"/>
      <c r="X237" s="9"/>
    </row>
    <row r="238" spans="2:24" ht="15" customHeight="1" x14ac:dyDescent="0.3"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42"/>
      <c r="R238" s="9"/>
      <c r="S238" s="9"/>
      <c r="T238" s="9"/>
      <c r="U238" s="9"/>
      <c r="V238" s="9"/>
      <c r="W238" s="9"/>
      <c r="X238" s="9"/>
    </row>
    <row r="239" spans="2:24" ht="15" customHeight="1" x14ac:dyDescent="0.3">
      <c r="B239" s="7"/>
      <c r="C239" s="9"/>
      <c r="D239" s="9"/>
      <c r="E239" s="9"/>
      <c r="F239" s="9"/>
      <c r="G239" s="9"/>
      <c r="H239" s="9"/>
      <c r="I239" s="9"/>
      <c r="J239" s="9"/>
      <c r="K239" s="72"/>
      <c r="L239" s="9"/>
      <c r="M239" s="342"/>
      <c r="R239" s="9"/>
      <c r="S239" s="9"/>
      <c r="T239" s="9"/>
      <c r="U239" s="9"/>
      <c r="V239" s="9"/>
      <c r="W239" s="9"/>
      <c r="X239" s="9"/>
    </row>
    <row r="240" spans="2:24" ht="15" customHeight="1" x14ac:dyDescent="0.3">
      <c r="B240" s="7"/>
      <c r="C240" s="9"/>
      <c r="D240" s="9"/>
      <c r="E240" s="9"/>
      <c r="F240" s="9"/>
      <c r="G240" s="9"/>
      <c r="H240" s="9"/>
      <c r="I240" s="9"/>
      <c r="J240" s="9"/>
      <c r="K240" s="72"/>
      <c r="L240" s="9"/>
      <c r="M240" s="342"/>
      <c r="R240" s="9"/>
      <c r="S240" s="9"/>
      <c r="T240" s="9"/>
      <c r="U240" s="9"/>
      <c r="V240" s="9"/>
      <c r="W240" s="9" t="s">
        <v>158</v>
      </c>
      <c r="X240" s="9"/>
    </row>
    <row r="241" spans="2:24" ht="15" customHeight="1" x14ac:dyDescent="0.3">
      <c r="B241" s="7"/>
      <c r="C241" s="9"/>
      <c r="D241" s="9"/>
      <c r="E241" s="9"/>
      <c r="F241" s="9"/>
      <c r="G241" s="9"/>
      <c r="H241" s="9"/>
      <c r="I241" s="9"/>
      <c r="J241" s="9"/>
      <c r="K241" s="72"/>
      <c r="L241" s="9"/>
      <c r="M241" s="342"/>
      <c r="R241" s="9"/>
      <c r="S241" s="9"/>
      <c r="T241" s="9"/>
      <c r="U241" s="9"/>
      <c r="V241" s="9"/>
      <c r="W241" s="9" t="s">
        <v>158</v>
      </c>
      <c r="X241" s="9"/>
    </row>
    <row r="242" spans="2:24" ht="15" customHeight="1" x14ac:dyDescent="0.3">
      <c r="B242" s="17"/>
      <c r="C242" s="681"/>
      <c r="D242" s="681"/>
      <c r="E242" s="681"/>
      <c r="F242" s="681"/>
      <c r="G242" s="681"/>
      <c r="H242" s="681"/>
      <c r="I242" s="681"/>
      <c r="J242" s="681"/>
      <c r="K242" s="470" t="s">
        <v>454</v>
      </c>
      <c r="L242" s="709">
        <f>IF(OR('Custom SEG'!$L$47&lt;=0,'Custom SEG'!$L$48&lt;=0,'Custom SEG'!$L$47&lt;'Custom SEG'!$L$48),0,1-('Custom SEG'!$L$48/'Custom SEG'!$L$47))</f>
        <v>0</v>
      </c>
      <c r="M242" s="209"/>
      <c r="R242" s="9"/>
      <c r="S242" s="9"/>
      <c r="T242" s="9"/>
      <c r="U242" s="9"/>
      <c r="V242" s="9"/>
      <c r="W242" s="9"/>
      <c r="X242" s="9"/>
    </row>
    <row r="243" spans="2:24" ht="15" customHeight="1" x14ac:dyDescent="0.3">
      <c r="M243" s="9"/>
      <c r="Q243" s="9"/>
      <c r="R243" s="9"/>
      <c r="S243" s="9"/>
      <c r="T243" s="9"/>
      <c r="U243" s="9"/>
      <c r="V243" s="9"/>
      <c r="W243" s="9" t="s">
        <v>158</v>
      </c>
      <c r="X243" s="9"/>
    </row>
    <row r="244" spans="2:24" ht="15" customHeight="1" x14ac:dyDescent="0.3">
      <c r="M244" s="9"/>
      <c r="Q244" s="9"/>
      <c r="R244" s="9"/>
      <c r="S244" s="9"/>
      <c r="T244" s="9"/>
      <c r="U244" s="9"/>
      <c r="V244" s="9"/>
      <c r="W244" s="9"/>
      <c r="X244" s="9"/>
    </row>
    <row r="245" spans="2:24" ht="15" customHeight="1" x14ac:dyDescent="0.3">
      <c r="M245" s="9"/>
      <c r="Q245" s="9"/>
      <c r="R245" s="9"/>
      <c r="S245" s="9"/>
      <c r="T245" s="9"/>
      <c r="U245" s="9"/>
      <c r="V245" s="9"/>
      <c r="W245" s="9"/>
      <c r="X245" s="9"/>
    </row>
    <row r="246" spans="2:24" ht="15" customHeight="1" x14ac:dyDescent="0.3">
      <c r="M246" s="9"/>
      <c r="Q246" s="9"/>
      <c r="R246" s="9"/>
      <c r="S246" s="9"/>
      <c r="T246" s="9"/>
      <c r="U246" s="9"/>
      <c r="V246" s="9"/>
      <c r="W246" s="9"/>
      <c r="X246" s="9"/>
    </row>
    <row r="247" spans="2:24" ht="15" customHeight="1" x14ac:dyDescent="0.3">
      <c r="B247" s="18" t="s">
        <v>794</v>
      </c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691"/>
      <c r="O247" s="28"/>
      <c r="P247" s="28"/>
      <c r="Q247" s="28"/>
      <c r="R247" s="28"/>
      <c r="S247" s="28"/>
      <c r="T247" s="28"/>
      <c r="U247" s="28"/>
      <c r="V247" s="28"/>
    </row>
    <row r="248" spans="2:24" ht="15" customHeight="1" x14ac:dyDescent="0.3">
      <c r="B248" s="7" t="s">
        <v>175</v>
      </c>
      <c r="C248" s="9"/>
      <c r="D248" s="9" t="s">
        <v>795</v>
      </c>
      <c r="E248" s="9"/>
      <c r="F248" s="9" t="s">
        <v>803</v>
      </c>
      <c r="G248" s="9"/>
      <c r="H248" s="9" t="s">
        <v>176</v>
      </c>
      <c r="I248" s="9"/>
      <c r="J248" s="9" t="s">
        <v>449</v>
      </c>
      <c r="K248" s="9"/>
      <c r="L248" s="9"/>
      <c r="M248" s="9"/>
      <c r="N248" s="205"/>
      <c r="O248" s="28"/>
      <c r="P248" s="28"/>
      <c r="Q248" s="28"/>
      <c r="R248" s="28"/>
      <c r="S248" s="28"/>
      <c r="T248" s="28"/>
      <c r="U248" s="28"/>
      <c r="V248" s="28"/>
    </row>
    <row r="249" spans="2:24" ht="15" customHeight="1" x14ac:dyDescent="0.3">
      <c r="B249" s="7" t="s">
        <v>177</v>
      </c>
      <c r="C249" s="22">
        <f>ROUND('Custom Stretch Kit'!C9,0)*'Unit Costs'!C315</f>
        <v>0</v>
      </c>
      <c r="D249" s="9" t="s">
        <v>669</v>
      </c>
      <c r="E249" s="22">
        <f>ROUND('Custom Stretch Kit'!E9,0)*'Unit Costs'!E315</f>
        <v>0</v>
      </c>
      <c r="F249" s="9" t="s">
        <v>443</v>
      </c>
      <c r="G249" s="22">
        <f>ROUND('Custom Stretch Kit'!G9,0)*'Unit Costs'!G315</f>
        <v>0</v>
      </c>
      <c r="H249" s="9" t="s">
        <v>440</v>
      </c>
      <c r="I249" s="22">
        <f>ROUND('Custom Stretch Kit'!I9,0)*'Unit Costs'!I315</f>
        <v>0</v>
      </c>
      <c r="J249" s="9" t="s">
        <v>90</v>
      </c>
      <c r="K249" s="22">
        <f>ROUND('Custom Stretch Kit'!K9,0)*'Unit Costs'!K315</f>
        <v>0</v>
      </c>
      <c r="L249" s="9"/>
      <c r="M249" s="9"/>
      <c r="N249" s="205"/>
      <c r="O249" s="28"/>
      <c r="P249" s="28"/>
      <c r="Q249" s="28"/>
      <c r="R249" s="28"/>
      <c r="S249" s="28"/>
      <c r="T249" s="28"/>
      <c r="U249" s="28"/>
      <c r="V249" s="28"/>
    </row>
    <row r="250" spans="2:24" ht="15" customHeight="1" x14ac:dyDescent="0.3">
      <c r="B250" s="7" t="s">
        <v>178</v>
      </c>
      <c r="C250" s="22">
        <f>ROUND('Custom Stretch Kit'!C10,0)*'Unit Costs'!C316</f>
        <v>0</v>
      </c>
      <c r="D250" s="9" t="s">
        <v>670</v>
      </c>
      <c r="E250" s="22">
        <f>ROUND('Custom Stretch Kit'!E10,0)*'Unit Costs'!E316</f>
        <v>0</v>
      </c>
      <c r="F250" s="9" t="s">
        <v>444</v>
      </c>
      <c r="G250" s="22">
        <f>ROUND('Custom Stretch Kit'!G10,0)*'Unit Costs'!G316</f>
        <v>0</v>
      </c>
      <c r="H250" s="9" t="s">
        <v>441</v>
      </c>
      <c r="I250" s="22">
        <f>ROUND('Custom Stretch Kit'!I10,0)*'Unit Costs'!I316</f>
        <v>0</v>
      </c>
      <c r="J250" s="9" t="s">
        <v>92</v>
      </c>
      <c r="K250" s="22">
        <f>ROUND('Custom Stretch Kit'!K10,0)*'Unit Costs'!K316</f>
        <v>0</v>
      </c>
      <c r="L250" s="9"/>
      <c r="M250" s="9"/>
      <c r="N250" s="205"/>
      <c r="O250" s="28"/>
      <c r="P250" s="28"/>
      <c r="Q250" s="28"/>
      <c r="R250" s="28"/>
      <c r="S250" s="28"/>
      <c r="T250" s="28"/>
      <c r="U250" s="28"/>
      <c r="V250" s="28"/>
    </row>
    <row r="251" spans="2:24" ht="15" customHeight="1" x14ac:dyDescent="0.3">
      <c r="B251" s="7" t="s">
        <v>179</v>
      </c>
      <c r="C251" s="22">
        <f>ROUND('Custom Stretch Kit'!C11,0)*'Unit Costs'!C317</f>
        <v>0</v>
      </c>
      <c r="D251" s="9" t="s">
        <v>671</v>
      </c>
      <c r="E251" s="22">
        <f>ROUND('Custom Stretch Kit'!E11,0)*'Unit Costs'!E317</f>
        <v>0</v>
      </c>
      <c r="F251" s="9" t="s">
        <v>445</v>
      </c>
      <c r="G251" s="22">
        <f>ROUND('Custom Stretch Kit'!G11,0)*'Unit Costs'!G317</f>
        <v>0</v>
      </c>
      <c r="H251" s="9" t="s">
        <v>90</v>
      </c>
      <c r="I251" s="22">
        <f>ROUND('Custom Stretch Kit'!I11,0)*'Unit Costs'!I317</f>
        <v>0</v>
      </c>
      <c r="J251" s="9" t="s">
        <v>94</v>
      </c>
      <c r="K251" s="22">
        <f>ROUND('Custom Stretch Kit'!K11,0)*'Unit Costs'!K317</f>
        <v>0</v>
      </c>
      <c r="L251" s="9" t="s">
        <v>796</v>
      </c>
      <c r="M251" s="9"/>
      <c r="N251" s="205"/>
      <c r="O251" s="28"/>
      <c r="P251" s="28"/>
      <c r="Q251" s="28"/>
      <c r="R251" s="28"/>
      <c r="S251" s="28"/>
      <c r="T251" s="28"/>
      <c r="U251" s="28"/>
      <c r="V251" s="28"/>
    </row>
    <row r="252" spans="2:24" ht="15" customHeight="1" x14ac:dyDescent="0.3">
      <c r="B252" s="7" t="s">
        <v>448</v>
      </c>
      <c r="C252" s="22">
        <f>ROUND('Custom Stretch Kit'!C12,0)*'Unit Costs'!C318</f>
        <v>0</v>
      </c>
      <c r="D252" s="9" t="s">
        <v>672</v>
      </c>
      <c r="E252" s="22">
        <f>ROUND('Custom Stretch Kit'!E12,0)*'Unit Costs'!E318</f>
        <v>0</v>
      </c>
      <c r="F252" s="9" t="s">
        <v>446</v>
      </c>
      <c r="G252" s="22">
        <f>ROUND('Custom Stretch Kit'!G12,0)*'Unit Costs'!G318</f>
        <v>0</v>
      </c>
      <c r="H252" s="9" t="s">
        <v>99</v>
      </c>
      <c r="I252" s="22">
        <f>ROUND('Custom Stretch Kit'!I12,0)*'Unit Costs'!I318</f>
        <v>0</v>
      </c>
      <c r="J252" s="9" t="s">
        <v>96</v>
      </c>
      <c r="K252" s="22">
        <f>ROUND('Custom Stretch Kit'!K12,0)*'Unit Costs'!K318</f>
        <v>0</v>
      </c>
      <c r="L252" s="22">
        <f>MAX(0,IF('Custom Stretch Kit'!$N$9="",(SUM(C249:C274,E249:E256,G249:G253,I249:I264,K249:K260))-MAX(0,'Custom Stretch Kit'!$N$10),(SUM(C249:C274,E249:E256,I249:I264,K249:K260))*MIN((1-'Custom Stretch Kit'!$N$9),1)))</f>
        <v>0</v>
      </c>
      <c r="M252" s="9"/>
      <c r="N252" s="205"/>
      <c r="O252" s="28"/>
      <c r="P252" s="28"/>
      <c r="Q252" s="28"/>
      <c r="R252" s="28"/>
      <c r="S252" s="28"/>
      <c r="T252" s="28"/>
      <c r="U252" s="28"/>
      <c r="V252" s="28"/>
    </row>
    <row r="253" spans="2:24" ht="15" customHeight="1" x14ac:dyDescent="0.3">
      <c r="B253" s="7" t="s">
        <v>180</v>
      </c>
      <c r="C253" s="22">
        <f>ROUND('Custom Stretch Kit'!C13,0)*'Unit Costs'!C319</f>
        <v>0</v>
      </c>
      <c r="D253" s="9" t="s">
        <v>673</v>
      </c>
      <c r="E253" s="22">
        <f>ROUND('Custom Stretch Kit'!E13,0)*'Unit Costs'!E319</f>
        <v>0</v>
      </c>
      <c r="F253" s="9" t="s">
        <v>447</v>
      </c>
      <c r="G253" s="22">
        <f>ROUND('Custom Stretch Kit'!G13,0)*'Unit Costs'!G319</f>
        <v>0</v>
      </c>
      <c r="H253" s="9" t="s">
        <v>91</v>
      </c>
      <c r="I253" s="22">
        <f>ROUND('Custom Stretch Kit'!I13,0)*'Unit Costs'!I319</f>
        <v>0</v>
      </c>
      <c r="J253" s="9" t="s">
        <v>98</v>
      </c>
      <c r="K253" s="22">
        <f>ROUND('Custom Stretch Kit'!K13,0)*'Unit Costs'!K319</f>
        <v>0</v>
      </c>
      <c r="L253" s="9"/>
      <c r="M253" s="9"/>
      <c r="N253" s="205"/>
      <c r="O253" s="28"/>
      <c r="P253" s="28"/>
      <c r="Q253" s="28"/>
      <c r="R253" s="28"/>
      <c r="S253" s="28"/>
      <c r="T253" s="28"/>
      <c r="U253" s="28"/>
      <c r="V253" s="28"/>
    </row>
    <row r="254" spans="2:24" ht="15" customHeight="1" x14ac:dyDescent="0.3">
      <c r="B254" s="7" t="s">
        <v>99</v>
      </c>
      <c r="C254" s="22">
        <f>ROUND('Custom Stretch Kit'!C14,0)*'Unit Costs'!C320</f>
        <v>0</v>
      </c>
      <c r="D254" s="9" t="s">
        <v>674</v>
      </c>
      <c r="E254" s="22">
        <f>ROUND('Custom Stretch Kit'!E14,0)*'Unit Costs'!E320</f>
        <v>0</v>
      </c>
      <c r="F254" s="9"/>
      <c r="G254" s="9"/>
      <c r="H254" s="9" t="s">
        <v>94</v>
      </c>
      <c r="I254" s="22">
        <f>ROUND('Custom Stretch Kit'!I14,0)*'Unit Costs'!I320</f>
        <v>0</v>
      </c>
      <c r="J254" s="9" t="s">
        <v>101</v>
      </c>
      <c r="K254" s="22">
        <f>ROUND('Custom Stretch Kit'!K14,0)*'Unit Costs'!K320</f>
        <v>0</v>
      </c>
      <c r="L254" s="9" t="s">
        <v>797</v>
      </c>
      <c r="M254" s="9"/>
      <c r="N254" s="205"/>
      <c r="O254" s="28"/>
      <c r="P254" s="28"/>
      <c r="Q254" s="28"/>
      <c r="R254" s="28"/>
      <c r="S254" s="28"/>
      <c r="T254" s="28"/>
      <c r="U254" s="28"/>
      <c r="V254" s="28"/>
    </row>
    <row r="255" spans="2:24" ht="15" customHeight="1" x14ac:dyDescent="0.3">
      <c r="B255" s="7" t="s">
        <v>91</v>
      </c>
      <c r="C255" s="22">
        <f>ROUND('Custom Stretch Kit'!C15,0)*'Unit Costs'!C321</f>
        <v>0</v>
      </c>
      <c r="D255" s="9" t="s">
        <v>675</v>
      </c>
      <c r="E255" s="22">
        <f>ROUND('Custom Stretch Kit'!E15,0)*'Unit Costs'!E321</f>
        <v>0</v>
      </c>
      <c r="F255" s="9"/>
      <c r="G255" s="9"/>
      <c r="H255" s="9" t="s">
        <v>96</v>
      </c>
      <c r="I255" s="22">
        <f>ROUND('Custom Stretch Kit'!I15,0)*'Unit Costs'!I321</f>
        <v>0</v>
      </c>
      <c r="J255" s="9" t="s">
        <v>102</v>
      </c>
      <c r="K255" s="22">
        <f>ROUND('Custom Stretch Kit'!K15,0)*'Unit Costs'!K321</f>
        <v>0</v>
      </c>
      <c r="L255" s="22">
        <f>MAX(0,ROUNDUP(IF('Custom Stretch Kit'!$N$9="",((SUM(C249:C274,E249:E256,G249:G253,I249:I264)*0.9)+SUM(K249:K260))-MAX(0,'Custom Stretch Kit'!$N$10),((SUM(C249:C274,E249:E256,I249:I264)*0.9)+SUM(K249:K260))*MIN((1-'Custom Stretch Kit'!$N$9),1)),0))</f>
        <v>0</v>
      </c>
      <c r="M255" s="9"/>
      <c r="N255" s="205"/>
      <c r="O255" s="28"/>
      <c r="P255" s="28"/>
      <c r="Q255" s="28"/>
      <c r="R255" s="28"/>
      <c r="S255" s="28"/>
      <c r="T255" s="28"/>
      <c r="U255" s="28"/>
      <c r="V255" s="28"/>
    </row>
    <row r="256" spans="2:24" ht="15" customHeight="1" x14ac:dyDescent="0.3">
      <c r="B256" s="7" t="s">
        <v>93</v>
      </c>
      <c r="C256" s="22">
        <f>ROUND('Custom Stretch Kit'!C16,0)*'Unit Costs'!C322</f>
        <v>0</v>
      </c>
      <c r="D256" s="9" t="s">
        <v>676</v>
      </c>
      <c r="E256" s="22">
        <f>ROUND('Custom Stretch Kit'!E16,0)*'Unit Costs'!E322</f>
        <v>0</v>
      </c>
      <c r="F256" s="9"/>
      <c r="G256" s="9"/>
      <c r="H256" s="9" t="s">
        <v>442</v>
      </c>
      <c r="I256" s="22">
        <f>ROUND('Custom Stretch Kit'!I16,0)*'Unit Costs'!I322</f>
        <v>0</v>
      </c>
      <c r="J256" s="9" t="s">
        <v>103</v>
      </c>
      <c r="K256" s="22">
        <f>ROUND('Custom Stretch Kit'!K16,0)*'Unit Costs'!K322</f>
        <v>0</v>
      </c>
      <c r="L256" s="9"/>
      <c r="M256" s="9"/>
      <c r="N256" s="205"/>
      <c r="O256" s="28"/>
      <c r="P256" s="28"/>
      <c r="Q256" s="28"/>
      <c r="R256" s="28"/>
      <c r="S256" s="28"/>
      <c r="T256" s="28"/>
      <c r="U256" s="28"/>
      <c r="V256" s="28"/>
    </row>
    <row r="257" spans="2:22" ht="15" customHeight="1" x14ac:dyDescent="0.3">
      <c r="B257" s="7" t="s">
        <v>181</v>
      </c>
      <c r="C257" s="22">
        <f>ROUND('Custom Stretch Kit'!C17,0)*'Unit Costs'!C323</f>
        <v>0</v>
      </c>
      <c r="D257" s="9"/>
      <c r="E257" s="9"/>
      <c r="F257" s="9"/>
      <c r="G257" s="9"/>
      <c r="H257" s="9" t="s">
        <v>98</v>
      </c>
      <c r="I257" s="22">
        <f>ROUND('Custom Stretch Kit'!I17,0)*'Unit Costs'!I323</f>
        <v>0</v>
      </c>
      <c r="J257" s="9" t="s">
        <v>431</v>
      </c>
      <c r="K257" s="22">
        <f>ROUND('Custom Stretch Kit'!K17,0)*'Unit Costs'!K323</f>
        <v>0</v>
      </c>
      <c r="L257" s="9"/>
      <c r="M257" s="9"/>
      <c r="N257" s="205"/>
      <c r="O257" s="28"/>
      <c r="P257" s="28"/>
      <c r="Q257" s="28"/>
      <c r="R257" s="28"/>
      <c r="S257" s="28"/>
      <c r="T257" s="28"/>
      <c r="U257" s="28"/>
      <c r="V257" s="28"/>
    </row>
    <row r="258" spans="2:22" ht="15" customHeight="1" x14ac:dyDescent="0.3">
      <c r="B258" s="7" t="s">
        <v>182</v>
      </c>
      <c r="C258" s="22">
        <f>ROUND('Custom Stretch Kit'!C18,0)*'Unit Costs'!C324</f>
        <v>0</v>
      </c>
      <c r="D258" s="9"/>
      <c r="E258" s="9"/>
      <c r="F258" s="9"/>
      <c r="G258" s="9"/>
      <c r="H258" s="9" t="s">
        <v>101</v>
      </c>
      <c r="I258" s="22">
        <f>ROUND('Custom Stretch Kit'!I18,0)*'Unit Costs'!I324</f>
        <v>0</v>
      </c>
      <c r="J258" s="9" t="s">
        <v>104</v>
      </c>
      <c r="K258" s="22">
        <f>ROUND('Custom Stretch Kit'!K18,0)*'Unit Costs'!K324</f>
        <v>0</v>
      </c>
      <c r="L258" s="9"/>
      <c r="M258" s="9"/>
      <c r="N258" s="205"/>
      <c r="O258" s="28"/>
      <c r="P258" s="28"/>
      <c r="Q258" s="28"/>
      <c r="R258" s="28"/>
      <c r="S258" s="28"/>
      <c r="T258" s="28"/>
      <c r="U258" s="28"/>
      <c r="V258" s="28"/>
    </row>
    <row r="259" spans="2:22" ht="15" customHeight="1" x14ac:dyDescent="0.3">
      <c r="B259" s="7" t="s">
        <v>95</v>
      </c>
      <c r="C259" s="22">
        <f>ROUND('Custom Stretch Kit'!C19,0)*'Unit Costs'!C325</f>
        <v>0</v>
      </c>
      <c r="D259" s="9"/>
      <c r="E259" s="9"/>
      <c r="F259" s="9"/>
      <c r="G259" s="9"/>
      <c r="H259" s="9" t="s">
        <v>102</v>
      </c>
      <c r="I259" s="22">
        <f>ROUND('Custom Stretch Kit'!I19,0)*'Unit Costs'!I325</f>
        <v>0</v>
      </c>
      <c r="J259" s="9" t="s">
        <v>105</v>
      </c>
      <c r="K259" s="22">
        <f>ROUND('Custom Stretch Kit'!K19,0)*'Unit Costs'!K325</f>
        <v>0</v>
      </c>
      <c r="L259" s="9"/>
      <c r="M259" s="9"/>
      <c r="N259" s="205"/>
      <c r="O259" s="28"/>
      <c r="P259" s="28"/>
      <c r="Q259" s="28"/>
      <c r="R259" s="28"/>
      <c r="S259" s="28"/>
      <c r="T259" s="28"/>
      <c r="U259" s="28"/>
      <c r="V259" s="28"/>
    </row>
    <row r="260" spans="2:22" ht="15" customHeight="1" x14ac:dyDescent="0.3">
      <c r="B260" s="7" t="s">
        <v>183</v>
      </c>
      <c r="C260" s="22">
        <f>ROUND('Custom Stretch Kit'!C20,0)*'Unit Costs'!C326</f>
        <v>0</v>
      </c>
      <c r="D260" s="9"/>
      <c r="E260" s="9"/>
      <c r="F260" s="9"/>
      <c r="G260" s="9"/>
      <c r="H260" s="9" t="s">
        <v>103</v>
      </c>
      <c r="I260" s="22">
        <f>ROUND('Custom Stretch Kit'!I20,0)*'Unit Costs'!I326</f>
        <v>0</v>
      </c>
      <c r="J260" s="9" t="s">
        <v>107</v>
      </c>
      <c r="K260" s="22">
        <f>ROUND('Custom Stretch Kit'!K20,0)*'Unit Costs'!K326</f>
        <v>0</v>
      </c>
      <c r="L260" s="9" t="s">
        <v>460</v>
      </c>
      <c r="M260" s="9"/>
      <c r="N260" s="707">
        <f>IF(OR('Custom Stretch Kit'!$N$18&lt;=0,'Custom Stretch Kit'!$N$19&lt;=0,'Custom Stretch Kit'!$N$18&lt;'Custom Stretch Kit'!$N$19),0,1-('Custom Stretch Kit'!$N$19/'Custom Stretch Kit'!$N$18))</f>
        <v>0</v>
      </c>
      <c r="O260" s="28"/>
      <c r="P260" s="28"/>
      <c r="Q260" s="28"/>
      <c r="R260" s="28"/>
      <c r="S260" s="28"/>
      <c r="T260" s="28"/>
      <c r="U260" s="28"/>
      <c r="V260" s="28"/>
    </row>
    <row r="261" spans="2:22" ht="15" customHeight="1" x14ac:dyDescent="0.3">
      <c r="B261" s="7" t="s">
        <v>184</v>
      </c>
      <c r="C261" s="22">
        <f>ROUND('Custom Stretch Kit'!C21,0)*'Unit Costs'!C327</f>
        <v>0</v>
      </c>
      <c r="D261" s="9"/>
      <c r="E261" s="9"/>
      <c r="F261" s="9"/>
      <c r="G261" s="9"/>
      <c r="H261" s="9" t="s">
        <v>431</v>
      </c>
      <c r="I261" s="22">
        <f>ROUND('Custom Stretch Kit'!I21,0)*'Unit Costs'!I327</f>
        <v>0</v>
      </c>
      <c r="J261" s="9"/>
      <c r="K261" s="9"/>
      <c r="L261" s="9"/>
      <c r="M261" s="9"/>
      <c r="N261" s="205"/>
      <c r="O261" s="28"/>
      <c r="P261" s="28"/>
      <c r="Q261" s="28"/>
      <c r="R261" s="28"/>
      <c r="S261" s="28"/>
      <c r="T261" s="28"/>
      <c r="U261" s="28"/>
      <c r="V261" s="28"/>
    </row>
    <row r="262" spans="2:22" ht="15" customHeight="1" x14ac:dyDescent="0.3">
      <c r="B262" s="7" t="s">
        <v>97</v>
      </c>
      <c r="C262" s="22">
        <f>ROUND('Custom Stretch Kit'!C22,0)*'Unit Costs'!C328</f>
        <v>0</v>
      </c>
      <c r="D262" s="9"/>
      <c r="E262" s="9"/>
      <c r="F262" s="9"/>
      <c r="G262" s="9"/>
      <c r="H262" s="9" t="s">
        <v>104</v>
      </c>
      <c r="I262" s="22">
        <f>ROUND('Custom Stretch Kit'!I22,0)*'Unit Costs'!I328</f>
        <v>0</v>
      </c>
      <c r="J262" s="9"/>
      <c r="K262" s="9"/>
      <c r="L262" s="9"/>
      <c r="M262" s="9"/>
      <c r="N262" s="205"/>
      <c r="O262" s="28"/>
      <c r="P262" s="28"/>
      <c r="Q262" s="28"/>
      <c r="R262" s="28"/>
      <c r="S262" s="28"/>
      <c r="T262" s="28"/>
      <c r="U262" s="28"/>
      <c r="V262" s="28"/>
    </row>
    <row r="263" spans="2:22" ht="15" customHeight="1" x14ac:dyDescent="0.3">
      <c r="B263" s="7" t="s">
        <v>100</v>
      </c>
      <c r="C263" s="22">
        <f>ROUND('Custom Stretch Kit'!C23,0)*'Unit Costs'!C329</f>
        <v>0</v>
      </c>
      <c r="D263" s="9"/>
      <c r="E263" s="9"/>
      <c r="F263" s="9"/>
      <c r="G263" s="9"/>
      <c r="H263" s="9" t="s">
        <v>105</v>
      </c>
      <c r="I263" s="22">
        <f>ROUND('Custom Stretch Kit'!I23,0)*'Unit Costs'!I329</f>
        <v>0</v>
      </c>
      <c r="J263" s="9"/>
      <c r="K263" s="9"/>
      <c r="L263" s="9"/>
      <c r="M263" s="9"/>
      <c r="N263" s="205"/>
      <c r="O263" s="28"/>
      <c r="P263" s="28"/>
      <c r="Q263" s="28"/>
      <c r="R263" s="28"/>
      <c r="S263" s="28"/>
      <c r="T263" s="28"/>
      <c r="U263" s="28"/>
      <c r="V263" s="28"/>
    </row>
    <row r="264" spans="2:22" ht="15" customHeight="1" x14ac:dyDescent="0.3">
      <c r="B264" s="7" t="s">
        <v>102</v>
      </c>
      <c r="C264" s="22">
        <f>ROUND('Custom Stretch Kit'!C24,0)*'Unit Costs'!C330</f>
        <v>0</v>
      </c>
      <c r="D264" s="9"/>
      <c r="E264" s="9"/>
      <c r="F264" s="9"/>
      <c r="G264" s="9"/>
      <c r="H264" s="9" t="s">
        <v>107</v>
      </c>
      <c r="I264" s="22">
        <f>ROUND('Custom Stretch Kit'!I24,0)*'Unit Costs'!I330</f>
        <v>0</v>
      </c>
      <c r="J264" s="9"/>
      <c r="K264" s="9"/>
      <c r="L264" s="9"/>
      <c r="M264" s="9"/>
      <c r="N264" s="205"/>
      <c r="O264" s="28"/>
      <c r="P264" s="28"/>
      <c r="Q264" s="28"/>
      <c r="R264" s="28"/>
      <c r="S264" s="28"/>
      <c r="T264" s="28"/>
      <c r="U264" s="28"/>
      <c r="V264" s="28"/>
    </row>
    <row r="265" spans="2:22" ht="15" customHeight="1" x14ac:dyDescent="0.3">
      <c r="B265" s="7" t="s">
        <v>103</v>
      </c>
      <c r="C265" s="22">
        <f>ROUND('Custom Stretch Kit'!C25,0)*'Unit Costs'!C331</f>
        <v>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205"/>
      <c r="O265" s="28"/>
      <c r="P265" s="28"/>
      <c r="Q265" s="28"/>
      <c r="R265" s="28"/>
      <c r="S265" s="28"/>
      <c r="T265" s="28"/>
      <c r="U265" s="28"/>
      <c r="V265" s="28"/>
    </row>
    <row r="266" spans="2:22" ht="15" customHeight="1" x14ac:dyDescent="0.3">
      <c r="B266" s="7" t="s">
        <v>431</v>
      </c>
      <c r="C266" s="22">
        <f>ROUND('Custom Stretch Kit'!C26,0)*'Unit Costs'!C332</f>
        <v>0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205"/>
      <c r="O266" s="28"/>
      <c r="P266" s="28"/>
      <c r="Q266" s="28"/>
      <c r="R266" s="28"/>
      <c r="S266" s="28"/>
      <c r="T266" s="28"/>
      <c r="U266" s="28"/>
      <c r="V266" s="28"/>
    </row>
    <row r="267" spans="2:22" ht="15" customHeight="1" x14ac:dyDescent="0.3">
      <c r="B267" s="7" t="s">
        <v>104</v>
      </c>
      <c r="C267" s="22">
        <f>ROUND('Custom Stretch Kit'!C27,0)*'Unit Costs'!C333</f>
        <v>0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205"/>
      <c r="O267" s="28"/>
      <c r="P267" s="28"/>
      <c r="Q267" s="28"/>
      <c r="R267" s="28"/>
      <c r="S267" s="28"/>
      <c r="T267" s="28"/>
      <c r="U267" s="28"/>
      <c r="V267" s="28"/>
    </row>
    <row r="268" spans="2:22" ht="15" customHeight="1" x14ac:dyDescent="0.3">
      <c r="B268" s="7" t="s">
        <v>105</v>
      </c>
      <c r="C268" s="22">
        <f>ROUND('Custom Stretch Kit'!C28,0)*'Unit Costs'!C334</f>
        <v>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205"/>
      <c r="O268" s="28"/>
      <c r="P268" s="28"/>
      <c r="Q268" s="28"/>
      <c r="R268" s="28"/>
      <c r="S268" s="28"/>
      <c r="T268" s="28"/>
      <c r="U268" s="28"/>
      <c r="V268" s="28"/>
    </row>
    <row r="269" spans="2:22" ht="15" customHeight="1" x14ac:dyDescent="0.3">
      <c r="B269" s="7" t="s">
        <v>107</v>
      </c>
      <c r="C269" s="22">
        <f>ROUND('Custom Stretch Kit'!C29,0)*'Unit Costs'!C335</f>
        <v>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205"/>
      <c r="O269" s="28"/>
      <c r="P269" s="28"/>
      <c r="Q269" s="28"/>
      <c r="R269" s="28"/>
      <c r="S269" s="28"/>
      <c r="T269" s="28"/>
      <c r="U269" s="28"/>
      <c r="V269" s="28"/>
    </row>
    <row r="270" spans="2:22" ht="15" customHeight="1" x14ac:dyDescent="0.3">
      <c r="B270" s="7" t="s">
        <v>117</v>
      </c>
      <c r="C270" s="22">
        <f>ROUND('Custom Stretch Kit'!C30,0)*'Unit Costs'!C336</f>
        <v>0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205"/>
      <c r="O270" s="28"/>
      <c r="P270" s="28"/>
      <c r="Q270" s="28"/>
      <c r="R270" s="28"/>
      <c r="S270" s="28"/>
      <c r="T270" s="28"/>
      <c r="U270" s="28"/>
      <c r="V270" s="28"/>
    </row>
    <row r="271" spans="2:22" ht="15" customHeight="1" x14ac:dyDescent="0.3">
      <c r="B271" s="7" t="s">
        <v>119</v>
      </c>
      <c r="C271" s="22">
        <f>ROUND('Custom Stretch Kit'!C31,0)*'Unit Costs'!C337</f>
        <v>0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205"/>
      <c r="O271" s="28"/>
      <c r="P271" s="28"/>
      <c r="Q271" s="28"/>
      <c r="R271" s="28"/>
      <c r="S271" s="28"/>
      <c r="T271" s="28"/>
      <c r="U271" s="28"/>
      <c r="V271" s="28"/>
    </row>
    <row r="272" spans="2:22" ht="15" customHeight="1" x14ac:dyDescent="0.3">
      <c r="B272" s="7" t="s">
        <v>121</v>
      </c>
      <c r="C272" s="22">
        <f>ROUND('Custom Stretch Kit'!C32,0)*'Unit Costs'!C338</f>
        <v>0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205"/>
      <c r="O272" s="28"/>
      <c r="P272" s="28"/>
      <c r="Q272" s="28"/>
      <c r="R272" s="28"/>
      <c r="S272" s="28"/>
      <c r="T272" s="28"/>
      <c r="U272" s="28"/>
      <c r="V272" s="28"/>
    </row>
    <row r="273" spans="2:22" ht="15" customHeight="1" x14ac:dyDescent="0.3">
      <c r="B273" s="7" t="s">
        <v>123</v>
      </c>
      <c r="C273" s="22">
        <f>ROUND('Custom Stretch Kit'!C33,0)*'Unit Costs'!C339</f>
        <v>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205"/>
      <c r="O273" s="28"/>
      <c r="P273" s="28"/>
      <c r="Q273" s="28"/>
      <c r="R273" s="28"/>
      <c r="S273" s="28"/>
      <c r="T273" s="28"/>
      <c r="U273" s="28"/>
      <c r="V273" s="28"/>
    </row>
    <row r="274" spans="2:22" ht="15" customHeight="1" x14ac:dyDescent="0.3">
      <c r="B274" s="7" t="s">
        <v>125</v>
      </c>
      <c r="C274" s="22">
        <f>ROUND('Custom Stretch Kit'!C34,0)*'Unit Costs'!C340</f>
        <v>0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205"/>
      <c r="O274" s="28"/>
      <c r="P274" s="28"/>
      <c r="Q274" s="28"/>
      <c r="R274" s="28"/>
      <c r="S274" s="28"/>
      <c r="T274" s="28"/>
      <c r="U274" s="28"/>
      <c r="V274" s="28"/>
    </row>
    <row r="275" spans="2:22" ht="15" customHeight="1" x14ac:dyDescent="0.3">
      <c r="B275" s="7"/>
      <c r="C275" s="2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205"/>
      <c r="O275" s="9"/>
      <c r="P275" s="9"/>
      <c r="Q275" s="9"/>
      <c r="R275" s="9"/>
      <c r="S275" s="9"/>
      <c r="T275" s="9"/>
      <c r="U275" s="9"/>
      <c r="V275" s="9"/>
    </row>
    <row r="276" spans="2:22" ht="15" customHeight="1" x14ac:dyDescent="0.3">
      <c r="B276" s="7"/>
      <c r="C276" s="2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205"/>
      <c r="O276" s="9"/>
      <c r="P276" s="9"/>
      <c r="Q276" s="9"/>
      <c r="R276" s="9"/>
      <c r="S276" s="9"/>
      <c r="T276" s="9"/>
      <c r="U276" s="9"/>
      <c r="V276" s="9"/>
    </row>
    <row r="277" spans="2:22" ht="15" customHeight="1" x14ac:dyDescent="0.3">
      <c r="B277" s="7"/>
      <c r="C277" s="2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205"/>
      <c r="O277" s="9"/>
      <c r="P277" s="9"/>
      <c r="Q277" s="9"/>
      <c r="R277" s="9"/>
      <c r="S277" s="9"/>
      <c r="T277" s="9"/>
      <c r="U277" s="9"/>
      <c r="V277" s="9"/>
    </row>
    <row r="278" spans="2:22" ht="15" customHeight="1" x14ac:dyDescent="0.3">
      <c r="B278" s="7"/>
      <c r="C278" s="2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205"/>
      <c r="O278" s="9"/>
      <c r="P278" s="9"/>
      <c r="Q278" s="9"/>
      <c r="R278" s="9"/>
      <c r="S278" s="9"/>
      <c r="T278" s="9"/>
      <c r="U278" s="9"/>
      <c r="V278" s="9"/>
    </row>
    <row r="279" spans="2:22" ht="15" customHeight="1" x14ac:dyDescent="0.3">
      <c r="B279" s="7"/>
      <c r="C279" s="2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205"/>
      <c r="O279" s="9"/>
      <c r="P279" s="9"/>
      <c r="Q279" s="9"/>
      <c r="R279" s="9"/>
      <c r="S279" s="9"/>
      <c r="T279" s="9"/>
      <c r="U279" s="9"/>
      <c r="V279" s="9"/>
    </row>
    <row r="280" spans="2:22" ht="15" customHeight="1" x14ac:dyDescent="0.3">
      <c r="B280" s="7"/>
      <c r="C280" s="2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205"/>
      <c r="O280" s="9"/>
      <c r="P280" s="9"/>
      <c r="Q280" s="9"/>
      <c r="R280" s="9"/>
      <c r="S280" s="9"/>
      <c r="T280" s="9"/>
      <c r="U280" s="9"/>
      <c r="V280" s="9"/>
    </row>
    <row r="281" spans="2:22" ht="15" customHeight="1" x14ac:dyDescent="0.3">
      <c r="B281" s="7" t="s">
        <v>798</v>
      </c>
      <c r="C281" s="9"/>
      <c r="D281" s="9" t="s">
        <v>799</v>
      </c>
      <c r="E281" s="9"/>
      <c r="F281" s="9"/>
      <c r="G281" s="9"/>
      <c r="H281" s="9"/>
      <c r="I281" s="9"/>
      <c r="J281" s="9"/>
      <c r="K281" s="9"/>
      <c r="L281" s="9"/>
      <c r="M281" s="9"/>
      <c r="N281" s="205"/>
      <c r="O281" s="9"/>
      <c r="P281" s="9"/>
      <c r="Q281" s="9"/>
      <c r="R281" s="9"/>
      <c r="S281" s="9"/>
      <c r="T281" s="9"/>
      <c r="U281" s="9"/>
      <c r="V281" s="9"/>
    </row>
    <row r="282" spans="2:22" ht="15" customHeight="1" x14ac:dyDescent="0.3">
      <c r="B282" s="7" t="s">
        <v>177</v>
      </c>
      <c r="C282" s="22">
        <f>ROUND('Custom Stretch Kit'!C41,0)*'Unit Costs'!N315</f>
        <v>0</v>
      </c>
      <c r="D282" s="9" t="s">
        <v>90</v>
      </c>
      <c r="E282" s="22">
        <f>ROUND('Custom Stretch Kit'!E41,0)*'Unit Costs'!P315</f>
        <v>0</v>
      </c>
      <c r="F282" s="9"/>
      <c r="G282" s="9"/>
      <c r="H282" s="9"/>
      <c r="I282" s="9"/>
      <c r="J282" s="9"/>
      <c r="K282" s="9"/>
      <c r="L282" s="9"/>
      <c r="M282" s="9"/>
      <c r="N282" s="205"/>
      <c r="O282" s="9"/>
      <c r="P282" s="9"/>
      <c r="Q282" s="9"/>
      <c r="R282" s="9"/>
      <c r="S282" s="9"/>
      <c r="T282" s="9"/>
      <c r="U282" s="9"/>
      <c r="V282" s="9"/>
    </row>
    <row r="283" spans="2:22" ht="15" customHeight="1" x14ac:dyDescent="0.3">
      <c r="B283" s="7" t="s">
        <v>178</v>
      </c>
      <c r="C283" s="22">
        <f>ROUND('Custom Stretch Kit'!C42,0)*'Unit Costs'!N316</f>
        <v>0</v>
      </c>
      <c r="D283" s="9" t="s">
        <v>92</v>
      </c>
      <c r="E283" s="22">
        <f>ROUND('Custom Stretch Kit'!E42,0)*'Unit Costs'!P316</f>
        <v>0</v>
      </c>
      <c r="F283" s="9"/>
      <c r="G283" s="9"/>
      <c r="H283" s="9"/>
      <c r="I283" s="9"/>
      <c r="J283" s="9"/>
      <c r="K283" s="9"/>
      <c r="L283" s="9"/>
      <c r="M283" s="9"/>
      <c r="N283" s="205"/>
      <c r="O283" s="9"/>
      <c r="P283" s="9"/>
      <c r="Q283" s="9"/>
      <c r="R283" s="9"/>
      <c r="S283" s="9"/>
      <c r="T283" s="9"/>
      <c r="U283" s="9"/>
      <c r="V283" s="9"/>
    </row>
    <row r="284" spans="2:22" ht="15" customHeight="1" x14ac:dyDescent="0.3">
      <c r="B284" s="7" t="s">
        <v>179</v>
      </c>
      <c r="C284" s="22">
        <f>ROUND('Custom Stretch Kit'!C43,0)*'Unit Costs'!N317</f>
        <v>0</v>
      </c>
      <c r="D284" s="9" t="s">
        <v>94</v>
      </c>
      <c r="E284" s="22">
        <f>ROUND('Custom Stretch Kit'!E43,0)*'Unit Costs'!P317</f>
        <v>0</v>
      </c>
      <c r="F284" s="9" t="s">
        <v>800</v>
      </c>
      <c r="G284" s="9"/>
      <c r="H284" s="9"/>
      <c r="I284" s="9"/>
      <c r="J284" s="9"/>
      <c r="K284" s="9"/>
      <c r="L284" s="9"/>
      <c r="M284" s="9"/>
      <c r="N284" s="205"/>
      <c r="O284" s="9"/>
      <c r="P284" s="9"/>
      <c r="Q284" s="9"/>
      <c r="R284" s="9"/>
      <c r="S284" s="9"/>
      <c r="T284" s="9"/>
      <c r="U284" s="9"/>
      <c r="V284" s="9"/>
    </row>
    <row r="285" spans="2:22" ht="15" customHeight="1" x14ac:dyDescent="0.3">
      <c r="B285" s="7" t="s">
        <v>180</v>
      </c>
      <c r="C285" s="22">
        <f>ROUND('Custom Stretch Kit'!C44,0)*'Unit Costs'!N318</f>
        <v>0</v>
      </c>
      <c r="D285" s="9" t="s">
        <v>96</v>
      </c>
      <c r="E285" s="22">
        <f>ROUND('Custom Stretch Kit'!E44,0)*'Unit Costs'!P318</f>
        <v>0</v>
      </c>
      <c r="F285" s="22">
        <f>MAX(0,IF('Custom Stretch Kit'!$G$41="",(SUM(C282:C299,E282:E292))-MAX(0,'Custom Stretch Kit'!$G$42),(SUM(C282:C299,E282:E292))*MIN((1-'Custom Stretch Kit'!$G$41),1)))</f>
        <v>0</v>
      </c>
      <c r="G285" s="9"/>
      <c r="H285" s="9"/>
      <c r="I285" s="9"/>
      <c r="J285" s="9"/>
      <c r="K285" s="9"/>
      <c r="L285" s="9"/>
      <c r="M285" s="9"/>
      <c r="N285" s="205"/>
      <c r="O285" s="9"/>
      <c r="P285" s="9"/>
      <c r="Q285" s="9"/>
      <c r="R285" s="9"/>
      <c r="S285" s="9"/>
      <c r="T285" s="9"/>
      <c r="U285" s="9"/>
      <c r="V285" s="9"/>
    </row>
    <row r="286" spans="2:22" ht="15" customHeight="1" x14ac:dyDescent="0.3">
      <c r="B286" s="7" t="s">
        <v>91</v>
      </c>
      <c r="C286" s="22">
        <f>ROUND('Custom Stretch Kit'!C45,0)*'Unit Costs'!N319</f>
        <v>0</v>
      </c>
      <c r="D286" s="9" t="s">
        <v>135</v>
      </c>
      <c r="E286" s="22">
        <f>ROUND('Custom Stretch Kit'!E45,0)*'Unit Costs'!P319</f>
        <v>0</v>
      </c>
      <c r="F286" s="9"/>
      <c r="G286" s="9"/>
      <c r="H286" s="9"/>
      <c r="I286" s="9"/>
      <c r="J286" s="9"/>
      <c r="K286" s="9"/>
      <c r="L286" s="9"/>
      <c r="M286" s="9"/>
      <c r="N286" s="205"/>
      <c r="O286" s="9"/>
      <c r="P286" s="9"/>
      <c r="Q286" s="9"/>
      <c r="R286" s="9"/>
      <c r="S286" s="9"/>
      <c r="T286" s="9"/>
      <c r="U286" s="9"/>
      <c r="V286" s="9"/>
    </row>
    <row r="287" spans="2:22" ht="15" customHeight="1" x14ac:dyDescent="0.3">
      <c r="B287" s="7" t="s">
        <v>99</v>
      </c>
      <c r="C287" s="22">
        <f>ROUND('Custom Stretch Kit'!C46,0)*'Unit Costs'!N320</f>
        <v>0</v>
      </c>
      <c r="D287" s="9" t="s">
        <v>98</v>
      </c>
      <c r="E287" s="22">
        <f>ROUND('Custom Stretch Kit'!E46,0)*'Unit Costs'!P320</f>
        <v>0</v>
      </c>
      <c r="F287" s="9" t="s">
        <v>801</v>
      </c>
      <c r="G287" s="9"/>
      <c r="H287" s="9"/>
      <c r="I287" s="9"/>
      <c r="J287" s="9"/>
      <c r="K287" s="9"/>
      <c r="L287" s="9"/>
      <c r="M287" s="9"/>
      <c r="N287" s="205"/>
      <c r="O287" s="9"/>
      <c r="P287" s="9"/>
      <c r="Q287" s="9"/>
      <c r="R287" s="9"/>
      <c r="S287" s="9"/>
      <c r="T287" s="9"/>
      <c r="U287" s="9"/>
      <c r="V287" s="9"/>
    </row>
    <row r="288" spans="2:22" ht="15" customHeight="1" x14ac:dyDescent="0.3">
      <c r="B288" s="7" t="s">
        <v>93</v>
      </c>
      <c r="C288" s="22">
        <f>ROUND('Custom Stretch Kit'!C47,0)*'Unit Costs'!N321</f>
        <v>0</v>
      </c>
      <c r="D288" s="9" t="s">
        <v>101</v>
      </c>
      <c r="E288" s="22">
        <f>ROUND('Custom Stretch Kit'!E47,0)*'Unit Costs'!P321</f>
        <v>0</v>
      </c>
      <c r="F288" s="22">
        <f>MAX(0,ROUNDUP(IF('Custom Stretch Kit'!$G$41="",((SUM(C282:C299)*0.9)+SUM(E282:E292))-MAX(0,'Custom Stretch Kit'!$G$42),((SUM(C282:C299)*0.9)+SUM(E282:E292))*MIN((1-'Custom Stretch Kit'!$G$41),1)),0))</f>
        <v>0</v>
      </c>
      <c r="G288" s="9"/>
      <c r="H288" s="9"/>
      <c r="I288" s="9"/>
      <c r="J288" s="9"/>
      <c r="K288" s="9"/>
      <c r="L288" s="9"/>
      <c r="M288" s="9"/>
      <c r="N288" s="205"/>
      <c r="O288" s="9"/>
      <c r="P288" s="9"/>
      <c r="Q288" s="9"/>
      <c r="R288" s="9"/>
      <c r="S288" s="9"/>
      <c r="T288" s="9"/>
      <c r="U288" s="9"/>
      <c r="V288" s="9"/>
    </row>
    <row r="289" spans="1:22" ht="15" customHeight="1" x14ac:dyDescent="0.3">
      <c r="B289" s="7" t="s">
        <v>181</v>
      </c>
      <c r="C289" s="22">
        <f>ROUND('Custom Stretch Kit'!C48,0)*'Unit Costs'!N322</f>
        <v>0</v>
      </c>
      <c r="D289" s="9" t="s">
        <v>102</v>
      </c>
      <c r="E289" s="22">
        <f>ROUND('Custom Stretch Kit'!E48,0)*'Unit Costs'!P322</f>
        <v>0</v>
      </c>
      <c r="F289" s="9"/>
      <c r="G289" s="9"/>
      <c r="H289" s="9"/>
      <c r="I289" s="9"/>
      <c r="J289" s="9"/>
      <c r="K289" s="9"/>
      <c r="L289" s="9"/>
      <c r="M289" s="9"/>
      <c r="N289" s="205"/>
      <c r="O289" s="9"/>
      <c r="P289" s="9"/>
      <c r="Q289" s="9"/>
      <c r="R289" s="9"/>
      <c r="S289" s="9"/>
      <c r="T289" s="9"/>
      <c r="U289" s="9"/>
      <c r="V289" s="9"/>
    </row>
    <row r="290" spans="1:22" ht="15" customHeight="1" x14ac:dyDescent="0.3">
      <c r="B290" s="7" t="s">
        <v>182</v>
      </c>
      <c r="C290" s="22">
        <f>ROUND('Custom Stretch Kit'!C49,0)*'Unit Costs'!N323</f>
        <v>0</v>
      </c>
      <c r="D290" s="9" t="s">
        <v>103</v>
      </c>
      <c r="E290" s="22">
        <f>ROUND('Custom Stretch Kit'!E49,0)*'Unit Costs'!P323</f>
        <v>0</v>
      </c>
      <c r="F290" s="9"/>
      <c r="G290" s="9"/>
      <c r="H290" s="9"/>
      <c r="I290" s="9"/>
      <c r="J290" s="9"/>
      <c r="K290" s="9"/>
      <c r="L290" s="9"/>
      <c r="M290" s="9"/>
      <c r="N290" s="205"/>
      <c r="O290" s="9"/>
      <c r="P290" s="9"/>
      <c r="Q290" s="9"/>
      <c r="R290" s="9"/>
      <c r="S290" s="9"/>
      <c r="T290" s="9"/>
      <c r="U290" s="9"/>
      <c r="V290" s="9"/>
    </row>
    <row r="291" spans="1:22" ht="15" customHeight="1" x14ac:dyDescent="0.3">
      <c r="B291" s="7" t="s">
        <v>95</v>
      </c>
      <c r="C291" s="22">
        <f>ROUND('Custom Stretch Kit'!C50,0)*'Unit Costs'!N324</f>
        <v>0</v>
      </c>
      <c r="D291" s="9" t="s">
        <v>140</v>
      </c>
      <c r="E291" s="22">
        <f>ROUND('Custom Stretch Kit'!E50,0)*'Unit Costs'!P324</f>
        <v>0</v>
      </c>
      <c r="F291" s="9"/>
      <c r="G291" s="9"/>
      <c r="H291" s="9"/>
      <c r="I291" s="9"/>
      <c r="J291" s="9"/>
      <c r="K291" s="9"/>
      <c r="L291" s="9"/>
      <c r="M291" s="9"/>
      <c r="N291" s="205"/>
      <c r="O291" s="9"/>
      <c r="P291" s="9"/>
      <c r="Q291" s="9"/>
      <c r="R291" s="9"/>
      <c r="S291" s="9"/>
      <c r="T291" s="9"/>
      <c r="U291" s="9"/>
      <c r="V291" s="9"/>
    </row>
    <row r="292" spans="1:22" ht="15" customHeight="1" x14ac:dyDescent="0.3">
      <c r="B292" s="7" t="s">
        <v>183</v>
      </c>
      <c r="C292" s="22">
        <f>ROUND('Custom Stretch Kit'!C51,0)*'Unit Costs'!N325</f>
        <v>0</v>
      </c>
      <c r="D292" s="9" t="s">
        <v>104</v>
      </c>
      <c r="E292" s="22">
        <f>ROUND('Custom Stretch Kit'!E51,0)*'Unit Costs'!P325</f>
        <v>0</v>
      </c>
      <c r="F292" s="9"/>
      <c r="G292" s="9"/>
      <c r="H292" s="9"/>
      <c r="I292" s="9"/>
      <c r="J292" s="9"/>
      <c r="K292" s="9"/>
      <c r="L292" s="9"/>
      <c r="M292" s="9"/>
      <c r="N292" s="205"/>
      <c r="O292" s="9"/>
      <c r="P292" s="9"/>
      <c r="Q292" s="9"/>
      <c r="R292" s="9"/>
      <c r="S292" s="9"/>
      <c r="T292" s="9"/>
      <c r="U292" s="9"/>
      <c r="V292" s="9"/>
    </row>
    <row r="293" spans="1:22" ht="15" customHeight="1" x14ac:dyDescent="0.3">
      <c r="B293" s="7" t="s">
        <v>184</v>
      </c>
      <c r="C293" s="22">
        <f>ROUND('Custom Stretch Kit'!C52,0)*'Unit Costs'!N326</f>
        <v>0</v>
      </c>
      <c r="D293" s="9"/>
      <c r="E293" s="22"/>
      <c r="F293" s="9" t="s">
        <v>802</v>
      </c>
      <c r="G293" s="708">
        <f>IF(OR('Custom Stretch Kit'!$G$50&lt;=0,'Custom Stretch Kit'!$G$51&lt;=0,'Custom Stretch Kit'!$G$50&lt;'Custom Stretch Kit'!$G$51),0,1-('Custom Stretch Kit'!$G$51/'Custom Stretch Kit'!$G$50))</f>
        <v>0</v>
      </c>
      <c r="I293" s="9"/>
      <c r="J293" s="9"/>
      <c r="K293" s="9"/>
      <c r="L293" s="9"/>
      <c r="M293" s="9"/>
      <c r="N293" s="205"/>
      <c r="O293" s="9"/>
      <c r="P293" s="9"/>
      <c r="Q293" s="9"/>
      <c r="R293" s="9"/>
      <c r="S293" s="9"/>
      <c r="T293" s="9"/>
      <c r="U293" s="9"/>
      <c r="V293" s="9"/>
    </row>
    <row r="294" spans="1:22" ht="15" customHeight="1" x14ac:dyDescent="0.3">
      <c r="B294" s="7" t="s">
        <v>97</v>
      </c>
      <c r="C294" s="22">
        <f>ROUND('Custom Stretch Kit'!C53,0)*'Unit Costs'!N327</f>
        <v>0</v>
      </c>
      <c r="D294" s="9"/>
      <c r="E294" s="22"/>
      <c r="F294" s="9"/>
      <c r="G294" s="9"/>
      <c r="H294" s="9"/>
      <c r="I294" s="9"/>
      <c r="J294" s="9"/>
      <c r="K294" s="9"/>
      <c r="L294" s="9"/>
      <c r="M294" s="9"/>
      <c r="N294" s="205"/>
      <c r="O294" s="9"/>
      <c r="P294" s="9"/>
      <c r="Q294" s="9"/>
      <c r="R294" s="9"/>
      <c r="S294" s="9"/>
      <c r="T294" s="9"/>
      <c r="U294" s="9"/>
      <c r="V294" s="9"/>
    </row>
    <row r="295" spans="1:22" ht="15" customHeight="1" x14ac:dyDescent="0.3">
      <c r="B295" s="7" t="s">
        <v>117</v>
      </c>
      <c r="C295" s="22">
        <f>ROUND('Custom Stretch Kit'!C54,0)*'Unit Costs'!N328</f>
        <v>0</v>
      </c>
      <c r="D295" s="9"/>
      <c r="E295" s="22"/>
      <c r="F295" s="9"/>
      <c r="G295" s="9"/>
      <c r="H295" s="9"/>
      <c r="I295" s="9"/>
      <c r="J295" s="9"/>
      <c r="K295" s="9"/>
      <c r="L295" s="9"/>
      <c r="M295" s="9"/>
      <c r="N295" s="205"/>
      <c r="O295" s="9"/>
      <c r="P295" s="9"/>
      <c r="Q295" s="9"/>
      <c r="R295" s="9"/>
      <c r="S295" s="9"/>
      <c r="T295" s="9"/>
      <c r="U295" s="9"/>
      <c r="V295" s="9"/>
    </row>
    <row r="296" spans="1:22" ht="15" customHeight="1" x14ac:dyDescent="0.3">
      <c r="B296" s="7" t="s">
        <v>119</v>
      </c>
      <c r="C296" s="22">
        <f>ROUND('Custom Stretch Kit'!C55,0)*'Unit Costs'!N329</f>
        <v>0</v>
      </c>
      <c r="D296" s="9"/>
      <c r="E296" s="22"/>
      <c r="F296" s="9"/>
      <c r="G296" s="9"/>
      <c r="H296" s="9"/>
      <c r="I296" s="9"/>
      <c r="J296" s="9"/>
      <c r="K296" s="9"/>
      <c r="L296" s="9"/>
      <c r="M296" s="9"/>
      <c r="N296" s="205"/>
      <c r="O296" s="9"/>
      <c r="P296" s="9"/>
      <c r="Q296" s="9"/>
      <c r="R296" s="9"/>
      <c r="S296" s="9"/>
      <c r="T296" s="9"/>
      <c r="U296" s="9"/>
      <c r="V296" s="9"/>
    </row>
    <row r="297" spans="1:22" ht="15" customHeight="1" x14ac:dyDescent="0.3">
      <c r="B297" s="7" t="s">
        <v>121</v>
      </c>
      <c r="C297" s="22">
        <f>ROUND('Custom Stretch Kit'!C56,0)*'Unit Costs'!N330</f>
        <v>0</v>
      </c>
      <c r="D297" s="9"/>
      <c r="E297" s="22"/>
      <c r="F297" s="9"/>
      <c r="G297" s="9"/>
      <c r="H297" s="9"/>
      <c r="I297" s="9"/>
      <c r="J297" s="9"/>
      <c r="K297" s="9"/>
      <c r="L297" s="9"/>
      <c r="M297" s="9"/>
      <c r="N297" s="205"/>
      <c r="O297" s="9"/>
      <c r="P297" s="9"/>
      <c r="Q297" s="9"/>
      <c r="R297" s="9"/>
      <c r="S297" s="9"/>
      <c r="T297" s="9"/>
      <c r="U297" s="9"/>
      <c r="V297" s="9"/>
    </row>
    <row r="298" spans="1:22" ht="15" customHeight="1" x14ac:dyDescent="0.3">
      <c r="B298" s="7" t="s">
        <v>123</v>
      </c>
      <c r="C298" s="22">
        <f>ROUND('Custom Stretch Kit'!C57,0)*'Unit Costs'!N331</f>
        <v>0</v>
      </c>
      <c r="D298" s="9"/>
      <c r="E298" s="22"/>
      <c r="F298" s="9"/>
      <c r="G298" s="9"/>
      <c r="H298" s="9"/>
      <c r="I298" s="9"/>
      <c r="J298" s="9"/>
      <c r="K298" s="9"/>
      <c r="L298" s="9"/>
      <c r="M298" s="9"/>
      <c r="N298" s="205"/>
      <c r="O298" s="9"/>
      <c r="P298" s="9"/>
      <c r="Q298" s="9"/>
      <c r="R298" s="9"/>
      <c r="S298" s="9"/>
      <c r="T298" s="9"/>
      <c r="U298" s="9"/>
      <c r="V298" s="9"/>
    </row>
    <row r="299" spans="1:22" ht="15" customHeight="1" x14ac:dyDescent="0.3">
      <c r="B299" s="17" t="s">
        <v>125</v>
      </c>
      <c r="C299" s="710">
        <f>ROUND('Custom Stretch Kit'!C58,0)*'Unit Costs'!N332</f>
        <v>0</v>
      </c>
      <c r="D299" s="681"/>
      <c r="E299" s="681"/>
      <c r="F299" s="681"/>
      <c r="G299" s="681"/>
      <c r="H299" s="681"/>
      <c r="I299" s="681"/>
      <c r="J299" s="681"/>
      <c r="K299" s="681"/>
      <c r="L299" s="681"/>
      <c r="M299" s="681"/>
      <c r="N299" s="209"/>
      <c r="O299" s="9"/>
      <c r="P299" s="9"/>
      <c r="Q299" s="9"/>
      <c r="R299" s="9"/>
      <c r="S299" s="9"/>
      <c r="T299" s="9"/>
      <c r="U299" s="9"/>
      <c r="V299" s="9"/>
    </row>
    <row r="300" spans="1:22" ht="15" customHeight="1" x14ac:dyDescent="0.3">
      <c r="B300" s="9"/>
      <c r="C300" s="2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5" customHeight="1" x14ac:dyDescent="0.3">
      <c r="B301" s="9"/>
      <c r="C301" s="2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5" customHeight="1" x14ac:dyDescent="0.3">
      <c r="B302" s="9"/>
      <c r="C302" s="2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5" customHeight="1" x14ac:dyDescent="0.3">
      <c r="B303" s="683"/>
      <c r="C303" s="9"/>
      <c r="D303" s="272"/>
    </row>
    <row r="304" spans="1:22" ht="15" customHeight="1" x14ac:dyDescent="0.3">
      <c r="A304" s="9"/>
      <c r="B304" s="18" t="s">
        <v>518</v>
      </c>
      <c r="C304" s="19"/>
      <c r="D304" s="19"/>
      <c r="E304" s="19"/>
      <c r="F304" s="19"/>
      <c r="G304" s="19"/>
      <c r="H304" s="19"/>
      <c r="I304" s="691"/>
      <c r="J304" s="28"/>
      <c r="K304" s="28"/>
      <c r="L304" s="28"/>
      <c r="M304" s="28"/>
      <c r="N304" s="28"/>
    </row>
    <row r="305" spans="1:14" ht="15" customHeight="1" x14ac:dyDescent="0.3">
      <c r="A305" s="9"/>
      <c r="B305" s="7" t="s">
        <v>190</v>
      </c>
      <c r="C305" s="9" t="s">
        <v>191</v>
      </c>
      <c r="D305" s="9" t="s">
        <v>192</v>
      </c>
      <c r="E305" s="9"/>
      <c r="F305" s="9"/>
      <c r="G305" s="9" t="s">
        <v>193</v>
      </c>
      <c r="H305" s="9"/>
      <c r="I305" s="205"/>
      <c r="K305" s="28"/>
      <c r="L305" s="28"/>
      <c r="M305" s="28"/>
      <c r="N305" s="28"/>
    </row>
    <row r="306" spans="1:14" ht="15" customHeight="1" x14ac:dyDescent="0.3">
      <c r="A306" s="9"/>
      <c r="B306" s="669">
        <f>MAX(0,IF('Custom Table Throw'!$D$5="",IF('Custom Table Throw'!$F$5="",('Custom Table Throw'!$H$5/25.4),'Custom Table Throw'!$F$5*12),'Custom Table Throw'!$D$5))</f>
        <v>0</v>
      </c>
      <c r="C306" s="670">
        <f>MAX(0,IF('Custom Table Throw'!$D$6="",IF('Custom Table Throw'!$F$6="",('Custom Table Throw'!$H$6/25.4),'Custom Table Throw'!$F$6*12),'Custom Table Throw'!$D$6))</f>
        <v>0</v>
      </c>
      <c r="D306" s="670">
        <f>MAX(0,IF('Custom Table Throw'!$D$7="",IF('Custom Table Throw'!$F$7="",('Custom Table Throw'!$H$7/25.4),'Custom Table Throw'!$F$7*12),'Custom Table Throw'!$D$7))</f>
        <v>0</v>
      </c>
      <c r="E306" s="9"/>
      <c r="F306" s="9"/>
      <c r="G306" s="9" t="s">
        <v>195</v>
      </c>
      <c r="H306" s="9" t="s">
        <v>196</v>
      </c>
      <c r="I306" s="205" t="s">
        <v>197</v>
      </c>
      <c r="J306" s="26" t="s">
        <v>158</v>
      </c>
      <c r="K306" s="28"/>
      <c r="L306" s="28"/>
      <c r="M306" s="28"/>
      <c r="N306" s="28"/>
    </row>
    <row r="307" spans="1:14" ht="15" customHeight="1" x14ac:dyDescent="0.3">
      <c r="A307" s="9"/>
      <c r="B307" s="669">
        <f>$B$306/12</f>
        <v>0</v>
      </c>
      <c r="C307" s="670">
        <f>$C$306/12</f>
        <v>0</v>
      </c>
      <c r="D307" s="670">
        <f>$D$306/12</f>
        <v>0</v>
      </c>
      <c r="E307" s="9"/>
      <c r="F307" s="9"/>
      <c r="G307" s="670">
        <f>(($C$307*2)+$B$307)*($C$307+$D$307+0.5)</f>
        <v>0</v>
      </c>
      <c r="H307" s="670">
        <f>(($C$307*2)+$B$307)*(($C$307*2)+$D$307)</f>
        <v>0</v>
      </c>
      <c r="I307" s="711">
        <f>((B307*D307)+(((B307*2)+(D307*2))*C307))</f>
        <v>0</v>
      </c>
      <c r="K307" s="28"/>
      <c r="L307" s="28"/>
      <c r="M307" s="28"/>
      <c r="N307" s="28"/>
    </row>
    <row r="308" spans="1:14" ht="15" customHeight="1" x14ac:dyDescent="0.3">
      <c r="A308" s="9"/>
      <c r="B308" s="7"/>
      <c r="C308" s="9"/>
      <c r="D308" s="9"/>
      <c r="E308" s="9"/>
      <c r="F308" s="9"/>
      <c r="G308" s="9" t="s">
        <v>194</v>
      </c>
      <c r="H308" s="9"/>
      <c r="I308" s="205"/>
      <c r="J308" s="9"/>
      <c r="K308" s="28"/>
      <c r="L308" s="28"/>
      <c r="M308" s="28"/>
      <c r="N308" s="28"/>
    </row>
    <row r="309" spans="1:14" ht="15" customHeight="1" x14ac:dyDescent="0.3">
      <c r="A309" s="9"/>
      <c r="B309" s="7"/>
      <c r="C309" s="9"/>
      <c r="D309" s="9"/>
      <c r="E309" s="9"/>
      <c r="F309" s="9"/>
      <c r="G309" s="9" t="s">
        <v>198</v>
      </c>
      <c r="H309" s="9" t="s">
        <v>199</v>
      </c>
      <c r="I309" s="205"/>
      <c r="K309" s="28"/>
      <c r="L309" s="28"/>
      <c r="M309" s="28"/>
      <c r="N309" s="28"/>
    </row>
    <row r="310" spans="1:14" ht="15" customHeight="1" x14ac:dyDescent="0.3">
      <c r="A310" s="9"/>
      <c r="B310" s="7"/>
      <c r="C310" s="9"/>
      <c r="D310" s="9"/>
      <c r="E310" s="9"/>
      <c r="F310" s="9"/>
      <c r="G310" s="670">
        <f>(($C$307*2)+$D$307)^2</f>
        <v>0</v>
      </c>
      <c r="H310" s="670">
        <f>($D$307^2)+($C$307*$D$307*3.14)</f>
        <v>0</v>
      </c>
      <c r="I310" s="205"/>
    </row>
    <row r="311" spans="1:14" ht="15" customHeight="1" x14ac:dyDescent="0.3">
      <c r="A311" s="9"/>
      <c r="B311" s="7" t="s">
        <v>193</v>
      </c>
      <c r="C311" s="9"/>
      <c r="D311" s="9"/>
      <c r="E311" s="9"/>
      <c r="F311" s="9"/>
      <c r="G311" s="9"/>
      <c r="H311" s="9"/>
      <c r="I311" s="205"/>
    </row>
    <row r="312" spans="1:14" ht="15" customHeight="1" x14ac:dyDescent="0.3">
      <c r="A312" s="9"/>
      <c r="B312" s="7" t="s">
        <v>200</v>
      </c>
      <c r="C312" s="658" t="str">
        <f>CONCATENATE(ROUND(($C$306*2)+$B$306,4), """ x ",ROUND(($C$306*2)+$D$306,4),"""")</f>
        <v>0" x 0"</v>
      </c>
      <c r="D312" s="658" t="str">
        <f>CONCATENATE(ROUND(($C$306*2)+$B$306,4), """ x ",ROUND($C$306,4),"""")</f>
        <v>0" x 0"</v>
      </c>
      <c r="E312" s="658" t="str">
        <f>CONCATENATE(ROUND(($C$306*2)+$B$306,4), """ x ",ROUND($C$306+$D$306,4),"""")</f>
        <v>0" x 0"</v>
      </c>
      <c r="F312" s="9"/>
      <c r="G312" s="9"/>
      <c r="H312" s="9"/>
      <c r="I312" s="205"/>
    </row>
    <row r="313" spans="1:14" ht="15" customHeight="1" x14ac:dyDescent="0.3">
      <c r="A313" s="9"/>
      <c r="B313" s="7" t="s">
        <v>201</v>
      </c>
      <c r="C313" s="658" t="str">
        <f>CONCATENATE(ROUND(($C$306*2)+$B$306,4), """ x ",IF($C$306+$D$306+6=6,0,ROUND($C$306+$D$306+6,4)),"""")</f>
        <v>0" x 0"</v>
      </c>
      <c r="D313" s="658" t="str">
        <f>CONCATENATE(ROUND(($C$306*2)+$B$306,4), """ x ",ROUND($C$306,4),"""")</f>
        <v>0" x 0"</v>
      </c>
      <c r="E313" s="658" t="str">
        <f>CONCATENATE(ROUND(($C$306*2)+$B$306,4), """ x ",IF($D$306+6=6,0,ROUND($D$306+6,4)),"""")</f>
        <v>0" x 0"</v>
      </c>
      <c r="F313" s="9"/>
      <c r="G313" s="9"/>
      <c r="H313" s="9"/>
      <c r="I313" s="205"/>
    </row>
    <row r="314" spans="1:14" ht="15" customHeight="1" x14ac:dyDescent="0.3">
      <c r="A314" s="9"/>
      <c r="B314" s="7" t="s">
        <v>202</v>
      </c>
      <c r="C314" s="658" t="str">
        <f>CONCATENATE(ROUND($B$306,4), """ x ",ROUND($D$306,4),"""")</f>
        <v>0" x 0"</v>
      </c>
      <c r="D314" s="658"/>
      <c r="E314" s="658"/>
      <c r="F314" s="9"/>
      <c r="G314" s="9"/>
      <c r="H314" s="9"/>
      <c r="I314" s="205"/>
    </row>
    <row r="315" spans="1:14" ht="15" customHeight="1" x14ac:dyDescent="0.3">
      <c r="A315" s="9"/>
      <c r="B315" s="7" t="s">
        <v>203</v>
      </c>
      <c r="C315" s="658" t="str">
        <f>CONCATENATE(ROUND(($B$306*2)+($D$306*2),4), """ x ",ROUND($C$306,4),"""")</f>
        <v>0" x 0"</v>
      </c>
      <c r="D315" s="658"/>
      <c r="E315" s="658"/>
      <c r="F315" s="9"/>
      <c r="G315" s="9"/>
      <c r="H315" s="9"/>
      <c r="I315" s="205"/>
    </row>
    <row r="316" spans="1:14" ht="15" customHeight="1" x14ac:dyDescent="0.3">
      <c r="A316" s="9"/>
      <c r="B316" s="7" t="s">
        <v>194</v>
      </c>
      <c r="C316" s="9"/>
      <c r="D316" s="9"/>
      <c r="E316" s="658"/>
      <c r="F316" s="658"/>
      <c r="G316" s="9"/>
      <c r="H316" s="9"/>
      <c r="I316" s="205"/>
    </row>
    <row r="317" spans="1:14" ht="15" customHeight="1" x14ac:dyDescent="0.3">
      <c r="A317" s="9"/>
      <c r="B317" s="7" t="s">
        <v>204</v>
      </c>
      <c r="C317" s="658" t="str">
        <f>CONCATENATE(ROUND(($C$306*2)+$D$306,4), """ x ",ROUND(($C$306*2)+$D$306,4),"""")</f>
        <v>0" x 0"</v>
      </c>
      <c r="D317" s="9"/>
      <c r="E317" s="658"/>
      <c r="F317" s="658"/>
      <c r="G317" s="9"/>
      <c r="H317" s="9"/>
      <c r="I317" s="205"/>
    </row>
    <row r="318" spans="1:14" ht="15" customHeight="1" x14ac:dyDescent="0.3">
      <c r="A318" s="9"/>
      <c r="B318" s="7" t="s">
        <v>202</v>
      </c>
      <c r="C318" s="658" t="str">
        <f>CONCATENATE(ROUND($D$306,4), """ x ",ROUND($D$306,4),"""")</f>
        <v>0" x 0"</v>
      </c>
      <c r="D318" s="9"/>
      <c r="E318" s="658"/>
      <c r="F318" s="658"/>
      <c r="G318" s="9"/>
      <c r="H318" s="9"/>
      <c r="I318" s="205"/>
    </row>
    <row r="319" spans="1:14" ht="15" customHeight="1" x14ac:dyDescent="0.3">
      <c r="A319" s="9"/>
      <c r="B319" s="7" t="s">
        <v>203</v>
      </c>
      <c r="C319" s="658" t="str">
        <f>CONCATENATE(ROUND($D$306*3.1415,4), """ x ",ROUND($C$306,4),"""")</f>
        <v>0" x 0"</v>
      </c>
      <c r="D319" s="9"/>
      <c r="E319" s="9"/>
      <c r="F319" s="9"/>
      <c r="G319" s="9"/>
      <c r="H319" s="9"/>
      <c r="I319" s="205"/>
    </row>
    <row r="320" spans="1:14" ht="15" customHeight="1" x14ac:dyDescent="0.3">
      <c r="A320" s="9"/>
      <c r="B320" s="273"/>
      <c r="C320" s="72"/>
      <c r="D320" s="72"/>
      <c r="E320" s="72"/>
      <c r="F320" s="72"/>
      <c r="G320" s="72"/>
      <c r="H320" s="72"/>
      <c r="I320" s="458"/>
      <c r="J320" s="28"/>
      <c r="K320" s="28"/>
      <c r="L320" s="28"/>
      <c r="M320" s="28"/>
      <c r="N320" s="28"/>
    </row>
    <row r="321" spans="1:14" ht="15" customHeight="1" x14ac:dyDescent="0.3">
      <c r="A321" s="9"/>
      <c r="B321" s="273"/>
      <c r="C321" s="72"/>
      <c r="D321" s="72"/>
      <c r="E321" s="72"/>
      <c r="F321" s="72"/>
      <c r="G321" s="72"/>
      <c r="H321" s="72"/>
      <c r="I321" s="458"/>
      <c r="J321" s="28"/>
      <c r="K321" s="28"/>
      <c r="L321" s="28"/>
      <c r="M321" s="28"/>
      <c r="N321" s="28"/>
    </row>
    <row r="322" spans="1:14" ht="15" customHeight="1" x14ac:dyDescent="0.3">
      <c r="A322" s="72"/>
      <c r="B322" s="273"/>
      <c r="C322" s="9"/>
      <c r="D322" s="9" t="s">
        <v>193</v>
      </c>
      <c r="E322" s="9"/>
      <c r="F322" s="9"/>
      <c r="G322" s="9" t="s">
        <v>194</v>
      </c>
      <c r="H322" s="9"/>
      <c r="I322" s="205"/>
      <c r="J322" s="28"/>
      <c r="K322" s="28"/>
      <c r="L322" s="28"/>
      <c r="M322" s="28"/>
      <c r="N322" s="28"/>
    </row>
    <row r="323" spans="1:14" ht="15" customHeight="1" x14ac:dyDescent="0.3">
      <c r="A323" s="72"/>
      <c r="B323" s="273"/>
      <c r="C323" s="9"/>
      <c r="D323" s="9" t="s">
        <v>206</v>
      </c>
      <c r="E323" s="9" t="s">
        <v>205</v>
      </c>
      <c r="F323" s="9" t="s">
        <v>199</v>
      </c>
      <c r="G323" s="9" t="s">
        <v>198</v>
      </c>
      <c r="H323" s="9" t="s">
        <v>199</v>
      </c>
      <c r="I323" s="205"/>
      <c r="J323" s="28"/>
      <c r="K323" s="702"/>
      <c r="L323" s="28"/>
      <c r="M323" s="28"/>
      <c r="N323" s="28"/>
    </row>
    <row r="324" spans="1:14" ht="15" customHeight="1" x14ac:dyDescent="0.3">
      <c r="A324" s="72"/>
      <c r="B324" s="7" t="s">
        <v>748</v>
      </c>
      <c r="C324" s="9"/>
      <c r="D324" s="22">
        <f>MAX(0,IF('Custom Table Throw'!$F$8="",(H$307*'Unit Costs'!$C348)-MAX(0,'Custom Table Throw'!$H$8),(H$307*'Unit Costs'!D348)*(MIN(1-'Custom Table Throw'!$F$8,2))))</f>
        <v>0</v>
      </c>
      <c r="E324" s="22">
        <f>MAX(0,IF('Custom Table Throw'!$F$8="",(G$307*'Unit Costs'!$C348)-MAX(0,'Custom Table Throw'!$H$8),(G$307*'Unit Costs'!C348)*(MIN(1-'Custom Table Throw'!$F$8,2))))</f>
        <v>0</v>
      </c>
      <c r="F324" s="22">
        <f>MAX(0,IF('Custom Table Throw'!$F$8="",(I$307*'Unit Costs'!$C348)-MAX(0,'Custom Table Throw'!$H$8),(I$307*'Unit Costs'!E348)*(MIN(1-'Custom Table Throw'!$F$8,2))))</f>
        <v>0</v>
      </c>
      <c r="G324" s="22">
        <f>MAX(0,IF('Custom Table Throw'!$F$8="",(G$310*'Unit Costs'!$C348)-MAX(0,'Custom Table Throw'!$H$8),(G$310*'Unit Costs'!F348)*(MIN(1-'Custom Table Throw'!$F$8,2))))</f>
        <v>0</v>
      </c>
      <c r="H324" s="22">
        <f>MAX(0,IF('Custom Table Throw'!$F$8="",(H$310*'Unit Costs'!$C348)-MAX(0,'Custom Table Throw'!$H$8),(H$310*'Unit Costs'!G348)*(MIN(1-'Custom Table Throw'!$F$8,2))))</f>
        <v>0</v>
      </c>
      <c r="I324" s="205"/>
      <c r="J324" s="28"/>
      <c r="K324" s="28"/>
      <c r="L324" s="28"/>
      <c r="M324" s="28"/>
      <c r="N324" s="28"/>
    </row>
    <row r="325" spans="1:14" ht="15" customHeight="1" x14ac:dyDescent="0.3">
      <c r="A325" s="9"/>
      <c r="B325" s="7" t="s">
        <v>749</v>
      </c>
      <c r="C325" s="9"/>
      <c r="D325" s="22">
        <f>MAX(0,IF('Custom Table Throw'!$F$8="",(H$307*'Unit Costs'!$C349)-MAX(0,'Custom Table Throw'!$H$8),(H$307*'Unit Costs'!D349)*(MIN(1-'Custom Table Throw'!$F$8,2))))</f>
        <v>0</v>
      </c>
      <c r="E325" s="22">
        <f>MAX(0,IF('Custom Table Throw'!$F$8="",(G$307*'Unit Costs'!$C349)-MAX(0,'Custom Table Throw'!$H$8),(G$307*'Unit Costs'!C349)*(MIN(1-'Custom Table Throw'!$F$8,2))))</f>
        <v>0</v>
      </c>
      <c r="F325" s="22">
        <f>MAX(0,IF('Custom Table Throw'!$F$8="",(I$307*'Unit Costs'!$C349)-MAX(0,'Custom Table Throw'!$H$8),(I$307*'Unit Costs'!E349)*(MIN(1-'Custom Table Throw'!$F$8,2))))</f>
        <v>0</v>
      </c>
      <c r="G325" s="22">
        <f>MAX(0,IF('Custom Table Throw'!$F$8="",(G$310*'Unit Costs'!$C349)-MAX(0,'Custom Table Throw'!$H$8),(G$310*'Unit Costs'!F349)*(MIN(1-'Custom Table Throw'!$F$8,2))))</f>
        <v>0</v>
      </c>
      <c r="H325" s="22">
        <f>MAX(0,IF('Custom Table Throw'!$F$8="",(H$310*'Unit Costs'!$C349)-MAX(0,'Custom Table Throw'!$H$8),(H$310*'Unit Costs'!G349)*(MIN(1-'Custom Table Throw'!$F$8,2))))</f>
        <v>0</v>
      </c>
      <c r="I325" s="205"/>
      <c r="J325" s="9"/>
      <c r="K325" s="9"/>
      <c r="L325" s="9"/>
      <c r="M325" s="9"/>
      <c r="N325" s="9"/>
    </row>
    <row r="326" spans="1:14" ht="15" customHeight="1" x14ac:dyDescent="0.3">
      <c r="A326" s="9"/>
      <c r="B326" s="7" t="s">
        <v>750</v>
      </c>
      <c r="C326" s="9"/>
      <c r="D326" s="22">
        <f>MAX(0,IF('Custom Table Throw'!$F$8="",(H$307*'Unit Costs'!$C350)-MAX(0,'Custom Table Throw'!$H$8),(H$307*'Unit Costs'!D350)*(MIN(1-'Custom Table Throw'!$F$8,2))))</f>
        <v>0</v>
      </c>
      <c r="E326" s="22">
        <f>MAX(0,IF('Custom Table Throw'!$F$8="",(G$307*'Unit Costs'!$C350)-MAX(0,'Custom Table Throw'!$H$8),(G$307*'Unit Costs'!C350)*(MIN(1-'Custom Table Throw'!$F$8,2))))</f>
        <v>0</v>
      </c>
      <c r="F326" s="22">
        <f>MAX(0,IF('Custom Table Throw'!$F$8="",(I$307*'Unit Costs'!$C350)-MAX(0,'Custom Table Throw'!$H$8),(I$307*'Unit Costs'!E350)*(MIN(1-'Custom Table Throw'!$F$8,2))))</f>
        <v>0</v>
      </c>
      <c r="G326" s="22">
        <f>MAX(0,IF('Custom Table Throw'!$F$8="",(G$310*'Unit Costs'!$C350)-MAX(0,'Custom Table Throw'!$H$8),(G$310*'Unit Costs'!F350)*(MIN(1-'Custom Table Throw'!$F$8,2))))</f>
        <v>0</v>
      </c>
      <c r="H326" s="22">
        <f>MAX(0,IF('Custom Table Throw'!$F$8="",(H$310*'Unit Costs'!$C350)-MAX(0,'Custom Table Throw'!$H$8),(H$310*'Unit Costs'!G350)*(MIN(1-'Custom Table Throw'!$F$8,2))))</f>
        <v>0</v>
      </c>
      <c r="I326" s="205"/>
      <c r="J326" s="9"/>
      <c r="K326" s="9"/>
      <c r="L326" s="9"/>
      <c r="M326" s="9"/>
      <c r="N326" s="9"/>
    </row>
    <row r="327" spans="1:14" ht="15" customHeight="1" x14ac:dyDescent="0.3">
      <c r="A327" s="9"/>
      <c r="B327" s="7" t="s">
        <v>751</v>
      </c>
      <c r="C327" s="9"/>
      <c r="D327" s="22">
        <f>MAX(0,IF('Custom Table Throw'!$F$8="",(H$307*'Unit Costs'!$C351)-MAX(0,'Custom Table Throw'!$H$8),(H$307*'Unit Costs'!D351)*(MIN(1-'Custom Table Throw'!$F$8,2))))</f>
        <v>0</v>
      </c>
      <c r="E327" s="22">
        <f>MAX(0,IF('Custom Table Throw'!$F$8="",(G$307*'Unit Costs'!$C351)-MAX(0,'Custom Table Throw'!$H$8),(G$307*'Unit Costs'!C351)*(MIN(1-'Custom Table Throw'!$F$8,2))))</f>
        <v>0</v>
      </c>
      <c r="F327" s="22">
        <f>MAX(0,IF('Custom Table Throw'!$F$8="",(I$307*'Unit Costs'!$C351)-MAX(0,'Custom Table Throw'!$H$8),(I$307*'Unit Costs'!E351)*(MIN(1-'Custom Table Throw'!$F$8,2))))</f>
        <v>0</v>
      </c>
      <c r="G327" s="22">
        <f>MAX(0,IF('Custom Table Throw'!$F$8="",(G$310*'Unit Costs'!$C351)-MAX(0,'Custom Table Throw'!$H$8),(G$310*'Unit Costs'!F351)*(MIN(1-'Custom Table Throw'!$F$8,2))))</f>
        <v>0</v>
      </c>
      <c r="H327" s="22">
        <f>MAX(0,IF('Custom Table Throw'!$F$8="",(H$310*'Unit Costs'!$C351)-MAX(0,'Custom Table Throw'!$H$8),(H$310*'Unit Costs'!G351)*(MIN(1-'Custom Table Throw'!$F$8,2))))</f>
        <v>0</v>
      </c>
      <c r="I327" s="205"/>
      <c r="J327" s="9"/>
      <c r="K327" s="9"/>
      <c r="L327" s="9"/>
      <c r="M327" s="9"/>
      <c r="N327" s="9"/>
    </row>
    <row r="328" spans="1:14" ht="15" customHeight="1" x14ac:dyDescent="0.3">
      <c r="A328" s="9"/>
      <c r="B328" s="7" t="s">
        <v>752</v>
      </c>
      <c r="C328" s="9"/>
      <c r="D328" s="22">
        <f>MAX(0,IF('Custom Table Throw'!$F$8="",(H$307*'Unit Costs'!$C352)-MAX(0,'Custom Table Throw'!$H$8),(H$307*'Unit Costs'!D352)*(MIN(1-'Custom Table Throw'!$F$8,2))))</f>
        <v>0</v>
      </c>
      <c r="E328" s="22">
        <f>MAX(0,IF('Custom Table Throw'!$F$8="",(G$307*'Unit Costs'!$C352)-MAX(0,'Custom Table Throw'!$H$8),(G$307*'Unit Costs'!C352)*(MIN(1-'Custom Table Throw'!$F$8,2))))</f>
        <v>0</v>
      </c>
      <c r="F328" s="22">
        <f>MAX(0,IF('Custom Table Throw'!$F$8="",(I$307*'Unit Costs'!$C352)-MAX(0,'Custom Table Throw'!$H$8),(I$307*'Unit Costs'!E352)*(MIN(1-'Custom Table Throw'!$F$8,2))))</f>
        <v>0</v>
      </c>
      <c r="G328" s="22">
        <f>MAX(0,IF('Custom Table Throw'!$F$8="",(G$310*'Unit Costs'!$C352)-MAX(0,'Custom Table Throw'!$H$8),(G$310*'Unit Costs'!F352)*(MIN(1-'Custom Table Throw'!$F$8,2))))</f>
        <v>0</v>
      </c>
      <c r="H328" s="22">
        <f>MAX(0,IF('Custom Table Throw'!$F$8="",(H$310*'Unit Costs'!$C352)-MAX(0,'Custom Table Throw'!$H$8),(H$310*'Unit Costs'!G352)*(MIN(1-'Custom Table Throw'!$F$8,2))))</f>
        <v>0</v>
      </c>
      <c r="I328" s="205"/>
      <c r="J328" s="9"/>
      <c r="K328" s="9"/>
      <c r="L328" s="9"/>
      <c r="M328" s="9"/>
      <c r="N328" s="9"/>
    </row>
    <row r="329" spans="1:14" ht="15" customHeight="1" x14ac:dyDescent="0.3">
      <c r="A329" s="9"/>
      <c r="B329" s="7" t="s">
        <v>753</v>
      </c>
      <c r="C329" s="9"/>
      <c r="D329" s="22">
        <f>MAX(0,IF('Custom Table Throw'!$F$8="",(H$307*'Unit Costs'!$C353)-MAX(0,'Custom Table Throw'!$H$8),(H$307*'Unit Costs'!D353)*(MIN(1-'Custom Table Throw'!$F$8,2))))</f>
        <v>0</v>
      </c>
      <c r="E329" s="22">
        <f>MAX(0,IF('Custom Table Throw'!$F$8="",(G$307*'Unit Costs'!$C353)-MAX(0,'Custom Table Throw'!$H$8),(G$307*'Unit Costs'!C353)*(MIN(1-'Custom Table Throw'!$F$8,2))))</f>
        <v>0</v>
      </c>
      <c r="F329" s="22">
        <f>MAX(0,IF('Custom Table Throw'!$F$8="",(I$307*'Unit Costs'!$C353)-MAX(0,'Custom Table Throw'!$H$8),(I$307*'Unit Costs'!E353)*(MIN(1-'Custom Table Throw'!$F$8,2))))</f>
        <v>0</v>
      </c>
      <c r="G329" s="22">
        <f>MAX(0,IF('Custom Table Throw'!$F$8="",(G$310*'Unit Costs'!$C353)-MAX(0,'Custom Table Throw'!$H$8),(G$310*'Unit Costs'!F353)*(MIN(1-'Custom Table Throw'!$F$8,2))))</f>
        <v>0</v>
      </c>
      <c r="H329" s="22">
        <f>MAX(0,IF('Custom Table Throw'!$F$8="",(H$310*'Unit Costs'!$C353)-MAX(0,'Custom Table Throw'!$H$8),(H$310*'Unit Costs'!G353)*(MIN(1-'Custom Table Throw'!$F$8,2))))</f>
        <v>0</v>
      </c>
      <c r="I329" s="205"/>
      <c r="J329" s="9"/>
      <c r="K329" s="9"/>
      <c r="L329" s="9"/>
      <c r="M329" s="9"/>
      <c r="N329" s="9"/>
    </row>
    <row r="330" spans="1:14" ht="15" customHeight="1" x14ac:dyDescent="0.3">
      <c r="A330" s="9"/>
      <c r="B330" s="7" t="s">
        <v>754</v>
      </c>
      <c r="C330" s="9"/>
      <c r="D330" s="22">
        <f>MAX(0,IF('Custom Table Throw'!$F$8="",(H$307*'Unit Costs'!$C354)-MAX(0,'Custom Table Throw'!$H$8),(H$307*'Unit Costs'!D354)*(MIN(1-'Custom Table Throw'!$F$8,2))))</f>
        <v>0</v>
      </c>
      <c r="E330" s="22">
        <f>MAX(0,IF('Custom Table Throw'!$F$8="",(G$307*'Unit Costs'!$C354)-MAX(0,'Custom Table Throw'!$H$8),(G$307*'Unit Costs'!C354)*(MIN(1-'Custom Table Throw'!$F$8,2))))</f>
        <v>0</v>
      </c>
      <c r="F330" s="22">
        <f>MAX(0,IF('Custom Table Throw'!$F$8="",(I$307*'Unit Costs'!$C354)-MAX(0,'Custom Table Throw'!$H$8),(I$307*'Unit Costs'!E354)*(MIN(1-'Custom Table Throw'!$F$8,2))))</f>
        <v>0</v>
      </c>
      <c r="G330" s="22">
        <f>MAX(0,IF('Custom Table Throw'!$F$8="",(G$310*'Unit Costs'!$C354)-MAX(0,'Custom Table Throw'!$H$8),(G$310*'Unit Costs'!F354)*(MIN(1-'Custom Table Throw'!$F$8,2))))</f>
        <v>0</v>
      </c>
      <c r="H330" s="22">
        <f>MAX(0,IF('Custom Table Throw'!$F$8="",(H$310*'Unit Costs'!$C354)-MAX(0,'Custom Table Throw'!$H$8),(H$310*'Unit Costs'!G354)*(MIN(1-'Custom Table Throw'!$F$8,2))))</f>
        <v>0</v>
      </c>
      <c r="I330" s="205"/>
      <c r="J330" s="9"/>
      <c r="K330" s="9"/>
      <c r="L330" s="9"/>
      <c r="M330" s="9"/>
      <c r="N330" s="9"/>
    </row>
    <row r="331" spans="1:14" ht="15" customHeight="1" x14ac:dyDescent="0.3">
      <c r="A331" s="9"/>
      <c r="B331" s="7" t="s">
        <v>146</v>
      </c>
      <c r="C331" s="9"/>
      <c r="D331" s="22">
        <f>MAX(0,IF('Custom Table Throw'!$F$8="",(H$307*'Unit Costs'!$C355)-MAX(0,'Custom Table Throw'!$H$8),(H$307*'Unit Costs'!D354)*(MIN(1-'Custom Table Throw'!$F$8,2))))</f>
        <v>0</v>
      </c>
      <c r="E331" s="22">
        <f>MAX(0,IF('Custom Table Throw'!$F$8="",(G$307*'Unit Costs'!$C355)-MAX(0,'Custom Table Throw'!$H$8),(G$307*'Unit Costs'!C355)*(MIN(1-'Custom Table Throw'!$F$8,2))))</f>
        <v>0</v>
      </c>
      <c r="F331" s="22">
        <f>MAX(0,IF('Custom Table Throw'!$F$8="",(I$307*'Unit Costs'!$C355)-MAX(0,'Custom Table Throw'!$H$8),(I$307*'Unit Costs'!E354)*(MIN(1-'Custom Table Throw'!$F$8,2))))</f>
        <v>0</v>
      </c>
      <c r="G331" s="22">
        <f>MAX(0,IF('Custom Table Throw'!$F$8="",(G$310*'Unit Costs'!$C355)-MAX(0,'Custom Table Throw'!$H$8),(G$310*'Unit Costs'!F354)*(MIN(1-'Custom Table Throw'!$F$8,2))))</f>
        <v>0</v>
      </c>
      <c r="H331" s="22">
        <f>MAX(0,IF('Custom Table Throw'!$F$8="",(H$310*'Unit Costs'!$C355)-MAX(0,'Custom Table Throw'!$H$8),(H$310*'Unit Costs'!G354)*(MIN(1-'Custom Table Throw'!$F$8,2))))</f>
        <v>0</v>
      </c>
      <c r="I331" s="205"/>
      <c r="J331" s="9"/>
      <c r="K331" s="9"/>
      <c r="L331" s="9"/>
      <c r="M331" s="9"/>
      <c r="N331" s="9"/>
    </row>
    <row r="332" spans="1:14" ht="15" customHeight="1" x14ac:dyDescent="0.3">
      <c r="A332" s="9"/>
      <c r="B332" s="7" t="s">
        <v>169</v>
      </c>
      <c r="C332" s="9"/>
      <c r="D332" s="22">
        <f>MAX(0,IF('Custom Table Throw'!$F$8="",(H$307*'Unit Costs'!$C356)-MAX(0,'Custom Table Throw'!$H$8),(H$307*'Unit Costs'!D355)*(MIN(1-'Custom Table Throw'!$F$8,2))))</f>
        <v>0</v>
      </c>
      <c r="E332" s="22">
        <f>MAX(0,IF('Custom Table Throw'!$F$8="",(G$307*'Unit Costs'!$C356)-MAX(0,'Custom Table Throw'!$H$8),(G$307*'Unit Costs'!C356)*(MIN(1-'Custom Table Throw'!$F$8,2))))</f>
        <v>0</v>
      </c>
      <c r="F332" s="22">
        <f>MAX(0,IF('Custom Table Throw'!$F$8="",(I$307*'Unit Costs'!$C356)-MAX(0,'Custom Table Throw'!$H$8),(I$307*'Unit Costs'!#REF!)*(MIN(1-'Custom Table Throw'!$F$8,2))))</f>
        <v>0</v>
      </c>
      <c r="G332" s="22">
        <f>MAX(0,IF('Custom Table Throw'!$F$8="",(G$310*'Unit Costs'!$C356)-MAX(0,'Custom Table Throw'!$H$8),(G$310*'Unit Costs'!#REF!)*(MIN(1-'Custom Table Throw'!$F$8,2))))</f>
        <v>0</v>
      </c>
      <c r="H332" s="22">
        <f>MAX(0,IF('Custom Table Throw'!$F$8="",(H$310*'Unit Costs'!$C356)-MAX(0,'Custom Table Throw'!$H$8),(H$310*'Unit Costs'!G355)*(MIN(1-'Custom Table Throw'!$F$8,2))))</f>
        <v>0</v>
      </c>
      <c r="I332" s="205"/>
      <c r="J332" s="9"/>
      <c r="K332" s="9"/>
      <c r="L332" s="9"/>
      <c r="M332" s="9"/>
      <c r="N332" s="9"/>
    </row>
    <row r="333" spans="1:14" ht="15" customHeight="1" x14ac:dyDescent="0.3">
      <c r="A333" s="9"/>
      <c r="B333" s="7"/>
      <c r="C333" s="9"/>
      <c r="D333" s="9"/>
      <c r="E333" s="9"/>
      <c r="F333" s="9"/>
      <c r="G333" s="9"/>
      <c r="H333" s="9"/>
      <c r="I333" s="205"/>
      <c r="J333" s="9"/>
      <c r="K333" s="9"/>
      <c r="L333" s="9"/>
      <c r="M333" s="9"/>
      <c r="N333" s="9"/>
    </row>
    <row r="334" spans="1:14" ht="15" customHeight="1" x14ac:dyDescent="0.3">
      <c r="A334" s="9"/>
      <c r="B334" s="7"/>
      <c r="C334" s="9"/>
      <c r="D334" s="9"/>
      <c r="E334" s="9"/>
      <c r="F334" s="9"/>
      <c r="G334" s="9"/>
      <c r="H334" s="9"/>
      <c r="I334" s="205"/>
      <c r="J334" s="9"/>
      <c r="K334" s="9"/>
      <c r="L334" s="9"/>
      <c r="M334" s="9"/>
      <c r="N334" s="9"/>
    </row>
    <row r="335" spans="1:14" ht="15" customHeight="1" x14ac:dyDescent="0.3">
      <c r="A335" s="9"/>
      <c r="B335" s="7"/>
      <c r="C335" s="9"/>
      <c r="D335" s="9"/>
      <c r="E335" s="9"/>
      <c r="F335" s="9"/>
      <c r="G335" s="9"/>
      <c r="H335" s="9"/>
      <c r="I335" s="205"/>
      <c r="J335" s="9"/>
      <c r="K335" s="9"/>
      <c r="L335" s="9"/>
      <c r="M335" s="9"/>
      <c r="N335" s="9"/>
    </row>
    <row r="336" spans="1:14" ht="15" customHeight="1" x14ac:dyDescent="0.3">
      <c r="A336" s="9"/>
      <c r="B336" s="7"/>
      <c r="C336" s="9"/>
      <c r="D336" s="9"/>
      <c r="E336" s="9"/>
      <c r="F336" s="9"/>
      <c r="G336" s="9"/>
      <c r="H336" s="9"/>
      <c r="I336" s="205"/>
      <c r="J336" s="9"/>
      <c r="K336" s="9"/>
      <c r="L336" s="9"/>
      <c r="M336" s="9"/>
      <c r="N336" s="9"/>
    </row>
    <row r="337" spans="1:31" ht="15" customHeight="1" x14ac:dyDescent="0.3">
      <c r="A337" s="9"/>
      <c r="B337" s="17" t="s">
        <v>454</v>
      </c>
      <c r="C337" s="681"/>
      <c r="D337" s="712">
        <f>IF(OR('Custom Table Throw'!$C$35&lt;=0,'Custom Table Throw'!$C$36&lt;=0,'Custom Table Throw'!$C$35&lt;'Custom Table Throw'!$C$36),0,1-('Custom Table Throw'!$C$36/'Custom Table Throw'!$C$35))</f>
        <v>0</v>
      </c>
      <c r="E337" s="681"/>
      <c r="F337" s="681"/>
      <c r="G337" s="681"/>
      <c r="H337" s="681"/>
      <c r="I337" s="209"/>
    </row>
    <row r="342" spans="1:31" ht="15" customHeight="1" x14ac:dyDescent="0.3">
      <c r="B342" s="18" t="s">
        <v>207</v>
      </c>
      <c r="C342" s="19"/>
      <c r="D342" s="19"/>
      <c r="E342" s="19" t="s">
        <v>158</v>
      </c>
      <c r="F342" s="19"/>
      <c r="G342" s="19"/>
      <c r="H342" s="19"/>
      <c r="I342" s="19"/>
      <c r="J342" s="19"/>
      <c r="K342" s="19"/>
      <c r="L342" s="691"/>
      <c r="Y342" s="9"/>
      <c r="Z342" s="9"/>
      <c r="AA342" s="9"/>
      <c r="AB342" s="9"/>
      <c r="AC342" s="9"/>
      <c r="AD342" s="9"/>
    </row>
    <row r="343" spans="1:31" ht="15" customHeight="1" x14ac:dyDescent="0.3"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205"/>
      <c r="Y343" s="9"/>
      <c r="Z343" s="9"/>
      <c r="AA343" s="9"/>
      <c r="AB343" s="9"/>
      <c r="AC343" s="9"/>
      <c r="AD343" s="9"/>
    </row>
    <row r="344" spans="1:31" ht="15" customHeight="1" x14ac:dyDescent="0.3">
      <c r="B344" s="7"/>
      <c r="C344" s="9"/>
      <c r="D344" s="9"/>
      <c r="E344" s="9"/>
      <c r="F344" s="9"/>
      <c r="G344" s="9"/>
      <c r="H344" s="9"/>
      <c r="I344" s="9"/>
      <c r="J344" s="9" t="s">
        <v>459</v>
      </c>
      <c r="K344" s="9"/>
      <c r="L344" s="205"/>
      <c r="Y344" s="9"/>
      <c r="Z344" s="9"/>
      <c r="AA344" s="9"/>
      <c r="AB344" s="9"/>
      <c r="AC344" s="9"/>
      <c r="AD344" s="9"/>
    </row>
    <row r="345" spans="1:31" ht="15" customHeight="1" x14ac:dyDescent="0.3">
      <c r="B345" s="7" t="s">
        <v>208</v>
      </c>
      <c r="C345" s="9"/>
      <c r="D345" s="9"/>
      <c r="E345" s="9"/>
      <c r="F345" s="9"/>
      <c r="G345" s="9"/>
      <c r="H345" s="9"/>
      <c r="I345" s="9"/>
      <c r="J345" s="22">
        <f>Training!N5</f>
        <v>0</v>
      </c>
      <c r="K345" s="22"/>
      <c r="L345" s="205"/>
      <c r="Y345" s="9"/>
      <c r="Z345" s="9"/>
      <c r="AA345" s="9"/>
      <c r="AB345" s="9"/>
      <c r="AC345" s="9"/>
      <c r="AD345" s="9"/>
    </row>
    <row r="346" spans="1:31" ht="15" customHeight="1" x14ac:dyDescent="0.3">
      <c r="B346" s="669">
        <f>MAX(0,Training!$F$6)</f>
        <v>0</v>
      </c>
      <c r="C346" s="9"/>
      <c r="D346" s="9"/>
      <c r="E346" s="9"/>
      <c r="F346" s="674"/>
      <c r="G346" s="9"/>
      <c r="H346" s="9"/>
      <c r="I346" s="9"/>
      <c r="J346" s="22">
        <f>Training!N6</f>
        <v>0</v>
      </c>
      <c r="K346" s="9"/>
      <c r="L346" s="205"/>
      <c r="Y346" s="9"/>
      <c r="Z346" s="9"/>
      <c r="AA346" s="9"/>
      <c r="AB346" s="9"/>
      <c r="AC346" s="9"/>
      <c r="AE346" s="9"/>
    </row>
    <row r="347" spans="1:31" ht="15" customHeight="1" x14ac:dyDescent="0.3">
      <c r="B347" s="669">
        <f>MAX(0,Training!$F$7)</f>
        <v>0</v>
      </c>
      <c r="C347" s="9"/>
      <c r="D347" s="9"/>
      <c r="E347" s="9"/>
      <c r="F347" s="9"/>
      <c r="G347" s="9"/>
      <c r="H347" s="9"/>
      <c r="I347" s="9"/>
      <c r="J347" s="673">
        <f>IF(OR(Training!$N$5&lt;=0,Training!$N$6&lt;=0,Training!$N$5&lt;Training!$N$6),0,1-(Training!$N$6/Training!$N$5))</f>
        <v>0</v>
      </c>
      <c r="K347" s="9"/>
      <c r="L347" s="205"/>
      <c r="Y347" s="9"/>
      <c r="Z347" s="9"/>
      <c r="AA347" s="9"/>
      <c r="AB347" s="9"/>
      <c r="AC347" s="9"/>
      <c r="AE347" s="9"/>
    </row>
    <row r="348" spans="1:31" ht="15" customHeight="1" x14ac:dyDescent="0.3">
      <c r="B348" s="689">
        <f>MAX(0,Training!$F$8)</f>
        <v>0</v>
      </c>
      <c r="C348" s="658"/>
      <c r="D348" s="9"/>
      <c r="E348" s="674"/>
      <c r="F348" s="9"/>
      <c r="G348" s="9"/>
      <c r="H348" s="9"/>
      <c r="I348" s="9"/>
      <c r="J348" s="9"/>
      <c r="K348" s="9"/>
      <c r="L348" s="205"/>
      <c r="Y348" s="9"/>
      <c r="Z348" s="9"/>
      <c r="AA348" s="9"/>
      <c r="AB348" s="9"/>
      <c r="AC348" s="9"/>
      <c r="AD348" s="9"/>
      <c r="AE348" s="9"/>
    </row>
    <row r="349" spans="1:31" ht="15" customHeight="1" x14ac:dyDescent="0.3">
      <c r="B349" s="714" t="str">
        <f>CONCATENATE(ROUND($B$346*$B$347,4), " sq. in.")</f>
        <v>0 sq. in.</v>
      </c>
      <c r="C349" s="658"/>
      <c r="D349" s="9"/>
      <c r="E349" s="9"/>
      <c r="F349" s="9"/>
      <c r="G349" s="9"/>
      <c r="H349" s="9"/>
      <c r="I349" s="9"/>
      <c r="J349" s="9"/>
      <c r="K349" s="9"/>
      <c r="L349" s="205"/>
      <c r="Y349" s="9"/>
      <c r="Z349" s="9"/>
      <c r="AA349" s="9"/>
      <c r="AB349" s="9"/>
      <c r="AC349" s="9"/>
      <c r="AD349" s="9"/>
      <c r="AE349" s="9"/>
    </row>
    <row r="350" spans="1:31" ht="15" customHeight="1" x14ac:dyDescent="0.3">
      <c r="B350" s="657" t="str">
        <f>CONCATENATE(ROUND(($B$346*$B$347)/144,4), " sq. ft.")</f>
        <v>0 sq. ft.</v>
      </c>
      <c r="C350" s="658"/>
      <c r="D350" s="9"/>
      <c r="E350" s="9"/>
      <c r="F350" s="9"/>
      <c r="G350" s="9"/>
      <c r="H350" s="9"/>
      <c r="I350" s="9"/>
      <c r="J350" s="9" t="s">
        <v>155</v>
      </c>
      <c r="K350" s="9"/>
      <c r="L350" s="205"/>
      <c r="Y350" s="9"/>
      <c r="Z350" s="9"/>
      <c r="AA350" s="9"/>
      <c r="AB350" s="9"/>
      <c r="AC350" s="9"/>
      <c r="AD350" s="9"/>
      <c r="AE350" s="9"/>
    </row>
    <row r="351" spans="1:31" ht="15" customHeight="1" x14ac:dyDescent="0.3">
      <c r="B351" s="715">
        <f>(($B$346*$B$347)/144)*$B$348</f>
        <v>0</v>
      </c>
      <c r="C351" s="9"/>
      <c r="D351" s="9"/>
      <c r="E351" s="9"/>
      <c r="F351" s="9"/>
      <c r="G351" s="9"/>
      <c r="H351" s="9"/>
      <c r="I351" s="9"/>
      <c r="J351" s="670">
        <f>MAX(0,Training!$N$11)</f>
        <v>0</v>
      </c>
      <c r="K351" s="9"/>
      <c r="L351" s="205"/>
      <c r="Y351" s="9"/>
      <c r="Z351" s="9"/>
      <c r="AA351" s="9"/>
      <c r="AB351" s="9"/>
      <c r="AC351" s="9"/>
      <c r="AD351" s="9"/>
      <c r="AE351" s="9"/>
    </row>
    <row r="352" spans="1:31" ht="15" customHeight="1" x14ac:dyDescent="0.3">
      <c r="B352" s="7"/>
      <c r="C352" s="9"/>
      <c r="D352" s="9"/>
      <c r="E352" s="674"/>
      <c r="F352" s="9"/>
      <c r="G352" s="9"/>
      <c r="H352" s="9"/>
      <c r="I352" s="9"/>
      <c r="J352" s="670">
        <f>MAX(0,Training!$N$12)</f>
        <v>0</v>
      </c>
      <c r="K352" s="9"/>
      <c r="L352" s="205"/>
      <c r="Y352" s="9"/>
      <c r="Z352" s="9"/>
      <c r="AA352" s="9"/>
      <c r="AB352" s="9"/>
      <c r="AC352" s="9"/>
      <c r="AD352" s="9"/>
      <c r="AE352" s="9"/>
    </row>
    <row r="353" spans="2:31" ht="15" customHeight="1" x14ac:dyDescent="0.3">
      <c r="B353" s="7"/>
      <c r="C353" s="9" t="s">
        <v>480</v>
      </c>
      <c r="D353" s="9"/>
      <c r="E353" s="9"/>
      <c r="F353" s="9"/>
      <c r="G353" s="9"/>
      <c r="H353" s="9"/>
      <c r="I353" s="9"/>
      <c r="J353" s="22">
        <f>MAX(0,Training!$N$13)</f>
        <v>0</v>
      </c>
      <c r="K353" s="9"/>
      <c r="L353" s="205"/>
      <c r="Y353" s="9"/>
      <c r="Z353" s="9"/>
      <c r="AA353" s="9"/>
      <c r="AB353" s="9"/>
      <c r="AC353" s="9"/>
      <c r="AD353" s="9"/>
      <c r="AE353" s="9"/>
    </row>
    <row r="354" spans="2:31" ht="15" customHeight="1" x14ac:dyDescent="0.3">
      <c r="B354" s="7"/>
      <c r="C354" s="670">
        <f>MAX(0,Training!$G$14)</f>
        <v>0</v>
      </c>
      <c r="D354" s="9"/>
      <c r="E354" s="9"/>
      <c r="F354" s="9"/>
      <c r="G354" s="9"/>
      <c r="H354" s="9"/>
      <c r="I354" s="9"/>
      <c r="J354" s="658" t="str">
        <f>CONCATENATE(ROUND($J$351,3), """ x ",ROUND(IF($J$352+0.5=0.5,0,$J$352+0.5),3),"""")</f>
        <v>0" x 0"</v>
      </c>
      <c r="K354" s="9"/>
      <c r="L354" s="205"/>
      <c r="Y354" s="9"/>
      <c r="Z354" s="9"/>
      <c r="AA354" s="9"/>
      <c r="AB354" s="9"/>
      <c r="AC354" s="9"/>
      <c r="AD354" s="9"/>
      <c r="AE354" s="9"/>
    </row>
    <row r="355" spans="2:31" ht="15" customHeight="1" x14ac:dyDescent="0.3">
      <c r="B355" s="7"/>
      <c r="C355" s="670">
        <f>MAX(0,Training!$G$15)</f>
        <v>0</v>
      </c>
      <c r="D355" s="9"/>
      <c r="E355" s="9"/>
      <c r="F355" s="9"/>
      <c r="G355" s="9"/>
      <c r="H355" s="9"/>
      <c r="I355" s="9"/>
      <c r="J355" s="658" t="str">
        <f>CONCATENATE(ROUND(IF($J$351*($J$352+0.5)=$J$351*0.5,0,$J$351*($J$352+0.5)),2), " sq. in.")</f>
        <v>0 sq. in.</v>
      </c>
      <c r="K355" s="9"/>
      <c r="L355" s="205"/>
      <c r="Y355" s="9"/>
      <c r="Z355" s="9"/>
      <c r="AA355" s="9"/>
      <c r="AB355" s="9"/>
      <c r="AC355" s="9"/>
      <c r="AD355" s="9"/>
      <c r="AE355" s="9"/>
    </row>
    <row r="356" spans="2:31" ht="15" customHeight="1" x14ac:dyDescent="0.3">
      <c r="B356" s="7"/>
      <c r="C356" s="671">
        <f>MAX(0,Training!$G$16)</f>
        <v>0</v>
      </c>
      <c r="D356" s="9"/>
      <c r="E356" s="9"/>
      <c r="F356" s="9"/>
      <c r="G356" s="9"/>
      <c r="H356" s="9"/>
      <c r="I356" s="9"/>
      <c r="J356" s="658" t="str">
        <f>CONCATENATE(ROUND(IF((($J$351)*($J$352+0.5))/144=(($J$351*0.5)/144),0,(($J$351)*($J$352+0.5))/144),2)," sq. ft.")</f>
        <v>0 sq. ft.</v>
      </c>
      <c r="K356" s="9"/>
      <c r="L356" s="205"/>
      <c r="Y356" s="9"/>
      <c r="Z356" s="9"/>
      <c r="AA356" s="9"/>
      <c r="AB356" s="9"/>
      <c r="AC356" s="9"/>
      <c r="AD356" s="9"/>
      <c r="AE356" s="9"/>
    </row>
    <row r="357" spans="2:31" ht="15" customHeight="1" x14ac:dyDescent="0.3">
      <c r="B357" s="7"/>
      <c r="C357" s="716" t="str">
        <f>CONCATENATE(ROUND(MAX(0,$C$354*$C$355),2), " sq. mm")</f>
        <v>0 sq. mm</v>
      </c>
      <c r="D357" s="9"/>
      <c r="E357" s="9"/>
      <c r="F357" s="9"/>
      <c r="G357" s="9"/>
      <c r="H357" s="9"/>
      <c r="I357" s="9"/>
      <c r="J357" s="22">
        <f>IF($J$352=0,0,($J$351*($J$352+0.5)/144)*$J$353)</f>
        <v>0</v>
      </c>
      <c r="K357" s="9"/>
      <c r="L357" s="205"/>
      <c r="Y357" s="9"/>
      <c r="Z357" s="9"/>
      <c r="AA357" s="9"/>
      <c r="AB357" s="9"/>
      <c r="AC357" s="9"/>
      <c r="AD357" s="9"/>
      <c r="AE357" s="9"/>
    </row>
    <row r="358" spans="2:31" ht="15" customHeight="1" x14ac:dyDescent="0.3">
      <c r="B358" s="7"/>
      <c r="C358" s="658" t="str">
        <f>CONCATENATE(ROUND((MAX(0,$C$354*$C$355)*0.0107639),2), " sq. ft.")</f>
        <v>0 sq. ft.</v>
      </c>
      <c r="D358" s="9"/>
      <c r="E358" s="9" t="s">
        <v>158</v>
      </c>
      <c r="F358" s="9"/>
      <c r="G358" s="9"/>
      <c r="H358" s="9"/>
      <c r="I358" s="9"/>
      <c r="J358" s="9"/>
      <c r="K358" s="9"/>
      <c r="L358" s="205"/>
      <c r="Y358" s="9"/>
      <c r="Z358" s="9"/>
      <c r="AA358" s="9"/>
      <c r="AB358" s="9"/>
      <c r="AC358" s="9"/>
      <c r="AD358" s="9"/>
      <c r="AE358" s="9"/>
    </row>
    <row r="359" spans="2:31" ht="15" customHeight="1" x14ac:dyDescent="0.3">
      <c r="B359" s="7"/>
      <c r="C359" s="671">
        <f>MAX(0,(($C$354*$C$355)*0.00107639)*$C$356)</f>
        <v>0</v>
      </c>
      <c r="D359" s="9"/>
      <c r="E359" s="9"/>
      <c r="F359" s="9"/>
      <c r="G359" s="9"/>
      <c r="H359" s="9"/>
      <c r="I359" s="9"/>
      <c r="J359" s="9"/>
      <c r="K359" s="9"/>
      <c r="L359" s="205"/>
      <c r="Y359" s="9"/>
      <c r="Z359" s="9"/>
      <c r="AA359" s="9"/>
      <c r="AB359" s="9"/>
      <c r="AC359" s="9"/>
      <c r="AD359" s="9"/>
      <c r="AE359" s="9"/>
    </row>
    <row r="360" spans="2:31" ht="15" customHeight="1" x14ac:dyDescent="0.3">
      <c r="B360" s="7"/>
      <c r="C360" s="9"/>
      <c r="D360" s="9"/>
      <c r="E360" s="9"/>
      <c r="F360" s="9"/>
      <c r="G360" s="9"/>
      <c r="H360" s="9"/>
      <c r="I360" s="9"/>
      <c r="J360" s="9" t="s">
        <v>209</v>
      </c>
      <c r="K360" s="9"/>
      <c r="L360" s="205"/>
      <c r="Y360" s="9"/>
      <c r="Z360" s="9"/>
      <c r="AA360" s="9"/>
      <c r="AB360" s="9"/>
      <c r="AC360" s="9"/>
      <c r="AD360" s="9"/>
      <c r="AE360" s="9"/>
    </row>
    <row r="361" spans="2:31" ht="15" customHeight="1" x14ac:dyDescent="0.3">
      <c r="B361" s="7" t="s">
        <v>210</v>
      </c>
      <c r="C361" s="9"/>
      <c r="D361" s="9"/>
      <c r="E361" s="9"/>
      <c r="F361" s="9"/>
      <c r="G361" s="9"/>
      <c r="H361" s="9"/>
      <c r="I361" s="9"/>
      <c r="J361" s="670">
        <f>MAX(0,Training!$N$21)</f>
        <v>0</v>
      </c>
      <c r="K361" s="9"/>
      <c r="L361" s="205"/>
      <c r="Y361" s="9"/>
      <c r="Z361" s="9"/>
      <c r="AA361" s="9"/>
      <c r="AB361" s="9"/>
      <c r="AC361" s="9"/>
      <c r="AD361" s="9"/>
      <c r="AE361" s="9"/>
    </row>
    <row r="362" spans="2:31" ht="15" customHeight="1" x14ac:dyDescent="0.3">
      <c r="B362" s="669">
        <f>MAX(0,Training!$F$22)</f>
        <v>0</v>
      </c>
      <c r="C362" s="9"/>
      <c r="D362" s="9"/>
      <c r="E362" s="9"/>
      <c r="F362" s="9"/>
      <c r="G362" s="9"/>
      <c r="H362" s="9"/>
      <c r="I362" s="9"/>
      <c r="J362" s="670">
        <f>MAX(0,Training!$N$22)</f>
        <v>0</v>
      </c>
      <c r="K362" s="9"/>
      <c r="L362" s="205"/>
      <c r="Y362" s="9"/>
      <c r="Z362" s="9"/>
      <c r="AA362" s="9"/>
      <c r="AB362" s="9"/>
      <c r="AC362" s="9"/>
      <c r="AD362" s="9"/>
      <c r="AE362" s="9"/>
    </row>
    <row r="363" spans="2:31" ht="15" customHeight="1" x14ac:dyDescent="0.3">
      <c r="B363" s="669">
        <f>MAX(0,Training!$F$23)</f>
        <v>0</v>
      </c>
      <c r="C363" s="9"/>
      <c r="D363" s="9"/>
      <c r="E363" s="9"/>
      <c r="F363" s="9"/>
      <c r="G363" s="9"/>
      <c r="H363" s="9"/>
      <c r="I363" s="9"/>
      <c r="J363" s="717">
        <f>MAX(0,Training!$N$23)</f>
        <v>0</v>
      </c>
      <c r="K363" s="9"/>
      <c r="L363" s="205"/>
      <c r="Y363" s="9"/>
      <c r="Z363" s="9"/>
      <c r="AA363" s="9"/>
      <c r="AB363" s="9"/>
      <c r="AC363" s="9"/>
      <c r="AD363" s="9"/>
      <c r="AE363" s="9"/>
    </row>
    <row r="364" spans="2:31" ht="15" customHeight="1" x14ac:dyDescent="0.3">
      <c r="B364" s="689">
        <f>MAX(0,Training!$F$24)</f>
        <v>0</v>
      </c>
      <c r="C364" s="9"/>
      <c r="D364" s="9"/>
      <c r="E364" s="9"/>
      <c r="F364" s="9"/>
      <c r="G364" s="9"/>
      <c r="H364" s="9"/>
      <c r="I364" s="9"/>
      <c r="J364" s="671">
        <f>MAX(0,Training!$N$24)</f>
        <v>0</v>
      </c>
      <c r="K364" s="9"/>
      <c r="L364" s="205"/>
      <c r="Y364" s="9"/>
      <c r="Z364" s="9"/>
      <c r="AA364" s="9"/>
      <c r="AB364" s="9"/>
      <c r="AC364" s="9"/>
      <c r="AD364" s="9"/>
      <c r="AE364" s="9"/>
    </row>
    <row r="365" spans="2:31" ht="15" customHeight="1" x14ac:dyDescent="0.3">
      <c r="B365" s="714" t="str">
        <f>CONCATENATE(ROUND($B$362*$B$363,2), " sq. ft.")</f>
        <v>0 sq. ft.</v>
      </c>
      <c r="C365" s="9"/>
      <c r="D365" s="9"/>
      <c r="E365" s="9"/>
      <c r="F365" s="9"/>
      <c r="G365" s="9"/>
      <c r="H365" s="9"/>
      <c r="I365" s="9"/>
      <c r="J365" s="658" t="str">
        <f>CONCATENATE(ROUND($J$361,3), """ x ",ROUND(IF($J$362=0,0,IF($J$363+0.5=0.5,$J$362,$J$362+$J$363+0.5)),3),"""")</f>
        <v>0" x 0"</v>
      </c>
      <c r="K365" s="9"/>
      <c r="L365" s="205"/>
      <c r="Y365" s="9"/>
      <c r="Z365" s="9"/>
      <c r="AA365" s="9"/>
      <c r="AB365" s="9"/>
      <c r="AC365" s="9"/>
      <c r="AD365" s="9"/>
      <c r="AE365" s="9"/>
    </row>
    <row r="366" spans="2:31" ht="15" customHeight="1" x14ac:dyDescent="0.3">
      <c r="B366" s="657" t="str">
        <f>CONCATENATE(ROUND(($B$362*$B$363)*144,2), " sq. in.")</f>
        <v>0 sq. in.</v>
      </c>
      <c r="C366" s="9"/>
      <c r="D366" s="9"/>
      <c r="E366" s="9"/>
      <c r="F366" s="9"/>
      <c r="G366" s="9"/>
      <c r="H366" s="9"/>
      <c r="I366" s="9"/>
      <c r="J366" s="658" t="str">
        <f>CONCATENATE(ROUND(IF($J$363+0.5=0.5,$J$361*$J$362,$J$361*($J$362+$J$363+0.5)),2), " sq. in.")</f>
        <v>0 sq. in.</v>
      </c>
      <c r="K366" s="9"/>
      <c r="L366" s="205"/>
      <c r="Y366" s="9"/>
      <c r="Z366" s="9"/>
      <c r="AA366" s="9"/>
      <c r="AB366" s="9"/>
      <c r="AC366" s="9"/>
      <c r="AD366" s="9"/>
      <c r="AE366" s="9"/>
    </row>
    <row r="367" spans="2:31" ht="15" customHeight="1" x14ac:dyDescent="0.3">
      <c r="B367" s="689">
        <f>(($B$362*$B$363)*144)*$B$364</f>
        <v>0</v>
      </c>
      <c r="C367" s="9"/>
      <c r="D367" s="9"/>
      <c r="E367" s="9"/>
      <c r="F367" s="9"/>
      <c r="G367" s="9"/>
      <c r="H367" s="9"/>
      <c r="I367" s="9"/>
      <c r="J367" s="658" t="str">
        <f>CONCATENATE(ROUND(IF($J$363+0.5=0.5,($J$361*$J$362)/144,($J$361*($J$362+$J$363+0.5))/144),2), " sq. ft.")</f>
        <v>0 sq. ft.</v>
      </c>
      <c r="K367" s="9"/>
      <c r="L367" s="205"/>
      <c r="Y367" s="9"/>
      <c r="Z367" s="9"/>
      <c r="AA367" s="9"/>
      <c r="AB367" s="9"/>
      <c r="AC367" s="9"/>
      <c r="AD367" s="9"/>
      <c r="AE367" s="9"/>
    </row>
    <row r="368" spans="2:31" ht="15" customHeight="1" x14ac:dyDescent="0.3">
      <c r="B368" s="657"/>
      <c r="C368" s="9"/>
      <c r="D368" s="9"/>
      <c r="E368" s="9" t="s">
        <v>158</v>
      </c>
      <c r="F368" s="9"/>
      <c r="G368" s="9"/>
      <c r="H368" s="9"/>
      <c r="I368" s="9"/>
      <c r="J368" s="22">
        <f>IF($J$363+0.5=0.5,(($J$361*$J$362)/144)*$J$364,(($J$361*($J$362+$J$363+0.5))/144)*$J$364)</f>
        <v>0</v>
      </c>
      <c r="K368" s="9"/>
      <c r="L368" s="205"/>
      <c r="Y368" s="9"/>
      <c r="Z368" s="9"/>
      <c r="AA368" s="9"/>
      <c r="AB368" s="9"/>
      <c r="AC368" s="9"/>
      <c r="AD368" s="9"/>
      <c r="AE368" s="9"/>
    </row>
    <row r="369" spans="2:31" ht="15" customHeight="1" x14ac:dyDescent="0.3">
      <c r="B369" s="7"/>
      <c r="C369" s="9" t="s">
        <v>481</v>
      </c>
      <c r="D369" s="9"/>
      <c r="E369" s="9"/>
      <c r="F369" s="9"/>
      <c r="G369" s="9"/>
      <c r="H369" s="9"/>
      <c r="I369" s="9"/>
      <c r="J369" s="9"/>
      <c r="K369" s="9"/>
      <c r="L369" s="205"/>
      <c r="Y369" s="9"/>
      <c r="Z369" s="9"/>
      <c r="AA369" s="9"/>
      <c r="AB369" s="9"/>
      <c r="AC369" s="9"/>
      <c r="AD369" s="9"/>
      <c r="AE369" s="9"/>
    </row>
    <row r="370" spans="2:31" ht="15" customHeight="1" x14ac:dyDescent="0.3">
      <c r="B370" s="7"/>
      <c r="C370" s="670">
        <f>MAX(0,Training!$G$30)</f>
        <v>0</v>
      </c>
      <c r="D370" s="9"/>
      <c r="E370" s="9"/>
      <c r="F370" s="9"/>
      <c r="G370" s="9"/>
      <c r="H370" s="9"/>
      <c r="I370" s="9"/>
      <c r="J370" s="9"/>
      <c r="K370" s="9"/>
      <c r="L370" s="205"/>
      <c r="Y370" s="9"/>
      <c r="Z370" s="9"/>
      <c r="AA370" s="9"/>
      <c r="AB370" s="9"/>
      <c r="AC370" s="9"/>
      <c r="AD370" s="9"/>
      <c r="AE370" s="9"/>
    </row>
    <row r="371" spans="2:31" ht="15" customHeight="1" x14ac:dyDescent="0.3">
      <c r="B371" s="7"/>
      <c r="C371" s="670">
        <f>MAX(0,Training!$G$31)</f>
        <v>0</v>
      </c>
      <c r="D371" s="9"/>
      <c r="E371" s="9"/>
      <c r="F371" s="9"/>
      <c r="G371" s="9"/>
      <c r="H371" s="9"/>
      <c r="I371" s="9"/>
      <c r="J371" s="9" t="s">
        <v>211</v>
      </c>
      <c r="K371" s="9"/>
      <c r="L371" s="205"/>
      <c r="Y371" s="9"/>
      <c r="Z371" s="9"/>
      <c r="AA371" s="9"/>
      <c r="AB371" s="9"/>
      <c r="AC371" s="9"/>
      <c r="AD371" s="9"/>
      <c r="AE371" s="9"/>
    </row>
    <row r="372" spans="2:31" ht="15" customHeight="1" x14ac:dyDescent="0.3">
      <c r="B372" s="7"/>
      <c r="C372" s="671">
        <f>MAX(0,Training!$G$32)</f>
        <v>0</v>
      </c>
      <c r="D372" s="9"/>
      <c r="E372" s="9"/>
      <c r="F372" s="9"/>
      <c r="G372" s="9"/>
      <c r="H372" s="9"/>
      <c r="I372" s="9"/>
      <c r="J372" s="670">
        <f>MAX(0,Training!$N$32)</f>
        <v>0</v>
      </c>
      <c r="K372" s="9"/>
      <c r="L372" s="205"/>
      <c r="Y372" s="9"/>
      <c r="Z372" s="9"/>
      <c r="AA372" s="9"/>
      <c r="AB372" s="9"/>
      <c r="AC372" s="9"/>
      <c r="AD372" s="9"/>
      <c r="AE372" s="9"/>
    </row>
    <row r="373" spans="2:31" ht="15" customHeight="1" x14ac:dyDescent="0.3">
      <c r="B373" s="7"/>
      <c r="C373" s="716" t="str">
        <f>CONCATENATE(ROUND($C$370*$C$371,2), " sq. mm")</f>
        <v>0 sq. mm</v>
      </c>
      <c r="D373" s="9"/>
      <c r="E373" s="9"/>
      <c r="F373" s="9"/>
      <c r="G373" s="9"/>
      <c r="H373" s="9"/>
      <c r="I373" s="9"/>
      <c r="J373" s="670">
        <f>MAX(0,Training!$N$33)</f>
        <v>0</v>
      </c>
      <c r="K373" s="9"/>
      <c r="L373" s="205"/>
      <c r="Y373" s="9"/>
      <c r="Z373" s="9"/>
      <c r="AA373" s="9"/>
      <c r="AB373" s="9"/>
      <c r="AC373" s="9"/>
      <c r="AD373" s="9"/>
      <c r="AE373" s="9"/>
    </row>
    <row r="374" spans="2:31" ht="15" customHeight="1" x14ac:dyDescent="0.3">
      <c r="B374" s="7"/>
      <c r="C374" s="658" t="str">
        <f>CONCATENATE(ROUND(($C$370*$C$371)*1.55,2), " sq. in.")</f>
        <v>0 sq. in.</v>
      </c>
      <c r="D374" s="9"/>
      <c r="E374" s="9"/>
      <c r="F374" s="9"/>
      <c r="G374" s="9"/>
      <c r="H374" s="9"/>
      <c r="I374" s="9"/>
      <c r="J374" s="670">
        <f>MAX(0,Training!$N$34)</f>
        <v>0</v>
      </c>
      <c r="K374" s="9"/>
      <c r="L374" s="205"/>
      <c r="Y374" s="9"/>
      <c r="Z374" s="9"/>
      <c r="AA374" s="9"/>
      <c r="AB374" s="9"/>
      <c r="AC374" s="9"/>
      <c r="AD374" s="9"/>
      <c r="AE374" s="9"/>
    </row>
    <row r="375" spans="2:31" ht="15" customHeight="1" x14ac:dyDescent="0.3">
      <c r="B375" s="7"/>
      <c r="C375" s="671">
        <f>(($C$370*$C$371)/144)*$C$372</f>
        <v>0</v>
      </c>
      <c r="D375" s="9"/>
      <c r="E375" s="9"/>
      <c r="F375" s="9"/>
      <c r="G375" s="9"/>
      <c r="H375" s="9"/>
      <c r="I375" s="9"/>
      <c r="J375" s="671">
        <f>MAX(0,Training!$N$35)</f>
        <v>0</v>
      </c>
      <c r="K375" s="9"/>
      <c r="L375" s="205"/>
      <c r="Y375" s="9"/>
      <c r="Z375" s="9"/>
      <c r="AA375" s="9"/>
      <c r="AB375" s="9"/>
      <c r="AC375" s="9"/>
      <c r="AD375" s="9"/>
      <c r="AE375" s="9"/>
    </row>
    <row r="376" spans="2:31" ht="15" customHeight="1" x14ac:dyDescent="0.3">
      <c r="B376" s="7"/>
      <c r="C376" s="9"/>
      <c r="D376" s="9"/>
      <c r="E376" s="9" t="s">
        <v>158</v>
      </c>
      <c r="F376" s="9"/>
      <c r="G376" s="9"/>
      <c r="H376" s="9"/>
      <c r="I376" s="9"/>
      <c r="J376" s="658" t="str">
        <f>CONCATENATE(ROUND($J$372,3), """ x ",ROUND(IF($J$373=0,0,IF($J$374+0.5=0.5,$J$373,$J$373+($J$374*2)+0.5)),3),"""")</f>
        <v>0" x 0"</v>
      </c>
      <c r="K376" s="9"/>
      <c r="L376" s="205"/>
      <c r="Y376" s="9"/>
      <c r="Z376" s="9"/>
      <c r="AA376" s="9"/>
      <c r="AB376" s="9"/>
      <c r="AC376" s="9"/>
      <c r="AD376" s="9"/>
      <c r="AE376" s="9"/>
    </row>
    <row r="377" spans="2:31" ht="15" customHeight="1" x14ac:dyDescent="0.3">
      <c r="B377" s="7"/>
      <c r="C377" s="9"/>
      <c r="D377" s="9"/>
      <c r="E377" s="9"/>
      <c r="F377" s="9"/>
      <c r="G377" s="9"/>
      <c r="H377" s="9"/>
      <c r="I377" s="9"/>
      <c r="J377" s="658" t="str">
        <f>CONCATENATE(ROUND(IF($J$374+0.5=0.5,$J$372*$J$373,$J$372*($J$373+($J$374*2)+0.5)),2), " sq. in.")</f>
        <v>0 sq. in.</v>
      </c>
      <c r="K377" s="9"/>
      <c r="L377" s="205"/>
      <c r="Y377" s="9"/>
      <c r="Z377" s="9"/>
      <c r="AA377" s="9"/>
      <c r="AB377" s="9"/>
      <c r="AC377" s="9"/>
      <c r="AD377" s="9"/>
      <c r="AE377" s="9"/>
    </row>
    <row r="378" spans="2:31" ht="15" customHeight="1" x14ac:dyDescent="0.3">
      <c r="B378" s="7"/>
      <c r="C378" s="9" t="s">
        <v>406</v>
      </c>
      <c r="D378" s="9"/>
      <c r="E378" s="9"/>
      <c r="F378" s="9"/>
      <c r="G378" s="9"/>
      <c r="H378" s="9"/>
      <c r="I378" s="9"/>
      <c r="J378" s="658" t="str">
        <f>CONCATENATE(ROUND(IF($J$374+0.5=0.5,($J$372*$J$373)/144,($J$372*($J$373+($J$374*2)+0.5))/144),2), " sq. ft.")</f>
        <v>0 sq. ft.</v>
      </c>
      <c r="K378" s="9"/>
      <c r="L378" s="205"/>
      <c r="Y378" s="9"/>
      <c r="Z378" s="9"/>
      <c r="AA378" s="9"/>
      <c r="AB378" s="9"/>
      <c r="AC378" s="9"/>
      <c r="AD378" s="9"/>
      <c r="AE378" s="9"/>
    </row>
    <row r="379" spans="2:31" ht="15" customHeight="1" x14ac:dyDescent="0.3">
      <c r="B379" s="7"/>
      <c r="C379" s="670">
        <f>MAX(0,Training!$G$39)</f>
        <v>0</v>
      </c>
      <c r="D379" s="9"/>
      <c r="E379" s="9"/>
      <c r="F379" s="9"/>
      <c r="G379" s="9"/>
      <c r="H379" s="9"/>
      <c r="I379" s="9"/>
      <c r="J379" s="671">
        <f>IF($J$374+0.5=0.5,(($J$372*$J$373)/144)*$J$375,(($J$372*($J$373+($J$374*2)+0.5))/144))*$J$375</f>
        <v>0</v>
      </c>
      <c r="K379" s="9"/>
      <c r="L379" s="205"/>
      <c r="Y379" s="9"/>
      <c r="Z379" s="9"/>
      <c r="AA379" s="9"/>
      <c r="AB379" s="9"/>
      <c r="AC379" s="9"/>
      <c r="AD379" s="9"/>
      <c r="AE379" s="9"/>
    </row>
    <row r="380" spans="2:31" ht="15" customHeight="1" x14ac:dyDescent="0.3">
      <c r="B380" s="7"/>
      <c r="C380" s="670">
        <f>MAX(0,Training!$G$40)</f>
        <v>0</v>
      </c>
      <c r="D380" s="9"/>
      <c r="E380" s="9"/>
      <c r="F380" s="9"/>
      <c r="G380" s="9"/>
      <c r="H380" s="9"/>
      <c r="I380" s="9"/>
      <c r="J380" s="9"/>
      <c r="K380" s="9"/>
      <c r="L380" s="205"/>
      <c r="Y380" s="9"/>
      <c r="Z380" s="9"/>
      <c r="AA380" s="9"/>
      <c r="AB380" s="9"/>
      <c r="AC380" s="9"/>
      <c r="AD380" s="9"/>
      <c r="AE380" s="9"/>
    </row>
    <row r="381" spans="2:31" ht="15" customHeight="1" x14ac:dyDescent="0.3">
      <c r="B381" s="7"/>
      <c r="C381" s="658" t="str">
        <f>CONCATENATE(IF($C$379=0,0,ROUND(MAX(0,$C$379+0.986),3)), """ x ",IF($C$380=0,0,ROUND(MAX(0,$C$380+0.986),3)),"""")</f>
        <v>0" x 0"</v>
      </c>
      <c r="D381" s="9"/>
      <c r="E381" s="9"/>
      <c r="F381" s="9"/>
      <c r="G381" s="9"/>
      <c r="H381" s="9"/>
      <c r="I381" s="9"/>
      <c r="J381" s="9"/>
      <c r="K381" s="9"/>
      <c r="L381" s="205"/>
      <c r="Y381" s="9"/>
      <c r="Z381" s="9"/>
      <c r="AA381" s="9"/>
      <c r="AB381" s="9"/>
      <c r="AC381" s="9"/>
      <c r="AD381" s="9"/>
      <c r="AE381" s="9"/>
    </row>
    <row r="382" spans="2:31" ht="15" customHeight="1" x14ac:dyDescent="0.3">
      <c r="B382" s="7"/>
      <c r="C382" s="9"/>
      <c r="D382" s="9"/>
      <c r="E382" s="9" t="s">
        <v>158</v>
      </c>
      <c r="F382" s="9"/>
      <c r="G382" s="9"/>
      <c r="H382" s="9"/>
      <c r="K382" s="9"/>
      <c r="L382" s="205" t="s">
        <v>212</v>
      </c>
      <c r="M382" s="26" t="s">
        <v>158</v>
      </c>
      <c r="Y382" s="9"/>
      <c r="Z382" s="9"/>
      <c r="AA382" s="9"/>
      <c r="AB382" s="9"/>
      <c r="AC382" s="9"/>
      <c r="AD382" s="9"/>
      <c r="AE382" s="9"/>
    </row>
    <row r="383" spans="2:31" ht="15" customHeight="1" x14ac:dyDescent="0.3">
      <c r="B383" s="7"/>
      <c r="C383" s="9"/>
      <c r="D383" s="9"/>
      <c r="E383" s="9"/>
      <c r="F383" s="9"/>
      <c r="G383" s="9"/>
      <c r="H383" s="9"/>
      <c r="K383" s="9"/>
      <c r="L383" s="711">
        <f>MAX(0,Training!$P$43)</f>
        <v>0</v>
      </c>
      <c r="Y383" s="9"/>
      <c r="Z383" s="9"/>
      <c r="AA383" s="9"/>
      <c r="AB383" s="9"/>
      <c r="AC383" s="9"/>
      <c r="AD383" s="9"/>
      <c r="AE383" s="9"/>
    </row>
    <row r="384" spans="2:31" ht="15" customHeight="1" x14ac:dyDescent="0.3">
      <c r="B384" s="7"/>
      <c r="C384" s="9" t="s">
        <v>407</v>
      </c>
      <c r="D384" s="9"/>
      <c r="E384" s="9"/>
      <c r="F384" s="9"/>
      <c r="G384" s="9"/>
      <c r="H384" s="9"/>
      <c r="K384" s="9"/>
      <c r="L384" s="711">
        <f>MAX(0,Training!$P$44)</f>
        <v>0</v>
      </c>
      <c r="Y384" s="9"/>
      <c r="Z384" s="9"/>
      <c r="AA384" s="9"/>
      <c r="AB384" s="9"/>
      <c r="AC384" s="9"/>
      <c r="AD384" s="9"/>
      <c r="AE384" s="9"/>
    </row>
    <row r="385" spans="2:33" ht="15" customHeight="1" x14ac:dyDescent="0.3">
      <c r="B385" s="7"/>
      <c r="C385" s="670">
        <f>MAX(0,Training!$G$45)</f>
        <v>0</v>
      </c>
      <c r="D385" s="9"/>
      <c r="E385" s="9"/>
      <c r="F385" s="9"/>
      <c r="G385" s="9"/>
      <c r="H385" s="9"/>
      <c r="K385" s="9"/>
      <c r="L385" s="711">
        <f>MAX(0,Training!$P$45)</f>
        <v>0</v>
      </c>
      <c r="Y385" s="9"/>
      <c r="Z385" s="9"/>
      <c r="AA385" s="9"/>
      <c r="AB385" s="9"/>
    </row>
    <row r="386" spans="2:33" ht="15" customHeight="1" x14ac:dyDescent="0.3">
      <c r="B386" s="7"/>
      <c r="C386" s="670">
        <f>MAX(0,Training!$G$46)</f>
        <v>0</v>
      </c>
      <c r="D386" s="9"/>
      <c r="E386" s="9"/>
      <c r="F386" s="9"/>
      <c r="G386" s="9"/>
      <c r="H386" s="9"/>
      <c r="K386" s="9"/>
      <c r="L386" s="711">
        <f>MAX(0,Training!$P$46)</f>
        <v>0</v>
      </c>
    </row>
    <row r="387" spans="2:33" ht="15" customHeight="1" x14ac:dyDescent="0.3">
      <c r="B387" s="7"/>
      <c r="C387" s="658" t="str">
        <f>CONCATENATE(IF($C$385=0,0,ROUND(MAX(0,$C$385-0.986),3)), """ x ",IF($C$386=0,0,ROUND(MAX(0,$C$386-0.986),3)),"""")</f>
        <v>0" x 0"</v>
      </c>
      <c r="D387" s="9"/>
      <c r="E387" s="9" t="s">
        <v>158</v>
      </c>
      <c r="F387" s="9"/>
      <c r="G387" s="9"/>
      <c r="H387" s="9"/>
      <c r="K387" s="9"/>
      <c r="L387" s="8">
        <f>MAX(0,Training!$P$47)</f>
        <v>0</v>
      </c>
    </row>
    <row r="388" spans="2:33" ht="15" customHeight="1" x14ac:dyDescent="0.3">
      <c r="B388" s="7"/>
      <c r="C388" s="9"/>
      <c r="D388" s="9"/>
      <c r="E388" s="9"/>
      <c r="F388" s="9"/>
      <c r="G388" s="9"/>
      <c r="H388" s="9"/>
      <c r="K388" s="9"/>
      <c r="L388" s="71" t="str">
        <f>CONCATENATE(ROUND($L$383,3), """ x ",ROUNDUP((IF(OR($L$384+(SQRT(($L$385^2)+($L$386^2))*2)+0.5=$L$384+0.5,$L$385=0,$L$386=0),$L$384,$L$384+(SQRT(($L$385^2)+($L$386^2))*2)+0.5)/0.25)*0.25,3),"""")</f>
        <v>0" x 0"</v>
      </c>
    </row>
    <row r="389" spans="2:33" ht="15" customHeight="1" x14ac:dyDescent="0.3">
      <c r="B389" s="7"/>
      <c r="C389" s="9"/>
      <c r="D389" s="9" t="s">
        <v>213</v>
      </c>
      <c r="E389" s="9"/>
      <c r="F389" s="9"/>
      <c r="G389" s="9"/>
      <c r="H389" s="9"/>
      <c r="K389" s="9"/>
      <c r="L389" s="71" t="str">
        <f>CONCATENATE(ROUND($L$383*(IF(OR($L$384+(SQRT(($L$385^2)+($L$386^2))*2)+0.5=$L$384+0.5,$L$385=0,$L$386=0),$L$384,$L$384+(SQRT(($L$385^2)+($L$386^2))*2)+0.5)/0.25)*0.25,2), " sq. in.")</f>
        <v>0 sq. in.</v>
      </c>
    </row>
    <row r="390" spans="2:33" ht="15" customHeight="1" x14ac:dyDescent="0.3">
      <c r="B390" s="7"/>
      <c r="C390" s="9"/>
      <c r="D390" s="670">
        <f>MAX(0,Training!$H$50)</f>
        <v>0</v>
      </c>
      <c r="E390" s="9" t="s">
        <v>158</v>
      </c>
      <c r="F390" s="9"/>
      <c r="G390" s="9"/>
      <c r="H390" s="9"/>
      <c r="K390" s="9"/>
      <c r="L390" s="71" t="str">
        <f>CONCATENATE(ROUND(($L$383*(IF(OR($L$384+(SQRT(($L$385^2)+($L$386^2))*2)+0.5=$L$384+0.5,$L$385=0,$L$386=0),$L$384,$L$384+(SQRT(($L$385^2)+($L$386^2))*2)+0.5)/0.25)*0.25)/144,2), " sq. ft.")</f>
        <v>0 sq. ft.</v>
      </c>
      <c r="Y390" s="9"/>
      <c r="Z390" s="9"/>
      <c r="AA390" s="9"/>
      <c r="AB390" s="9"/>
      <c r="AC390" s="9"/>
      <c r="AD390" s="9"/>
      <c r="AE390" s="9"/>
      <c r="AF390" s="9"/>
      <c r="AG390" s="9"/>
    </row>
    <row r="391" spans="2:33" ht="15" customHeight="1" x14ac:dyDescent="0.3">
      <c r="B391" s="7"/>
      <c r="C391" s="9"/>
      <c r="D391" s="670">
        <f>MAX(0,Training!$H$51)</f>
        <v>0</v>
      </c>
      <c r="E391" s="9"/>
      <c r="F391" s="9"/>
      <c r="G391" s="9"/>
      <c r="H391" s="9"/>
      <c r="K391" s="9"/>
      <c r="L391" s="718">
        <f>(($L$383*(IF(OR($L$384+(SQRT(($L$385^2)+($L$386^2))*2)+0.5=$L$384+0.5,$L$385=0,$L$386=0),$L$384,$L$384+(SQRT(($L$385^2)+($L$386^2))*2)+0.5)/0.25)*0.25)/144)*$L$387</f>
        <v>0</v>
      </c>
      <c r="Y391" s="9"/>
      <c r="Z391" s="9"/>
      <c r="AA391" s="9"/>
      <c r="AB391" s="9"/>
      <c r="AC391" s="9"/>
      <c r="AD391" s="9"/>
      <c r="AE391" s="9"/>
      <c r="AF391" s="9"/>
      <c r="AG391" s="9"/>
    </row>
    <row r="392" spans="2:33" ht="15" customHeight="1" x14ac:dyDescent="0.3">
      <c r="B392" s="7"/>
      <c r="C392" s="9"/>
      <c r="D392" s="670">
        <f>MAX(0,Training!$H$52)</f>
        <v>0</v>
      </c>
      <c r="E392" s="9"/>
      <c r="F392" s="9"/>
      <c r="G392" s="9"/>
      <c r="H392" s="9"/>
      <c r="K392" s="9"/>
      <c r="L392" s="205"/>
      <c r="Z392" s="719"/>
      <c r="AB392" s="9"/>
      <c r="AC392" s="9"/>
      <c r="AD392" s="9"/>
      <c r="AE392" s="9"/>
      <c r="AF392" s="9"/>
      <c r="AG392" s="9"/>
    </row>
    <row r="393" spans="2:33" ht="15" customHeight="1" x14ac:dyDescent="0.3">
      <c r="B393" s="7"/>
      <c r="C393" s="9"/>
      <c r="D393" s="22">
        <f>MAX(0,Training!$H$53)</f>
        <v>0</v>
      </c>
      <c r="E393" s="9"/>
      <c r="F393" s="9"/>
      <c r="G393" s="9"/>
      <c r="H393" s="9"/>
      <c r="K393" s="9"/>
      <c r="L393" s="205" t="s">
        <v>384</v>
      </c>
      <c r="M393" s="26" t="s">
        <v>158</v>
      </c>
    </row>
    <row r="394" spans="2:33" ht="15" customHeight="1" x14ac:dyDescent="0.3">
      <c r="B394" s="7"/>
      <c r="C394" s="9"/>
      <c r="D394" s="716" t="str">
        <f>CONCATENATE(ROUND(IF(OR($D$390=0,$D$391=0),0,($D$391*2)+$D$390),3), """ x ",ROUND(IF(OR($D$391=0,$D$392=0),0,($D$391*2)+$D$392),3),"""")</f>
        <v>0" x 0"</v>
      </c>
      <c r="E394" s="9" t="s">
        <v>158</v>
      </c>
      <c r="F394" s="9"/>
      <c r="G394" s="9"/>
      <c r="H394" s="9"/>
      <c r="L394" s="711">
        <f>MAX(0,Training!$P$54)</f>
        <v>0</v>
      </c>
      <c r="Y394" s="9"/>
      <c r="Z394" s="9"/>
    </row>
    <row r="395" spans="2:33" ht="15" customHeight="1" x14ac:dyDescent="0.3">
      <c r="B395" s="7"/>
      <c r="C395" s="9"/>
      <c r="D395" s="706">
        <f>IF(OR($D$390=0,$D$391=0,$D$392=0),0,((($D$391*2)+$D$390)*(($D$391*2)+$D$392))*$D$393)</f>
        <v>0</v>
      </c>
      <c r="E395" s="9"/>
      <c r="F395" s="9"/>
      <c r="G395" s="9"/>
      <c r="H395" s="9"/>
      <c r="L395" s="711">
        <f>MAX(0,Training!$P$55)</f>
        <v>0</v>
      </c>
      <c r="Z395" s="719"/>
      <c r="AF395" s="719"/>
      <c r="AG395" s="719"/>
    </row>
    <row r="396" spans="2:33" ht="15" customHeight="1" x14ac:dyDescent="0.3">
      <c r="B396" s="7"/>
      <c r="C396" s="9"/>
      <c r="D396" s="9"/>
      <c r="E396" s="9"/>
      <c r="F396" s="9"/>
      <c r="G396" s="9"/>
      <c r="H396" s="9"/>
      <c r="L396" s="720" t="str">
        <f>CONCATENATE(ROUND(IF(OR($L$394=0,$L$395=0),0,($L$394*2)+$L$395),3), """ x ",ROUND(IF(OR($L$394=0,$L$395=0),0,($L$394*2)+$L$395),3),"""")</f>
        <v>0" x 0"</v>
      </c>
      <c r="Z396" s="719"/>
      <c r="AF396" s="719"/>
      <c r="AG396" s="719"/>
    </row>
    <row r="397" spans="2:33" ht="15" customHeight="1" x14ac:dyDescent="0.3">
      <c r="B397" s="7"/>
      <c r="C397" s="9"/>
      <c r="D397" s="9" t="s">
        <v>214</v>
      </c>
      <c r="E397" s="9" t="s">
        <v>158</v>
      </c>
      <c r="F397" s="9"/>
      <c r="G397" s="9"/>
      <c r="H397" s="9"/>
      <c r="L397" s="205"/>
      <c r="Z397" s="719"/>
      <c r="AF397" s="719"/>
      <c r="AG397" s="719"/>
    </row>
    <row r="398" spans="2:33" ht="15" customHeight="1" x14ac:dyDescent="0.3">
      <c r="B398" s="7"/>
      <c r="C398" s="9"/>
      <c r="D398" s="670">
        <f>MAX(0,Training!$H$58)</f>
        <v>0</v>
      </c>
      <c r="E398" s="9"/>
      <c r="F398" s="9"/>
      <c r="G398" s="9"/>
      <c r="H398" s="9"/>
      <c r="K398" s="9" t="s">
        <v>385</v>
      </c>
      <c r="L398" s="205"/>
      <c r="O398" s="9"/>
      <c r="P398" s="9"/>
      <c r="Z398" s="719"/>
      <c r="AF398" s="719"/>
      <c r="AG398" s="719"/>
    </row>
    <row r="399" spans="2:33" ht="15" customHeight="1" x14ac:dyDescent="0.3">
      <c r="B399" s="7"/>
      <c r="C399" s="9"/>
      <c r="D399" s="670">
        <f>MAX(0,Training!$H$59)</f>
        <v>0</v>
      </c>
      <c r="E399" s="9"/>
      <c r="F399" s="9"/>
      <c r="G399" s="9"/>
      <c r="H399" s="9"/>
      <c r="K399" s="670">
        <f>MAX(0,Training!$O$59)</f>
        <v>0</v>
      </c>
      <c r="L399" s="205"/>
      <c r="P399" s="9"/>
      <c r="Z399" s="719"/>
      <c r="AF399" s="719"/>
      <c r="AG399" s="719"/>
    </row>
    <row r="400" spans="2:33" ht="15" customHeight="1" x14ac:dyDescent="0.3">
      <c r="B400" s="7"/>
      <c r="C400" s="9"/>
      <c r="D400" s="670">
        <f>MAX(0,Training!$H$60)</f>
        <v>0</v>
      </c>
      <c r="E400" s="9"/>
      <c r="F400" s="9"/>
      <c r="G400" s="9"/>
      <c r="H400" s="9"/>
      <c r="K400" s="658" t="str">
        <f>CONCATENATE(ROUND($K$399,3), """ x ",ROUND($K$399,3),"""")</f>
        <v>0" x 0"</v>
      </c>
      <c r="L400" s="205"/>
      <c r="P400" s="9"/>
      <c r="Z400" s="719"/>
      <c r="AF400" s="719"/>
      <c r="AG400" s="719"/>
    </row>
    <row r="401" spans="2:33" ht="15" customHeight="1" x14ac:dyDescent="0.3">
      <c r="B401" s="7"/>
      <c r="C401" s="9"/>
      <c r="D401" s="9">
        <f>MAX(0,Training!$H$61)</f>
        <v>0</v>
      </c>
      <c r="E401" s="9"/>
      <c r="F401" s="9"/>
      <c r="G401" s="9"/>
      <c r="H401" s="9"/>
      <c r="K401" s="9"/>
      <c r="L401" s="205"/>
      <c r="P401" s="9"/>
      <c r="Z401" s="719"/>
      <c r="AF401" s="719"/>
      <c r="AG401" s="719"/>
    </row>
    <row r="402" spans="2:33" ht="15" customHeight="1" x14ac:dyDescent="0.3">
      <c r="B402" s="7"/>
      <c r="C402" s="9"/>
      <c r="D402" s="716" t="str">
        <f>CONCATENATE(ROUND(IF(OR($D$398=0,$D$399=0),0,($D$399*2)+$D$398),3), """ x ",ROUND(IF(OR($D$399=0,$D$400=0),0,$D$399+$D$400+6),3),"""")</f>
        <v>0" x 0"</v>
      </c>
      <c r="E402" s="9"/>
      <c r="F402" s="9"/>
      <c r="G402" s="9"/>
      <c r="H402" s="9"/>
      <c r="K402" s="9" t="s">
        <v>386</v>
      </c>
      <c r="L402" s="205"/>
      <c r="P402" s="9"/>
      <c r="Z402" s="719"/>
      <c r="AF402" s="719"/>
      <c r="AG402" s="719"/>
    </row>
    <row r="403" spans="2:33" ht="15" customHeight="1" x14ac:dyDescent="0.3">
      <c r="B403" s="7"/>
      <c r="C403" s="9"/>
      <c r="D403" s="706">
        <f>IF(OR($D$398=0,$D$399=0,$D$400=0,),0,((($D$399*2)+$D$398)*($D$399+$D$400+6))*$D$401)</f>
        <v>0</v>
      </c>
      <c r="E403" s="9" t="s">
        <v>158</v>
      </c>
      <c r="F403" s="9"/>
      <c r="G403" s="9"/>
      <c r="H403" s="9"/>
      <c r="K403" s="670">
        <f>MAX(0,Training!$O$63)</f>
        <v>0</v>
      </c>
      <c r="L403" s="205"/>
      <c r="P403" s="9"/>
      <c r="Z403" s="719"/>
      <c r="AF403" s="719"/>
      <c r="AG403" s="719"/>
    </row>
    <row r="404" spans="2:33" ht="15" customHeight="1" x14ac:dyDescent="0.3">
      <c r="B404" s="7"/>
      <c r="C404" s="9"/>
      <c r="D404" s="658"/>
      <c r="E404" s="9"/>
      <c r="F404" s="9"/>
      <c r="G404" s="9"/>
      <c r="H404" s="9"/>
      <c r="K404" s="670">
        <f>MAX(0,Training!$O$64)</f>
        <v>0</v>
      </c>
      <c r="L404" s="205"/>
      <c r="P404" s="9"/>
      <c r="Z404" s="719"/>
      <c r="AF404" s="719"/>
      <c r="AG404" s="719"/>
    </row>
    <row r="405" spans="2:33" ht="15" customHeight="1" x14ac:dyDescent="0.3">
      <c r="B405" s="7"/>
      <c r="C405" s="9" t="s">
        <v>379</v>
      </c>
      <c r="D405" s="9"/>
      <c r="E405" s="9"/>
      <c r="F405" s="9"/>
      <c r="G405" s="9"/>
      <c r="H405" s="9"/>
      <c r="K405" s="658" t="str">
        <f>CONCATENATE(ROUND($K$404*3.1415,3), """ x ",ROUND($K$403,3),"""")</f>
        <v>0" x 0"</v>
      </c>
      <c r="L405" s="205"/>
      <c r="P405" s="9"/>
      <c r="Z405" s="719"/>
      <c r="AF405" s="719"/>
      <c r="AG405" s="719"/>
    </row>
    <row r="406" spans="2:33" ht="15" customHeight="1" x14ac:dyDescent="0.3">
      <c r="B406" s="7"/>
      <c r="C406" s="670">
        <f>MAX(0,Training!$G$66)</f>
        <v>0</v>
      </c>
      <c r="D406" s="9"/>
      <c r="E406" s="9"/>
      <c r="F406" s="9"/>
      <c r="G406" s="9"/>
      <c r="H406" s="9"/>
      <c r="K406" s="9"/>
      <c r="L406" s="205"/>
      <c r="P406" s="9"/>
      <c r="Z406" s="719"/>
      <c r="AF406" s="719"/>
      <c r="AG406" s="719"/>
    </row>
    <row r="407" spans="2:33" ht="15" customHeight="1" x14ac:dyDescent="0.3">
      <c r="B407" s="7"/>
      <c r="C407" s="670">
        <f>MAX(0,Training!$G$67)</f>
        <v>0</v>
      </c>
      <c r="D407" s="9"/>
      <c r="E407" s="9"/>
      <c r="F407" s="9"/>
      <c r="G407" s="9"/>
      <c r="H407" s="9"/>
      <c r="I407" s="9"/>
      <c r="J407" s="9"/>
      <c r="K407" s="9" t="s">
        <v>382</v>
      </c>
      <c r="L407" s="205"/>
      <c r="P407" s="9"/>
      <c r="Z407" s="719"/>
      <c r="AF407" s="719"/>
      <c r="AG407" s="719"/>
    </row>
    <row r="408" spans="2:33" ht="15" customHeight="1" x14ac:dyDescent="0.3">
      <c r="B408" s="7"/>
      <c r="C408" s="716" t="str">
        <f>CONCATENATE(ROUND(IF(OR($C$406=0,$C$407=0),0,($C$407*2)+$C$406),3), """ x ",ROUND($C$407,3),"""")</f>
        <v>0" x 0"</v>
      </c>
      <c r="D408" s="9"/>
      <c r="E408" s="9"/>
      <c r="F408" s="9"/>
      <c r="G408" s="9"/>
      <c r="H408" s="9"/>
      <c r="I408" s="9"/>
      <c r="J408" s="9"/>
      <c r="K408" s="670">
        <f>MAX(0,Training!$O$68)</f>
        <v>0</v>
      </c>
      <c r="L408" s="205"/>
      <c r="P408" s="9"/>
      <c r="Z408" s="719"/>
      <c r="AF408" s="719"/>
      <c r="AG408" s="719"/>
    </row>
    <row r="409" spans="2:33" ht="15" customHeight="1" x14ac:dyDescent="0.3">
      <c r="B409" s="7"/>
      <c r="C409" s="9"/>
      <c r="D409" s="9"/>
      <c r="E409" s="9"/>
      <c r="F409" s="9"/>
      <c r="G409" s="9"/>
      <c r="H409" s="9"/>
      <c r="I409" s="9"/>
      <c r="J409" s="9"/>
      <c r="K409" s="670">
        <f>MAX(0,Training!$O$69)</f>
        <v>0</v>
      </c>
      <c r="L409" s="205"/>
      <c r="P409" s="9"/>
      <c r="Z409" s="719"/>
      <c r="AF409" s="719"/>
      <c r="AG409" s="719"/>
    </row>
    <row r="410" spans="2:33" ht="15" customHeight="1" x14ac:dyDescent="0.3">
      <c r="B410" s="7"/>
      <c r="C410" s="9"/>
      <c r="D410" s="9" t="s">
        <v>380</v>
      </c>
      <c r="E410" s="9"/>
      <c r="F410" s="9"/>
      <c r="G410" s="9"/>
      <c r="H410" s="9"/>
      <c r="I410" s="9"/>
      <c r="J410" s="9"/>
      <c r="K410" s="658" t="str">
        <f>CONCATENATE(ROUND($K$408,3), """ x ",ROUND($K$409,3),"""")</f>
        <v>0" x 0"</v>
      </c>
      <c r="L410" s="205"/>
      <c r="P410" s="9"/>
      <c r="Z410" s="719"/>
      <c r="AF410" s="719"/>
      <c r="AG410" s="719"/>
    </row>
    <row r="411" spans="2:33" ht="15" customHeight="1" x14ac:dyDescent="0.3">
      <c r="B411" s="7"/>
      <c r="C411" s="9"/>
      <c r="D411" s="670">
        <f>MAX(0,Training!$H$71)</f>
        <v>0</v>
      </c>
      <c r="E411" s="9"/>
      <c r="F411" s="9"/>
      <c r="G411" s="9"/>
      <c r="H411" s="9"/>
      <c r="I411" s="9"/>
      <c r="J411" s="9"/>
      <c r="L411" s="205"/>
      <c r="P411" s="9"/>
      <c r="Z411" s="719"/>
      <c r="AF411" s="719"/>
      <c r="AG411" s="719"/>
    </row>
    <row r="412" spans="2:33" ht="15" customHeight="1" x14ac:dyDescent="0.3">
      <c r="B412" s="7"/>
      <c r="C412" s="9"/>
      <c r="D412" s="670">
        <f>MAX(0,Training!$H$72)</f>
        <v>0</v>
      </c>
      <c r="E412" s="9"/>
      <c r="F412" s="9"/>
      <c r="G412" s="9"/>
      <c r="H412" s="9"/>
      <c r="I412" s="9"/>
      <c r="J412" s="9"/>
      <c r="K412" s="9"/>
      <c r="L412" s="205"/>
      <c r="P412" s="9"/>
      <c r="Z412" s="719"/>
      <c r="AF412" s="719"/>
      <c r="AG412" s="719"/>
    </row>
    <row r="413" spans="2:33" ht="15" customHeight="1" x14ac:dyDescent="0.3">
      <c r="B413" s="7"/>
      <c r="C413" s="9"/>
      <c r="D413" s="670">
        <f>MAX(0,Training!$H$73)</f>
        <v>0</v>
      </c>
      <c r="E413" s="9"/>
      <c r="F413" s="9"/>
      <c r="G413" s="9"/>
      <c r="H413" s="9"/>
      <c r="I413" s="9"/>
      <c r="J413" s="9"/>
      <c r="K413" s="9" t="s">
        <v>383</v>
      </c>
      <c r="L413" s="205"/>
      <c r="P413" s="9"/>
      <c r="Z413" s="719"/>
      <c r="AF413" s="719"/>
      <c r="AG413" s="719"/>
    </row>
    <row r="414" spans="2:33" ht="15" customHeight="1" x14ac:dyDescent="0.3">
      <c r="B414" s="7"/>
      <c r="C414" s="9"/>
      <c r="D414" s="716" t="str">
        <f>CONCATENATE(ROUND(IF(OR($D$411=0,$D$412=0),0,($D$412*2)+$D$411),3), """ x ",ROUND(IF(OR($D$412=0,$D$413=0),0,$D$412+$D$413),3),"""")</f>
        <v>0" x 0"</v>
      </c>
      <c r="E414" s="9"/>
      <c r="F414" s="9"/>
      <c r="G414" s="9"/>
      <c r="H414" s="9"/>
      <c r="I414" s="9"/>
      <c r="J414" s="9"/>
      <c r="K414" s="670">
        <f>MAX(0,Training!$O$73)</f>
        <v>0</v>
      </c>
      <c r="L414" s="205"/>
      <c r="P414" s="9"/>
      <c r="Z414" s="719"/>
      <c r="AF414" s="719"/>
      <c r="AG414" s="719"/>
    </row>
    <row r="415" spans="2:33" ht="15" customHeight="1" x14ac:dyDescent="0.3">
      <c r="B415" s="7"/>
      <c r="C415" s="9"/>
      <c r="D415" s="9"/>
      <c r="E415" s="9"/>
      <c r="F415" s="9"/>
      <c r="G415" s="9"/>
      <c r="H415" s="9"/>
      <c r="I415" s="9"/>
      <c r="J415" s="9"/>
      <c r="K415" s="670">
        <f>MAX(0,Training!$O$74)</f>
        <v>0</v>
      </c>
      <c r="L415" s="205"/>
      <c r="P415" s="9"/>
      <c r="Z415" s="719"/>
      <c r="AF415" s="719"/>
      <c r="AG415" s="719"/>
    </row>
    <row r="416" spans="2:33" ht="15" customHeight="1" x14ac:dyDescent="0.3">
      <c r="B416" s="7"/>
      <c r="C416" s="9" t="s">
        <v>381</v>
      </c>
      <c r="D416" s="9"/>
      <c r="E416" s="9"/>
      <c r="F416" s="9"/>
      <c r="G416" s="9"/>
      <c r="H416" s="9"/>
      <c r="I416" s="9"/>
      <c r="J416" s="9"/>
      <c r="K416" s="670">
        <f>MAX(0,Training!$O$75)</f>
        <v>0</v>
      </c>
      <c r="L416" s="205"/>
      <c r="P416" s="9"/>
      <c r="Z416" s="719"/>
      <c r="AF416" s="719"/>
      <c r="AG416" s="719"/>
    </row>
    <row r="417" spans="2:33" ht="15" customHeight="1" x14ac:dyDescent="0.3">
      <c r="B417" s="7"/>
      <c r="C417" s="670">
        <f>MAX(0,Training!$G$77)</f>
        <v>0</v>
      </c>
      <c r="D417" s="9"/>
      <c r="E417" s="9"/>
      <c r="F417" s="9"/>
      <c r="G417" s="9"/>
      <c r="H417" s="9"/>
      <c r="I417" s="9"/>
      <c r="J417" s="9"/>
      <c r="K417" s="658" t="str">
        <f>CONCATENATE(ROUND(IF(OR($K$414=0,$K$416=0),0,($K$414*2)+($K$416*2)),3), """ x ",ROUND($K$415,3),"""")</f>
        <v>0" x 0"</v>
      </c>
      <c r="L417" s="205"/>
      <c r="P417" s="9"/>
      <c r="Z417" s="719"/>
      <c r="AF417" s="719"/>
      <c r="AG417" s="719"/>
    </row>
    <row r="418" spans="2:33" ht="15" customHeight="1" x14ac:dyDescent="0.3">
      <c r="B418" s="7"/>
      <c r="C418" s="670">
        <f>MAX(0,Training!$G$78)</f>
        <v>0</v>
      </c>
      <c r="D418" s="9"/>
      <c r="E418" s="9"/>
      <c r="F418" s="9"/>
      <c r="G418" s="9"/>
      <c r="H418" s="9"/>
      <c r="I418" s="9"/>
      <c r="J418" s="9"/>
      <c r="L418" s="205"/>
      <c r="P418" s="9"/>
      <c r="Z418" s="719"/>
      <c r="AF418" s="719"/>
      <c r="AG418" s="719"/>
    </row>
    <row r="419" spans="2:33" ht="15" customHeight="1" x14ac:dyDescent="0.3">
      <c r="B419" s="7"/>
      <c r="C419" s="658" t="str">
        <f>CONCATENATE(ROUND(IF(OR($C$417=0,$C$418=0),0,($C$418*2)+$C$417),3), """ x ",ROUND(IF(OR($C$418=0),0,$C$418),3),"""")</f>
        <v>0" x 0"</v>
      </c>
      <c r="D419" s="9"/>
      <c r="E419" s="9"/>
      <c r="F419" s="9"/>
      <c r="G419" s="9"/>
      <c r="H419" s="9"/>
      <c r="I419" s="9"/>
      <c r="J419" s="9"/>
      <c r="K419" s="9"/>
      <c r="L419" s="205"/>
      <c r="Z419" s="719"/>
      <c r="AF419" s="719"/>
      <c r="AG419" s="719"/>
    </row>
    <row r="420" spans="2:33" ht="15" customHeight="1" x14ac:dyDescent="0.3"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205"/>
      <c r="Z420" s="719"/>
      <c r="AF420" s="719"/>
      <c r="AG420" s="719"/>
    </row>
    <row r="421" spans="2:33" ht="15" customHeight="1" x14ac:dyDescent="0.3">
      <c r="B421" s="7"/>
      <c r="C421" s="9" t="s">
        <v>408</v>
      </c>
      <c r="D421" s="9"/>
      <c r="E421" s="9"/>
      <c r="F421" s="9"/>
      <c r="G421" s="9"/>
      <c r="H421" s="9"/>
      <c r="I421" s="9"/>
      <c r="J421" s="9"/>
      <c r="K421" s="9"/>
      <c r="L421" s="205"/>
      <c r="Z421" s="719"/>
      <c r="AF421" s="719"/>
      <c r="AG421" s="719"/>
    </row>
    <row r="422" spans="2:33" ht="15" customHeight="1" x14ac:dyDescent="0.3">
      <c r="B422" s="7"/>
      <c r="C422" s="670">
        <f>MAX(0,Training!$G$82)</f>
        <v>0</v>
      </c>
      <c r="D422" s="9"/>
      <c r="E422" s="9"/>
      <c r="F422" s="9"/>
      <c r="G422" s="9"/>
      <c r="H422" s="9"/>
      <c r="I422" s="9"/>
      <c r="J422" s="9"/>
      <c r="K422" s="9"/>
      <c r="L422" s="205"/>
      <c r="V422" s="9"/>
      <c r="W422" s="9"/>
      <c r="X422" s="9"/>
      <c r="Z422" s="719"/>
      <c r="AF422" s="719"/>
      <c r="AG422" s="719"/>
    </row>
    <row r="423" spans="2:33" ht="15" customHeight="1" x14ac:dyDescent="0.3">
      <c r="B423" s="7"/>
      <c r="C423" s="670">
        <f>MAX(0,Training!$G$83)</f>
        <v>0</v>
      </c>
      <c r="D423" s="9"/>
      <c r="E423" s="9"/>
      <c r="F423" s="9"/>
      <c r="G423" s="9"/>
      <c r="H423" s="9"/>
      <c r="I423" s="9"/>
      <c r="J423" s="9"/>
      <c r="K423" s="9"/>
      <c r="L423" s="205"/>
      <c r="Z423" s="719"/>
      <c r="AF423" s="719"/>
      <c r="AG423" s="719"/>
    </row>
    <row r="424" spans="2:33" ht="15" customHeight="1" x14ac:dyDescent="0.3">
      <c r="B424" s="7"/>
      <c r="C424" s="670">
        <f>MAX(0,Training!$G$84)</f>
        <v>0</v>
      </c>
      <c r="D424" s="9"/>
      <c r="E424" s="9"/>
      <c r="F424" s="9"/>
      <c r="G424" s="9"/>
      <c r="H424" s="9"/>
      <c r="I424" s="9"/>
      <c r="J424" s="9"/>
      <c r="K424" s="9"/>
      <c r="L424" s="205"/>
      <c r="Z424" s="719"/>
      <c r="AF424" s="719"/>
      <c r="AG424" s="719"/>
    </row>
    <row r="425" spans="2:33" ht="15" customHeight="1" x14ac:dyDescent="0.3">
      <c r="B425" s="17"/>
      <c r="C425" s="659" t="str">
        <f>CONCATENATE(ROUND(IF(OR($C$422=0,$C$423=0),0,($C$423*2)+$C$422),3), """ x ",ROUND(IF(OR($C$422=0,$C$424=0),0,$C$422+$C$424+6),3),"""")</f>
        <v>0" x 0"</v>
      </c>
      <c r="D425" s="681"/>
      <c r="E425" s="681"/>
      <c r="F425" s="681"/>
      <c r="G425" s="681"/>
      <c r="H425" s="681"/>
      <c r="I425" s="681"/>
      <c r="J425" s="681"/>
      <c r="K425" s="681"/>
      <c r="L425" s="209"/>
      <c r="Y425" s="9"/>
      <c r="Z425" s="9"/>
      <c r="AA425" s="9"/>
    </row>
    <row r="426" spans="2:33" ht="15" customHeight="1" x14ac:dyDescent="0.3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Y426" s="9"/>
      <c r="Z426" s="9"/>
      <c r="AA426" s="9"/>
    </row>
    <row r="427" spans="2:33" ht="15" customHeight="1" x14ac:dyDescent="0.3">
      <c r="K427" s="9"/>
      <c r="L427" s="9"/>
      <c r="Y427" s="9"/>
      <c r="Z427" s="9"/>
      <c r="AA427" s="9"/>
    </row>
    <row r="428" spans="2:33" ht="15" customHeight="1" x14ac:dyDescent="0.3">
      <c r="K428" s="9"/>
      <c r="L428" s="9"/>
      <c r="Y428" s="9"/>
      <c r="Z428" s="9"/>
      <c r="AA428" s="9"/>
    </row>
    <row r="429" spans="2:33" ht="15" customHeight="1" x14ac:dyDescent="0.3">
      <c r="K429" s="9"/>
      <c r="L429" s="9"/>
      <c r="Y429" s="9"/>
      <c r="Z429" s="9"/>
      <c r="AA429" s="9"/>
    </row>
    <row r="430" spans="2:33" ht="15" customHeight="1" x14ac:dyDescent="0.3">
      <c r="B430" s="18" t="s">
        <v>522</v>
      </c>
      <c r="C430" s="19"/>
      <c r="D430" s="691"/>
      <c r="K430" s="9"/>
      <c r="L430" s="9"/>
      <c r="Y430" s="9"/>
      <c r="Z430" s="9"/>
      <c r="AA430" s="9"/>
    </row>
    <row r="431" spans="2:33" ht="15" customHeight="1" x14ac:dyDescent="0.3">
      <c r="B431" s="7"/>
      <c r="C431" s="9"/>
      <c r="D431" s="205"/>
      <c r="K431" s="9"/>
      <c r="L431" s="9"/>
      <c r="Y431" s="9"/>
      <c r="Z431" s="9"/>
      <c r="AA431" s="9"/>
    </row>
    <row r="432" spans="2:33" ht="15" customHeight="1" x14ac:dyDescent="0.3">
      <c r="B432" s="721" t="s">
        <v>617</v>
      </c>
      <c r="C432" s="9" t="s">
        <v>436</v>
      </c>
      <c r="D432" s="205">
        <v>1</v>
      </c>
      <c r="Y432" s="9"/>
      <c r="Z432" s="9"/>
      <c r="AA432" s="9"/>
    </row>
    <row r="433" spans="2:27" ht="15" customHeight="1" x14ac:dyDescent="0.3">
      <c r="B433" s="721" t="s">
        <v>618</v>
      </c>
      <c r="C433" s="9" t="s">
        <v>433</v>
      </c>
      <c r="D433" s="722">
        <v>0.98599999999999999</v>
      </c>
      <c r="K433" s="9"/>
      <c r="Y433" s="9"/>
      <c r="Z433" s="9"/>
      <c r="AA433" s="9"/>
    </row>
    <row r="434" spans="2:27" ht="15" customHeight="1" x14ac:dyDescent="0.3">
      <c r="B434" s="721" t="s">
        <v>619</v>
      </c>
      <c r="C434" s="9" t="s">
        <v>434</v>
      </c>
      <c r="D434" s="722">
        <v>1.0624</v>
      </c>
      <c r="K434" s="28"/>
      <c r="Y434" s="9"/>
      <c r="Z434" s="9"/>
      <c r="AA434" s="9"/>
    </row>
    <row r="435" spans="2:27" ht="15" customHeight="1" x14ac:dyDescent="0.3">
      <c r="B435" s="721" t="s">
        <v>620</v>
      </c>
      <c r="C435" s="9" t="s">
        <v>436</v>
      </c>
      <c r="D435" s="205">
        <v>1</v>
      </c>
      <c r="K435" s="670"/>
      <c r="Y435" s="9"/>
      <c r="Z435" s="9"/>
      <c r="AA435" s="9"/>
    </row>
    <row r="436" spans="2:27" ht="15" customHeight="1" x14ac:dyDescent="0.3">
      <c r="B436" s="721" t="s">
        <v>621</v>
      </c>
      <c r="C436" s="9" t="s">
        <v>434</v>
      </c>
      <c r="D436" s="722">
        <v>1.0624</v>
      </c>
      <c r="K436" s="658"/>
      <c r="Y436" s="9"/>
      <c r="Z436" s="9"/>
      <c r="AA436" s="9"/>
    </row>
    <row r="437" spans="2:27" ht="15" customHeight="1" x14ac:dyDescent="0.3">
      <c r="B437" s="721" t="s">
        <v>622</v>
      </c>
      <c r="C437" s="9" t="s">
        <v>434</v>
      </c>
      <c r="D437" s="722">
        <v>1.0624</v>
      </c>
      <c r="K437" s="658"/>
      <c r="Y437" s="9"/>
      <c r="Z437" s="9"/>
      <c r="AA437" s="9"/>
    </row>
    <row r="438" spans="2:27" ht="15" customHeight="1" x14ac:dyDescent="0.3">
      <c r="B438" s="721" t="s">
        <v>623</v>
      </c>
      <c r="C438" s="9" t="s">
        <v>436</v>
      </c>
      <c r="D438" s="205">
        <v>1</v>
      </c>
      <c r="Y438" s="9"/>
      <c r="Z438" s="9"/>
      <c r="AA438" s="9"/>
    </row>
    <row r="439" spans="2:27" ht="15" customHeight="1" x14ac:dyDescent="0.3">
      <c r="B439" s="721" t="s">
        <v>624</v>
      </c>
      <c r="C439" s="9" t="s">
        <v>434</v>
      </c>
      <c r="D439" s="722">
        <v>1.0624</v>
      </c>
      <c r="Y439" s="9"/>
      <c r="Z439" s="9"/>
      <c r="AA439" s="9"/>
    </row>
    <row r="440" spans="2:27" ht="15" customHeight="1" x14ac:dyDescent="0.3">
      <c r="B440" s="721" t="s">
        <v>625</v>
      </c>
      <c r="C440" s="9" t="s">
        <v>530</v>
      </c>
      <c r="D440" s="722">
        <v>1.18</v>
      </c>
      <c r="Y440" s="9"/>
      <c r="Z440" s="9"/>
      <c r="AA440" s="9"/>
    </row>
    <row r="441" spans="2:27" ht="15" customHeight="1" x14ac:dyDescent="0.3">
      <c r="B441" s="721" t="s">
        <v>626</v>
      </c>
      <c r="C441" s="9" t="s">
        <v>434</v>
      </c>
      <c r="D441" s="722">
        <v>1.0624</v>
      </c>
      <c r="Y441" s="9"/>
      <c r="Z441" s="9"/>
      <c r="AA441" s="9"/>
    </row>
    <row r="442" spans="2:27" ht="15" customHeight="1" x14ac:dyDescent="0.3">
      <c r="B442" s="721" t="s">
        <v>627</v>
      </c>
      <c r="C442" s="9" t="s">
        <v>436</v>
      </c>
      <c r="D442" s="722">
        <v>1</v>
      </c>
      <c r="Y442" s="9"/>
      <c r="Z442" s="9"/>
      <c r="AA442" s="9"/>
    </row>
    <row r="443" spans="2:27" ht="15" customHeight="1" x14ac:dyDescent="0.3">
      <c r="B443" s="721" t="s">
        <v>628</v>
      </c>
      <c r="C443" s="9" t="s">
        <v>435</v>
      </c>
      <c r="D443" s="722">
        <v>0.98599999999999999</v>
      </c>
      <c r="Y443" s="9"/>
      <c r="Z443" s="9"/>
      <c r="AA443" s="9"/>
    </row>
    <row r="444" spans="2:27" ht="15" customHeight="1" x14ac:dyDescent="0.3">
      <c r="B444" s="721" t="s">
        <v>629</v>
      </c>
      <c r="C444" s="9" t="s">
        <v>436</v>
      </c>
      <c r="D444" s="205">
        <v>1</v>
      </c>
      <c r="Y444" s="9"/>
      <c r="Z444" s="9"/>
      <c r="AA444" s="9"/>
    </row>
    <row r="445" spans="2:27" ht="15" customHeight="1" x14ac:dyDescent="0.3">
      <c r="B445" s="721" t="s">
        <v>630</v>
      </c>
      <c r="C445" s="9" t="s">
        <v>434</v>
      </c>
      <c r="D445" s="722">
        <v>1.0624</v>
      </c>
      <c r="Y445" s="9"/>
      <c r="Z445" s="9"/>
      <c r="AA445" s="9"/>
    </row>
    <row r="446" spans="2:27" ht="15" customHeight="1" x14ac:dyDescent="0.3">
      <c r="B446" s="721" t="s">
        <v>631</v>
      </c>
      <c r="C446" s="9" t="s">
        <v>435</v>
      </c>
      <c r="D446" s="722">
        <v>0.98599999999999999</v>
      </c>
      <c r="Y446" s="9"/>
      <c r="Z446" s="9"/>
      <c r="AA446" s="9"/>
    </row>
    <row r="447" spans="2:27" ht="15" customHeight="1" x14ac:dyDescent="0.3">
      <c r="B447" s="721" t="s">
        <v>632</v>
      </c>
      <c r="C447" s="9" t="s">
        <v>436</v>
      </c>
      <c r="D447" s="722">
        <v>1</v>
      </c>
      <c r="Y447" s="9"/>
      <c r="Z447" s="9"/>
      <c r="AA447" s="9"/>
    </row>
    <row r="448" spans="2:27" ht="15" customHeight="1" x14ac:dyDescent="0.3">
      <c r="B448" s="721" t="s">
        <v>633</v>
      </c>
      <c r="C448" s="9" t="s">
        <v>436</v>
      </c>
      <c r="D448" s="722">
        <v>1</v>
      </c>
      <c r="Y448" s="9"/>
      <c r="Z448" s="9"/>
      <c r="AA448" s="9"/>
    </row>
    <row r="449" spans="2:27" ht="15" customHeight="1" x14ac:dyDescent="0.3">
      <c r="B449" s="721" t="s">
        <v>634</v>
      </c>
      <c r="C449" s="9" t="s">
        <v>434</v>
      </c>
      <c r="D449" s="722">
        <v>1.0624</v>
      </c>
      <c r="Y449" s="9"/>
      <c r="Z449" s="9"/>
      <c r="AA449" s="9"/>
    </row>
    <row r="450" spans="2:27" ht="15" customHeight="1" x14ac:dyDescent="0.3">
      <c r="B450" s="721" t="s">
        <v>635</v>
      </c>
      <c r="C450" s="9" t="s">
        <v>436</v>
      </c>
      <c r="D450" s="205">
        <v>1</v>
      </c>
      <c r="Y450" s="9"/>
      <c r="Z450" s="9"/>
      <c r="AA450" s="9"/>
    </row>
    <row r="451" spans="2:27" ht="15" customHeight="1" x14ac:dyDescent="0.3">
      <c r="B451" s="721" t="s">
        <v>636</v>
      </c>
      <c r="C451" s="9" t="s">
        <v>435</v>
      </c>
      <c r="D451" s="722">
        <v>0.98599999999999999</v>
      </c>
      <c r="Y451" s="9"/>
      <c r="Z451" s="9"/>
      <c r="AA451" s="9"/>
    </row>
    <row r="452" spans="2:27" ht="15" customHeight="1" x14ac:dyDescent="0.3">
      <c r="B452" s="721" t="s">
        <v>637</v>
      </c>
      <c r="C452" s="9" t="s">
        <v>436</v>
      </c>
      <c r="D452" s="722">
        <v>1</v>
      </c>
      <c r="Y452" s="9"/>
      <c r="Z452" s="9"/>
      <c r="AA452" s="9"/>
    </row>
    <row r="453" spans="2:27" ht="15" customHeight="1" x14ac:dyDescent="0.3">
      <c r="B453" s="721" t="s">
        <v>638</v>
      </c>
      <c r="C453" s="9" t="s">
        <v>434</v>
      </c>
      <c r="D453" s="722">
        <v>1.0624</v>
      </c>
      <c r="Y453" s="9"/>
      <c r="Z453" s="9"/>
      <c r="AA453" s="9"/>
    </row>
    <row r="454" spans="2:27" ht="15" customHeight="1" x14ac:dyDescent="0.3">
      <c r="B454" s="721" t="s">
        <v>639</v>
      </c>
      <c r="C454" s="9" t="s">
        <v>435</v>
      </c>
      <c r="D454" s="722">
        <v>0.98599999999999999</v>
      </c>
    </row>
    <row r="455" spans="2:27" ht="15" customHeight="1" x14ac:dyDescent="0.3">
      <c r="B455" s="721" t="s">
        <v>640</v>
      </c>
      <c r="C455" s="9" t="s">
        <v>434</v>
      </c>
      <c r="D455" s="722">
        <v>1.0624</v>
      </c>
    </row>
    <row r="456" spans="2:27" ht="15" customHeight="1" x14ac:dyDescent="0.3">
      <c r="B456" s="721" t="s">
        <v>641</v>
      </c>
      <c r="C456" s="9" t="s">
        <v>436</v>
      </c>
      <c r="D456" s="205">
        <v>1</v>
      </c>
    </row>
    <row r="457" spans="2:27" ht="15" customHeight="1" x14ac:dyDescent="0.3">
      <c r="B457" s="721" t="s">
        <v>642</v>
      </c>
      <c r="C457" s="9" t="s">
        <v>511</v>
      </c>
      <c r="D457" s="205">
        <v>0.75</v>
      </c>
    </row>
    <row r="458" spans="2:27" ht="15" customHeight="1" x14ac:dyDescent="0.3">
      <c r="B458" s="721" t="s">
        <v>643</v>
      </c>
      <c r="C458" s="9" t="s">
        <v>436</v>
      </c>
      <c r="D458" s="205">
        <v>1</v>
      </c>
    </row>
    <row r="459" spans="2:27" ht="15" customHeight="1" x14ac:dyDescent="0.3">
      <c r="B459" s="721" t="s">
        <v>644</v>
      </c>
      <c r="C459" s="9" t="s">
        <v>434</v>
      </c>
      <c r="D459" s="722">
        <v>1.0624</v>
      </c>
    </row>
    <row r="460" spans="2:27" ht="15" customHeight="1" x14ac:dyDescent="0.3">
      <c r="B460" s="721" t="s">
        <v>645</v>
      </c>
      <c r="C460" s="9" t="s">
        <v>435</v>
      </c>
      <c r="D460" s="723">
        <v>0.98599999999999999</v>
      </c>
    </row>
    <row r="461" spans="2:27" ht="15" customHeight="1" x14ac:dyDescent="0.3">
      <c r="B461" s="721" t="s">
        <v>646</v>
      </c>
      <c r="C461" s="9" t="s">
        <v>434</v>
      </c>
      <c r="D461" s="722">
        <v>1.0624</v>
      </c>
    </row>
    <row r="462" spans="2:27" ht="15" customHeight="1" x14ac:dyDescent="0.3">
      <c r="B462" s="721" t="s">
        <v>647</v>
      </c>
      <c r="C462" s="9" t="s">
        <v>434</v>
      </c>
      <c r="D462" s="722">
        <v>1.0624</v>
      </c>
    </row>
    <row r="463" spans="2:27" ht="15" customHeight="1" x14ac:dyDescent="0.3">
      <c r="B463" s="721" t="s">
        <v>648</v>
      </c>
      <c r="C463" s="9" t="s">
        <v>436</v>
      </c>
      <c r="D463" s="205">
        <v>1</v>
      </c>
    </row>
    <row r="464" spans="2:27" ht="15" customHeight="1" x14ac:dyDescent="0.3">
      <c r="B464" s="721" t="s">
        <v>649</v>
      </c>
      <c r="C464" s="9" t="s">
        <v>435</v>
      </c>
      <c r="D464" s="723">
        <v>0.98599999999999999</v>
      </c>
    </row>
    <row r="465" spans="2:4" ht="15" customHeight="1" x14ac:dyDescent="0.3">
      <c r="B465" s="721" t="s">
        <v>650</v>
      </c>
      <c r="C465" s="9" t="s">
        <v>433</v>
      </c>
      <c r="D465" s="722">
        <v>0.98599999999999999</v>
      </c>
    </row>
    <row r="466" spans="2:4" ht="15" customHeight="1" x14ac:dyDescent="0.3">
      <c r="B466" s="721" t="s">
        <v>651</v>
      </c>
      <c r="C466" s="9" t="s">
        <v>434</v>
      </c>
      <c r="D466" s="722">
        <v>1.0624</v>
      </c>
    </row>
    <row r="467" spans="2:4" ht="15" customHeight="1" x14ac:dyDescent="0.3">
      <c r="B467" s="721" t="s">
        <v>652</v>
      </c>
      <c r="C467" s="9" t="s">
        <v>434</v>
      </c>
      <c r="D467" s="722">
        <v>1.0624</v>
      </c>
    </row>
    <row r="468" spans="2:4" ht="15" customHeight="1" x14ac:dyDescent="0.3">
      <c r="B468" s="721" t="s">
        <v>653</v>
      </c>
      <c r="C468" s="9" t="s">
        <v>434</v>
      </c>
      <c r="D468" s="722">
        <v>1.0624</v>
      </c>
    </row>
    <row r="469" spans="2:4" ht="15" customHeight="1" x14ac:dyDescent="0.3">
      <c r="B469" s="721" t="s">
        <v>654</v>
      </c>
      <c r="C469" s="9" t="s">
        <v>436</v>
      </c>
      <c r="D469" s="722">
        <v>1</v>
      </c>
    </row>
    <row r="470" spans="2:4" ht="15" customHeight="1" x14ac:dyDescent="0.3">
      <c r="B470" s="721" t="s">
        <v>655</v>
      </c>
      <c r="C470" s="9" t="s">
        <v>436</v>
      </c>
      <c r="D470" s="205">
        <v>1</v>
      </c>
    </row>
    <row r="471" spans="2:4" ht="15" customHeight="1" x14ac:dyDescent="0.3">
      <c r="B471" s="721" t="s">
        <v>656</v>
      </c>
      <c r="C471" s="9" t="s">
        <v>433</v>
      </c>
      <c r="D471" s="723">
        <v>0.98599999999999999</v>
      </c>
    </row>
    <row r="472" spans="2:4" ht="15" customHeight="1" x14ac:dyDescent="0.3">
      <c r="B472" s="721" t="s">
        <v>657</v>
      </c>
      <c r="C472" s="9" t="s">
        <v>434</v>
      </c>
      <c r="D472" s="722">
        <v>1.0624</v>
      </c>
    </row>
    <row r="473" spans="2:4" ht="15" customHeight="1" x14ac:dyDescent="0.3">
      <c r="B473" s="721" t="s">
        <v>658</v>
      </c>
      <c r="C473" s="9" t="s">
        <v>433</v>
      </c>
      <c r="D473" s="723">
        <v>0.98599999999999999</v>
      </c>
    </row>
    <row r="474" spans="2:4" ht="15" customHeight="1" x14ac:dyDescent="0.3">
      <c r="B474" s="721" t="s">
        <v>659</v>
      </c>
      <c r="C474" s="9" t="s">
        <v>436</v>
      </c>
      <c r="D474" s="205">
        <v>1</v>
      </c>
    </row>
    <row r="475" spans="2:4" ht="15" customHeight="1" x14ac:dyDescent="0.3">
      <c r="B475" s="721" t="s">
        <v>660</v>
      </c>
      <c r="C475" s="9" t="s">
        <v>434</v>
      </c>
      <c r="D475" s="722">
        <v>1.0624</v>
      </c>
    </row>
    <row r="476" spans="2:4" ht="15" customHeight="1" x14ac:dyDescent="0.3">
      <c r="B476" s="7"/>
      <c r="C476" s="9"/>
      <c r="D476" s="205"/>
    </row>
    <row r="477" spans="2:4" ht="15" customHeight="1" x14ac:dyDescent="0.3">
      <c r="B477" s="7" t="s">
        <v>491</v>
      </c>
      <c r="C477" s="9"/>
      <c r="D477" s="205"/>
    </row>
    <row r="478" spans="2:4" ht="15" customHeight="1" x14ac:dyDescent="0.3">
      <c r="B478" s="7" t="s">
        <v>154</v>
      </c>
      <c r="C478" s="9"/>
      <c r="D478" s="205"/>
    </row>
    <row r="479" spans="2:4" ht="15" customHeight="1" x14ac:dyDescent="0.3">
      <c r="B479" s="7" t="s">
        <v>490</v>
      </c>
      <c r="C479" s="9"/>
      <c r="D479" s="205"/>
    </row>
    <row r="480" spans="2:4" ht="15" customHeight="1" x14ac:dyDescent="0.3">
      <c r="B480" s="7"/>
      <c r="C480" s="9"/>
      <c r="D480" s="205"/>
    </row>
    <row r="481" spans="2:4" ht="15" customHeight="1" x14ac:dyDescent="0.3">
      <c r="B481" s="7" t="s">
        <v>661</v>
      </c>
      <c r="C481" s="9"/>
      <c r="D481" s="205"/>
    </row>
    <row r="482" spans="2:4" ht="15" customHeight="1" x14ac:dyDescent="0.3">
      <c r="B482" s="7" t="s">
        <v>154</v>
      </c>
      <c r="C482" s="9"/>
      <c r="D482" s="205"/>
    </row>
    <row r="483" spans="2:4" ht="15" customHeight="1" x14ac:dyDescent="0.3">
      <c r="B483" s="7" t="s">
        <v>489</v>
      </c>
      <c r="C483" s="9"/>
      <c r="D483" s="205"/>
    </row>
    <row r="484" spans="2:4" ht="15" customHeight="1" x14ac:dyDescent="0.3">
      <c r="B484" s="7" t="s">
        <v>490</v>
      </c>
      <c r="C484" s="9"/>
      <c r="D484" s="205"/>
    </row>
    <row r="485" spans="2:4" ht="15" customHeight="1" x14ac:dyDescent="0.3">
      <c r="B485" s="7"/>
      <c r="C485" s="9"/>
      <c r="D485" s="205"/>
    </row>
    <row r="486" spans="2:4" ht="15" customHeight="1" x14ac:dyDescent="0.3">
      <c r="B486" s="7" t="s">
        <v>411</v>
      </c>
      <c r="C486" s="9"/>
      <c r="D486" s="205"/>
    </row>
    <row r="487" spans="2:4" ht="15" customHeight="1" x14ac:dyDescent="0.3">
      <c r="B487" s="7" t="s">
        <v>413</v>
      </c>
      <c r="C487" s="9"/>
      <c r="D487" s="205"/>
    </row>
    <row r="488" spans="2:4" ht="15" customHeight="1" x14ac:dyDescent="0.3">
      <c r="B488" s="7" t="s">
        <v>409</v>
      </c>
      <c r="C488" s="9"/>
      <c r="D488" s="205"/>
    </row>
    <row r="489" spans="2:4" ht="15" customHeight="1" x14ac:dyDescent="0.3">
      <c r="B489" s="7" t="s">
        <v>74</v>
      </c>
      <c r="C489" s="9"/>
      <c r="D489" s="205"/>
    </row>
    <row r="490" spans="2:4" ht="15" customHeight="1" x14ac:dyDescent="0.3">
      <c r="B490" s="7" t="s">
        <v>410</v>
      </c>
      <c r="C490" s="9"/>
      <c r="D490" s="205"/>
    </row>
    <row r="491" spans="2:4" ht="15" customHeight="1" x14ac:dyDescent="0.3">
      <c r="B491" s="7"/>
      <c r="C491" s="9"/>
      <c r="D491" s="205"/>
    </row>
    <row r="492" spans="2:4" ht="15" customHeight="1" x14ac:dyDescent="0.3">
      <c r="B492" s="7" t="s">
        <v>609</v>
      </c>
      <c r="C492" s="9"/>
      <c r="D492" s="205"/>
    </row>
    <row r="493" spans="2:4" ht="15" customHeight="1" x14ac:dyDescent="0.3">
      <c r="B493" s="7" t="s">
        <v>409</v>
      </c>
      <c r="C493" s="9"/>
      <c r="D493" s="205"/>
    </row>
    <row r="494" spans="2:4" ht="15" customHeight="1" x14ac:dyDescent="0.3">
      <c r="B494" s="7" t="s">
        <v>74</v>
      </c>
      <c r="C494" s="9"/>
      <c r="D494" s="205"/>
    </row>
    <row r="495" spans="2:4" ht="15" customHeight="1" x14ac:dyDescent="0.3">
      <c r="B495" s="7" t="s">
        <v>410</v>
      </c>
      <c r="C495" s="9"/>
      <c r="D495" s="205"/>
    </row>
    <row r="496" spans="2:4" ht="15" customHeight="1" x14ac:dyDescent="0.3">
      <c r="B496" s="7"/>
      <c r="C496" s="9"/>
      <c r="D496" s="205"/>
    </row>
    <row r="497" spans="2:4" ht="15" customHeight="1" x14ac:dyDescent="0.3">
      <c r="B497" s="7" t="s">
        <v>662</v>
      </c>
      <c r="C497" s="9"/>
      <c r="D497" s="205"/>
    </row>
    <row r="498" spans="2:4" ht="15" customHeight="1" x14ac:dyDescent="0.3">
      <c r="B498" s="7" t="s">
        <v>414</v>
      </c>
      <c r="C498" s="9"/>
      <c r="D498" s="205"/>
    </row>
    <row r="499" spans="2:4" ht="15" customHeight="1" x14ac:dyDescent="0.3">
      <c r="B499" s="7" t="s">
        <v>75</v>
      </c>
      <c r="C499" s="9"/>
      <c r="D499" s="205"/>
    </row>
    <row r="500" spans="2:4" ht="15" customHeight="1" x14ac:dyDescent="0.3">
      <c r="B500" s="7" t="s">
        <v>417</v>
      </c>
      <c r="C500" s="9"/>
      <c r="D500" s="205"/>
    </row>
    <row r="501" spans="2:4" ht="15" customHeight="1" x14ac:dyDescent="0.3">
      <c r="B501" s="7"/>
      <c r="C501" s="9"/>
      <c r="D501" s="205"/>
    </row>
    <row r="502" spans="2:4" ht="15" customHeight="1" x14ac:dyDescent="0.3">
      <c r="B502" s="7" t="s">
        <v>416</v>
      </c>
      <c r="C502" s="9"/>
      <c r="D502" s="205"/>
    </row>
    <row r="503" spans="2:4" ht="15" customHeight="1" x14ac:dyDescent="0.3">
      <c r="B503" s="7" t="s">
        <v>418</v>
      </c>
      <c r="C503" s="9"/>
      <c r="D503" s="205"/>
    </row>
    <row r="504" spans="2:4" ht="15" customHeight="1" x14ac:dyDescent="0.3">
      <c r="B504" s="7" t="s">
        <v>419</v>
      </c>
      <c r="C504" s="9"/>
      <c r="D504" s="205"/>
    </row>
    <row r="505" spans="2:4" ht="15" customHeight="1" x14ac:dyDescent="0.3">
      <c r="B505" s="7"/>
      <c r="C505" s="9"/>
      <c r="D505" s="205"/>
    </row>
    <row r="506" spans="2:4" ht="15" customHeight="1" x14ac:dyDescent="0.3">
      <c r="B506" s="7" t="s">
        <v>415</v>
      </c>
      <c r="C506" s="9"/>
      <c r="D506" s="205"/>
    </row>
    <row r="507" spans="2:4" ht="15" customHeight="1" x14ac:dyDescent="0.3">
      <c r="B507" s="7" t="s">
        <v>420</v>
      </c>
      <c r="C507" s="9"/>
      <c r="D507" s="205"/>
    </row>
    <row r="508" spans="2:4" ht="15" customHeight="1" x14ac:dyDescent="0.3">
      <c r="B508" s="7" t="s">
        <v>421</v>
      </c>
      <c r="C508" s="9"/>
      <c r="D508" s="205"/>
    </row>
    <row r="509" spans="2:4" ht="15" customHeight="1" x14ac:dyDescent="0.3">
      <c r="B509" s="7"/>
      <c r="C509" s="9"/>
      <c r="D509" s="205"/>
    </row>
    <row r="510" spans="2:4" ht="15" customHeight="1" x14ac:dyDescent="0.3">
      <c r="B510" s="7" t="s">
        <v>4</v>
      </c>
      <c r="C510" s="9"/>
      <c r="D510" s="205"/>
    </row>
    <row r="511" spans="2:4" ht="15" customHeight="1" x14ac:dyDescent="0.3">
      <c r="B511" s="7" t="s">
        <v>512</v>
      </c>
      <c r="C511" s="9"/>
      <c r="D511" s="205"/>
    </row>
    <row r="512" spans="2:4" ht="15" customHeight="1" x14ac:dyDescent="0.3">
      <c r="B512" s="17" t="s">
        <v>513</v>
      </c>
      <c r="C512" s="681"/>
      <c r="D512" s="209"/>
    </row>
    <row r="517" spans="2:9" ht="15" customHeight="1" x14ac:dyDescent="0.3">
      <c r="B517" s="18" t="s">
        <v>542</v>
      </c>
      <c r="C517" s="19"/>
      <c r="D517" s="19"/>
      <c r="E517" s="713"/>
      <c r="F517" s="19"/>
      <c r="G517" s="19"/>
      <c r="H517" s="19"/>
      <c r="I517" s="691"/>
    </row>
    <row r="518" spans="2:9" ht="15" customHeight="1" x14ac:dyDescent="0.3">
      <c r="B518" s="744">
        <f>Quote!B7*Quote!E7</f>
        <v>0</v>
      </c>
      <c r="C518" s="671">
        <f>Quote!B32*Quote!E32</f>
        <v>0</v>
      </c>
      <c r="D518" s="671">
        <f>Quote!B57*Quote!E57</f>
        <v>0</v>
      </c>
      <c r="E518" s="671">
        <f>Quote!B82*Quote!E82</f>
        <v>0</v>
      </c>
      <c r="F518" s="671">
        <f>Quote!B107*Quote!E107</f>
        <v>0</v>
      </c>
      <c r="G518" s="671">
        <f>Quote!B132*Quote!E132</f>
        <v>0</v>
      </c>
      <c r="H518" s="671">
        <f>Quote!B157*Quote!E157</f>
        <v>0</v>
      </c>
      <c r="I518" s="342">
        <f>Quote!B182*Quote!E182</f>
        <v>0</v>
      </c>
    </row>
    <row r="519" spans="2:9" ht="15" customHeight="1" x14ac:dyDescent="0.3">
      <c r="B519" s="689">
        <f>Quote!B8*Quote!E8</f>
        <v>0</v>
      </c>
      <c r="C519" s="671">
        <f>Quote!B33*Quote!E33</f>
        <v>0</v>
      </c>
      <c r="D519" s="671">
        <f>Quote!B58*Quote!E58</f>
        <v>0</v>
      </c>
      <c r="E519" s="671">
        <f>Quote!B83*Quote!E83</f>
        <v>0</v>
      </c>
      <c r="F519" s="671">
        <f>Quote!B108*Quote!E108</f>
        <v>0</v>
      </c>
      <c r="G519" s="671">
        <f>Quote!B133*Quote!E133</f>
        <v>0</v>
      </c>
      <c r="H519" s="671">
        <f>Quote!B158*Quote!E158</f>
        <v>0</v>
      </c>
      <c r="I519" s="342">
        <f>Quote!B183*Quote!E183</f>
        <v>0</v>
      </c>
    </row>
    <row r="520" spans="2:9" ht="15" customHeight="1" x14ac:dyDescent="0.3">
      <c r="B520" s="689">
        <f>Quote!B9*Quote!E9</f>
        <v>0</v>
      </c>
      <c r="C520" s="671">
        <f>Quote!B34*Quote!E34</f>
        <v>0</v>
      </c>
      <c r="D520" s="671">
        <f>Quote!B59*Quote!E59</f>
        <v>0</v>
      </c>
      <c r="E520" s="671">
        <f>Quote!B84*Quote!E84</f>
        <v>0</v>
      </c>
      <c r="F520" s="671">
        <f>Quote!B109*Quote!E109</f>
        <v>0</v>
      </c>
      <c r="G520" s="671">
        <f>Quote!B134*Quote!E134</f>
        <v>0</v>
      </c>
      <c r="H520" s="671">
        <f>Quote!B159*Quote!E159</f>
        <v>0</v>
      </c>
      <c r="I520" s="342">
        <f>Quote!B184*Quote!E184</f>
        <v>0</v>
      </c>
    </row>
    <row r="521" spans="2:9" ht="15" customHeight="1" x14ac:dyDescent="0.3">
      <c r="B521" s="689">
        <f>Quote!B10*Quote!E10</f>
        <v>0</v>
      </c>
      <c r="C521" s="671">
        <f>Quote!B35*Quote!E35</f>
        <v>0</v>
      </c>
      <c r="D521" s="671">
        <f>Quote!B60*Quote!E60</f>
        <v>0</v>
      </c>
      <c r="E521" s="671">
        <f>Quote!B85*Quote!E85</f>
        <v>0</v>
      </c>
      <c r="F521" s="671">
        <f>Quote!B110*Quote!E110</f>
        <v>0</v>
      </c>
      <c r="G521" s="671">
        <f>Quote!B135*Quote!E135</f>
        <v>0</v>
      </c>
      <c r="H521" s="671">
        <f>Quote!B160*Quote!E160</f>
        <v>0</v>
      </c>
      <c r="I521" s="342">
        <f>Quote!B185*Quote!E185</f>
        <v>0</v>
      </c>
    </row>
    <row r="522" spans="2:9" ht="15" customHeight="1" x14ac:dyDescent="0.3">
      <c r="B522" s="689">
        <f>Quote!B11*Quote!E11</f>
        <v>0</v>
      </c>
      <c r="C522" s="671">
        <f>Quote!B36*Quote!E36</f>
        <v>0</v>
      </c>
      <c r="D522" s="671">
        <f>Quote!B61*Quote!E61</f>
        <v>0</v>
      </c>
      <c r="E522" s="671">
        <f>Quote!B86*Quote!E86</f>
        <v>0</v>
      </c>
      <c r="F522" s="671">
        <f>Quote!B111*Quote!E111</f>
        <v>0</v>
      </c>
      <c r="G522" s="671">
        <f>Quote!B136*Quote!E136</f>
        <v>0</v>
      </c>
      <c r="H522" s="671">
        <f>Quote!B161*Quote!E161</f>
        <v>0</v>
      </c>
      <c r="I522" s="342">
        <f>Quote!B186*Quote!E186</f>
        <v>0</v>
      </c>
    </row>
    <row r="523" spans="2:9" ht="15" customHeight="1" x14ac:dyDescent="0.3">
      <c r="B523" s="689">
        <f>Quote!B12*Quote!E12</f>
        <v>0</v>
      </c>
      <c r="C523" s="671">
        <f>Quote!B37*Quote!E37</f>
        <v>0</v>
      </c>
      <c r="D523" s="671">
        <f>Quote!B62*Quote!E62</f>
        <v>0</v>
      </c>
      <c r="E523" s="671">
        <f>Quote!B87*Quote!E87</f>
        <v>0</v>
      </c>
      <c r="F523" s="671">
        <f>Quote!B112*Quote!E112</f>
        <v>0</v>
      </c>
      <c r="G523" s="671">
        <f>Quote!B137*Quote!E137</f>
        <v>0</v>
      </c>
      <c r="H523" s="671">
        <f>Quote!B162*Quote!E162</f>
        <v>0</v>
      </c>
      <c r="I523" s="342">
        <f>Quote!B187*Quote!E187</f>
        <v>0</v>
      </c>
    </row>
    <row r="524" spans="2:9" ht="15" customHeight="1" x14ac:dyDescent="0.3">
      <c r="B524" s="689">
        <f>Quote!B13*Quote!E13</f>
        <v>0</v>
      </c>
      <c r="C524" s="671">
        <f>Quote!B38*Quote!E38</f>
        <v>0</v>
      </c>
      <c r="D524" s="671">
        <f>Quote!B63*Quote!E63</f>
        <v>0</v>
      </c>
      <c r="E524" s="671">
        <f>Quote!B88*Quote!E88</f>
        <v>0</v>
      </c>
      <c r="F524" s="671">
        <f>Quote!B113*Quote!E113</f>
        <v>0</v>
      </c>
      <c r="G524" s="671">
        <f>Quote!B138*Quote!E138</f>
        <v>0</v>
      </c>
      <c r="H524" s="671">
        <f>Quote!B163*Quote!E163</f>
        <v>0</v>
      </c>
      <c r="I524" s="342">
        <f>Quote!B188*Quote!E188</f>
        <v>0</v>
      </c>
    </row>
    <row r="525" spans="2:9" ht="15" customHeight="1" x14ac:dyDescent="0.3">
      <c r="B525" s="689">
        <f>Quote!B14*Quote!E14</f>
        <v>0</v>
      </c>
      <c r="C525" s="671">
        <f>Quote!B39*Quote!E39</f>
        <v>0</v>
      </c>
      <c r="D525" s="671">
        <f>Quote!B64*Quote!E64</f>
        <v>0</v>
      </c>
      <c r="E525" s="671">
        <f>Quote!B89*Quote!E89</f>
        <v>0</v>
      </c>
      <c r="F525" s="671">
        <f>Quote!B114*Quote!E114</f>
        <v>0</v>
      </c>
      <c r="G525" s="671">
        <f>Quote!B139*Quote!E139</f>
        <v>0</v>
      </c>
      <c r="H525" s="671">
        <f>Quote!B164*Quote!E164</f>
        <v>0</v>
      </c>
      <c r="I525" s="342">
        <f>Quote!B189*Quote!E189</f>
        <v>0</v>
      </c>
    </row>
    <row r="526" spans="2:9" ht="15" customHeight="1" x14ac:dyDescent="0.3">
      <c r="B526" s="689">
        <f>Quote!B15*Quote!E15</f>
        <v>0</v>
      </c>
      <c r="C526" s="671">
        <f>Quote!B40*Quote!E40</f>
        <v>0</v>
      </c>
      <c r="D526" s="671">
        <f>Quote!B65*Quote!E65</f>
        <v>0</v>
      </c>
      <c r="E526" s="671">
        <f>Quote!B90*Quote!E90</f>
        <v>0</v>
      </c>
      <c r="F526" s="671">
        <f>Quote!B115*Quote!E115</f>
        <v>0</v>
      </c>
      <c r="G526" s="671">
        <f>Quote!B140*Quote!E140</f>
        <v>0</v>
      </c>
      <c r="H526" s="671">
        <f>Quote!B165*Quote!E165</f>
        <v>0</v>
      </c>
      <c r="I526" s="342">
        <f>Quote!B190*Quote!E190</f>
        <v>0</v>
      </c>
    </row>
    <row r="527" spans="2:9" ht="15" customHeight="1" x14ac:dyDescent="0.3">
      <c r="B527" s="689">
        <f>Quote!B16*Quote!E16</f>
        <v>0</v>
      </c>
      <c r="C527" s="671">
        <f>Quote!B41*Quote!E41</f>
        <v>0</v>
      </c>
      <c r="D527" s="671">
        <f>Quote!B66*Quote!E66</f>
        <v>0</v>
      </c>
      <c r="E527" s="671">
        <f>Quote!B91*Quote!E91</f>
        <v>0</v>
      </c>
      <c r="F527" s="671">
        <f>Quote!B116*Quote!E116</f>
        <v>0</v>
      </c>
      <c r="G527" s="671">
        <f>Quote!B141*Quote!E141</f>
        <v>0</v>
      </c>
      <c r="H527" s="671">
        <f>Quote!B166*Quote!E166</f>
        <v>0</v>
      </c>
      <c r="I527" s="342">
        <f>Quote!B191*Quote!E191</f>
        <v>0</v>
      </c>
    </row>
    <row r="528" spans="2:9" ht="15" customHeight="1" x14ac:dyDescent="0.3">
      <c r="B528" s="689">
        <f>Quote!B17*Quote!E17</f>
        <v>0</v>
      </c>
      <c r="C528" s="671">
        <f>Quote!B42*Quote!E42</f>
        <v>0</v>
      </c>
      <c r="D528" s="671">
        <f>Quote!B67*Quote!E67</f>
        <v>0</v>
      </c>
      <c r="E528" s="671">
        <f>Quote!B92*Quote!E92</f>
        <v>0</v>
      </c>
      <c r="F528" s="671">
        <f>Quote!B117*Quote!E117</f>
        <v>0</v>
      </c>
      <c r="G528" s="671">
        <f>Quote!B142*Quote!E142</f>
        <v>0</v>
      </c>
      <c r="H528" s="671">
        <f>Quote!B167*Quote!E167</f>
        <v>0</v>
      </c>
      <c r="I528" s="342">
        <f>Quote!B192*Quote!E192</f>
        <v>0</v>
      </c>
    </row>
    <row r="529" spans="2:9" ht="15" customHeight="1" x14ac:dyDescent="0.3">
      <c r="B529" s="689">
        <f>Quote!B18*Quote!E18</f>
        <v>0</v>
      </c>
      <c r="C529" s="671">
        <f>Quote!B43*Quote!E43</f>
        <v>0</v>
      </c>
      <c r="D529" s="671">
        <f>Quote!B68*Quote!E68</f>
        <v>0</v>
      </c>
      <c r="E529" s="671">
        <f>Quote!B93*Quote!E93</f>
        <v>0</v>
      </c>
      <c r="F529" s="671">
        <f>Quote!B118*Quote!E118</f>
        <v>0</v>
      </c>
      <c r="G529" s="671">
        <f>Quote!B143*Quote!E143</f>
        <v>0</v>
      </c>
      <c r="H529" s="671">
        <f>Quote!B168*Quote!E168</f>
        <v>0</v>
      </c>
      <c r="I529" s="342">
        <f>Quote!B193*Quote!E193</f>
        <v>0</v>
      </c>
    </row>
    <row r="530" spans="2:9" ht="15" customHeight="1" x14ac:dyDescent="0.3">
      <c r="B530" s="689">
        <f>Quote!B19*Quote!E19</f>
        <v>0</v>
      </c>
      <c r="C530" s="671">
        <f>Quote!B44*Quote!E44</f>
        <v>0</v>
      </c>
      <c r="D530" s="671">
        <f>Quote!B69*Quote!E69</f>
        <v>0</v>
      </c>
      <c r="E530" s="671">
        <f>Quote!B94*Quote!E94</f>
        <v>0</v>
      </c>
      <c r="F530" s="671">
        <f>Quote!B119*Quote!E119</f>
        <v>0</v>
      </c>
      <c r="G530" s="671">
        <f>Quote!B144*Quote!E144</f>
        <v>0</v>
      </c>
      <c r="H530" s="671">
        <f>Quote!B169*Quote!E169</f>
        <v>0</v>
      </c>
      <c r="I530" s="342">
        <f>Quote!B194*Quote!E194</f>
        <v>0</v>
      </c>
    </row>
    <row r="531" spans="2:9" ht="15" customHeight="1" x14ac:dyDescent="0.3">
      <c r="B531" s="689">
        <f>Quote!B20*Quote!E20</f>
        <v>0</v>
      </c>
      <c r="C531" s="671">
        <f>Quote!B45*Quote!E45</f>
        <v>0</v>
      </c>
      <c r="D531" s="671">
        <f>Quote!B70*Quote!E70</f>
        <v>0</v>
      </c>
      <c r="E531" s="671">
        <f>Quote!B95*Quote!E95</f>
        <v>0</v>
      </c>
      <c r="F531" s="671">
        <f>Quote!B120*Quote!E120</f>
        <v>0</v>
      </c>
      <c r="G531" s="671">
        <f>Quote!B145*Quote!E145</f>
        <v>0</v>
      </c>
      <c r="H531" s="671">
        <f>Quote!B170*Quote!E170</f>
        <v>0</v>
      </c>
      <c r="I531" s="342">
        <f>Quote!B195*Quote!E195</f>
        <v>0</v>
      </c>
    </row>
    <row r="532" spans="2:9" ht="15" customHeight="1" x14ac:dyDescent="0.3">
      <c r="B532" s="689">
        <f>Quote!B21*Quote!E21</f>
        <v>0</v>
      </c>
      <c r="C532" s="671">
        <f>Quote!B46*Quote!E46</f>
        <v>0</v>
      </c>
      <c r="D532" s="671">
        <f>Quote!B71*Quote!E71</f>
        <v>0</v>
      </c>
      <c r="E532" s="671">
        <f>Quote!B96*Quote!E96</f>
        <v>0</v>
      </c>
      <c r="F532" s="671">
        <f>Quote!B121*Quote!E121</f>
        <v>0</v>
      </c>
      <c r="G532" s="671">
        <f>Quote!B146*Quote!E146</f>
        <v>0</v>
      </c>
      <c r="H532" s="671">
        <f>Quote!B171*Quote!E171</f>
        <v>0</v>
      </c>
      <c r="I532" s="342">
        <f>Quote!B196*Quote!E196</f>
        <v>0</v>
      </c>
    </row>
    <row r="533" spans="2:9" ht="15" customHeight="1" x14ac:dyDescent="0.3">
      <c r="B533" s="689">
        <f>Quote!B22*Quote!E22</f>
        <v>0</v>
      </c>
      <c r="C533" s="671">
        <f>Quote!B47*Quote!E47</f>
        <v>0</v>
      </c>
      <c r="D533" s="671">
        <f>Quote!B72*Quote!E72</f>
        <v>0</v>
      </c>
      <c r="E533" s="671">
        <f>Quote!B97*Quote!E97</f>
        <v>0</v>
      </c>
      <c r="F533" s="671">
        <f>Quote!B122*Quote!E122</f>
        <v>0</v>
      </c>
      <c r="G533" s="671">
        <f>Quote!B147*Quote!E147</f>
        <v>0</v>
      </c>
      <c r="H533" s="671">
        <f>Quote!B172*Quote!E172</f>
        <v>0</v>
      </c>
      <c r="I533" s="342">
        <f>Quote!B197*Quote!E197</f>
        <v>0</v>
      </c>
    </row>
    <row r="534" spans="2:9" ht="15" customHeight="1" x14ac:dyDescent="0.3">
      <c r="B534" s="689">
        <f>Quote!B23*Quote!E23</f>
        <v>0</v>
      </c>
      <c r="C534" s="671">
        <f>Quote!B48*Quote!E48</f>
        <v>0</v>
      </c>
      <c r="D534" s="671">
        <f>Quote!B73*Quote!E73</f>
        <v>0</v>
      </c>
      <c r="E534" s="671">
        <f>Quote!B98*Quote!E98</f>
        <v>0</v>
      </c>
      <c r="F534" s="671">
        <f>Quote!B123*Quote!E123</f>
        <v>0</v>
      </c>
      <c r="G534" s="671">
        <f>Quote!B148*Quote!E148</f>
        <v>0</v>
      </c>
      <c r="H534" s="671">
        <f>Quote!B173*Quote!E173</f>
        <v>0</v>
      </c>
      <c r="I534" s="342">
        <f>Quote!B198*Quote!E198</f>
        <v>0</v>
      </c>
    </row>
    <row r="535" spans="2:9" ht="15" customHeight="1" x14ac:dyDescent="0.3">
      <c r="B535" s="689">
        <f>Quote!B24*Quote!E24</f>
        <v>0</v>
      </c>
      <c r="C535" s="671">
        <f>Quote!B49*Quote!E49</f>
        <v>0</v>
      </c>
      <c r="D535" s="671">
        <f>Quote!B74*Quote!E74</f>
        <v>0</v>
      </c>
      <c r="E535" s="671">
        <f>Quote!B99*Quote!E99</f>
        <v>0</v>
      </c>
      <c r="F535" s="671">
        <f>Quote!B124*Quote!E124</f>
        <v>0</v>
      </c>
      <c r="G535" s="671">
        <f>Quote!B149*Quote!E149</f>
        <v>0</v>
      </c>
      <c r="H535" s="671">
        <f>Quote!B174*Quote!E174</f>
        <v>0</v>
      </c>
      <c r="I535" s="342">
        <f>Quote!B199*Quote!E199</f>
        <v>0</v>
      </c>
    </row>
    <row r="536" spans="2:9" ht="15" customHeight="1" x14ac:dyDescent="0.3">
      <c r="B536" s="689">
        <f>Quote!B25*Quote!E25</f>
        <v>0</v>
      </c>
      <c r="C536" s="671">
        <f>Quote!B50*Quote!E50</f>
        <v>0</v>
      </c>
      <c r="D536" s="671">
        <f>Quote!B75*Quote!E75</f>
        <v>0</v>
      </c>
      <c r="E536" s="671">
        <f>Quote!B100*Quote!E100</f>
        <v>0</v>
      </c>
      <c r="F536" s="671">
        <f>Quote!B125*Quote!E125</f>
        <v>0</v>
      </c>
      <c r="G536" s="671">
        <f>Quote!B150*Quote!E150</f>
        <v>0</v>
      </c>
      <c r="H536" s="671">
        <f>Quote!B175*Quote!E175</f>
        <v>0</v>
      </c>
      <c r="I536" s="342">
        <f>Quote!B200*Quote!E200</f>
        <v>0</v>
      </c>
    </row>
    <row r="537" spans="2:9" ht="15" customHeight="1" x14ac:dyDescent="0.3">
      <c r="B537" s="689">
        <f>Quote!B26*Quote!E26</f>
        <v>0</v>
      </c>
      <c r="C537" s="671">
        <f>Quote!B51*Quote!E51</f>
        <v>0</v>
      </c>
      <c r="D537" s="671">
        <f>Quote!B76*Quote!E76</f>
        <v>0</v>
      </c>
      <c r="E537" s="671">
        <f>Quote!B101*Quote!E101</f>
        <v>0</v>
      </c>
      <c r="F537" s="671">
        <f>Quote!B126*Quote!E126</f>
        <v>0</v>
      </c>
      <c r="G537" s="671">
        <f>Quote!B151*Quote!E151</f>
        <v>0</v>
      </c>
      <c r="H537" s="671">
        <f>Quote!B176*Quote!E176</f>
        <v>0</v>
      </c>
      <c r="I537" s="342">
        <f>Quote!B201*Quote!E201</f>
        <v>0</v>
      </c>
    </row>
    <row r="538" spans="2:9" ht="15" customHeight="1" x14ac:dyDescent="0.3">
      <c r="B538" s="689">
        <f>Quote!B27*Quote!E27</f>
        <v>0</v>
      </c>
      <c r="C538" s="671">
        <f>Quote!B52*Quote!E52</f>
        <v>0</v>
      </c>
      <c r="D538" s="671">
        <f>Quote!B77*Quote!E77</f>
        <v>0</v>
      </c>
      <c r="E538" s="671">
        <f>Quote!B102*Quote!E102</f>
        <v>0</v>
      </c>
      <c r="F538" s="671">
        <f>Quote!B127*Quote!E127</f>
        <v>0</v>
      </c>
      <c r="G538" s="671">
        <f>Quote!B152*Quote!E152</f>
        <v>0</v>
      </c>
      <c r="H538" s="671">
        <f>Quote!B177*Quote!E177</f>
        <v>0</v>
      </c>
      <c r="I538" s="342">
        <f>Quote!B202*Quote!E202</f>
        <v>0</v>
      </c>
    </row>
    <row r="539" spans="2:9" ht="15" customHeight="1" x14ac:dyDescent="0.3">
      <c r="B539" s="689">
        <f>Quote!B28*Quote!E28</f>
        <v>0</v>
      </c>
      <c r="C539" s="671">
        <f>Quote!B53*Quote!E53</f>
        <v>0</v>
      </c>
      <c r="D539" s="671">
        <f>Quote!B78*Quote!E78</f>
        <v>0</v>
      </c>
      <c r="E539" s="671">
        <f>Quote!B103*Quote!E103</f>
        <v>0</v>
      </c>
      <c r="F539" s="671">
        <f>Quote!B128*Quote!E128</f>
        <v>0</v>
      </c>
      <c r="G539" s="671">
        <f>Quote!B153*Quote!E153</f>
        <v>0</v>
      </c>
      <c r="H539" s="671">
        <f>Quote!B178*Quote!E178</f>
        <v>0</v>
      </c>
      <c r="I539" s="342">
        <f>Quote!B203*Quote!E203</f>
        <v>0</v>
      </c>
    </row>
    <row r="540" spans="2:9" ht="15" customHeight="1" x14ac:dyDescent="0.3">
      <c r="B540" s="689">
        <f>Quote!B29*Quote!E29</f>
        <v>0</v>
      </c>
      <c r="C540" s="671">
        <f>Quote!B54*Quote!E54</f>
        <v>0</v>
      </c>
      <c r="D540" s="671">
        <f>Quote!B79*Quote!E79</f>
        <v>0</v>
      </c>
      <c r="E540" s="671">
        <f>Quote!B104*Quote!E104</f>
        <v>0</v>
      </c>
      <c r="F540" s="671">
        <f>Quote!B129*Quote!E129</f>
        <v>0</v>
      </c>
      <c r="G540" s="671">
        <f>Quote!B154*Quote!E154</f>
        <v>0</v>
      </c>
      <c r="H540" s="671">
        <f>Quote!B179*Quote!E179</f>
        <v>0</v>
      </c>
      <c r="I540" s="342">
        <f>Quote!B204*Quote!E204</f>
        <v>0</v>
      </c>
    </row>
    <row r="541" spans="2:9" ht="15" customHeight="1" x14ac:dyDescent="0.3">
      <c r="B541" s="689">
        <f>Quote!B30*Quote!E30</f>
        <v>0</v>
      </c>
      <c r="C541" s="671">
        <f>Quote!B55*Quote!E55</f>
        <v>0</v>
      </c>
      <c r="D541" s="671">
        <f>Quote!B80*Quote!E80</f>
        <v>0</v>
      </c>
      <c r="E541" s="671">
        <f>Quote!B105*Quote!E105</f>
        <v>0</v>
      </c>
      <c r="F541" s="671">
        <f>Quote!B130*Quote!E130</f>
        <v>0</v>
      </c>
      <c r="G541" s="671">
        <f>Quote!B155*Quote!E155</f>
        <v>0</v>
      </c>
      <c r="H541" s="671">
        <f>Quote!B180*Quote!E180</f>
        <v>0</v>
      </c>
      <c r="I541" s="342">
        <f>Quote!B205*Quote!E205</f>
        <v>0</v>
      </c>
    </row>
    <row r="542" spans="2:9" ht="15" customHeight="1" x14ac:dyDescent="0.3">
      <c r="B542" s="689">
        <f>Quote!B31*Quote!E31</f>
        <v>0</v>
      </c>
      <c r="C542" s="671">
        <f>Quote!B56*Quote!E56</f>
        <v>0</v>
      </c>
      <c r="D542" s="671">
        <f>Quote!B81*Quote!E81</f>
        <v>0</v>
      </c>
      <c r="E542" s="671">
        <f>Quote!B106*Quote!E106</f>
        <v>0</v>
      </c>
      <c r="F542" s="671">
        <f>Quote!B131*Quote!E131</f>
        <v>0</v>
      </c>
      <c r="G542" s="671">
        <f>Quote!B156*Quote!E156</f>
        <v>0</v>
      </c>
      <c r="H542" s="671">
        <f>Quote!B181*Quote!E181</f>
        <v>0</v>
      </c>
      <c r="I542" s="342">
        <f>Quote!B206*Quote!E206</f>
        <v>0</v>
      </c>
    </row>
    <row r="543" spans="2:9" ht="15" customHeight="1" x14ac:dyDescent="0.3">
      <c r="B543" s="7" t="s">
        <v>540</v>
      </c>
      <c r="C543" s="22">
        <f>SUM(B518:I542)</f>
        <v>0</v>
      </c>
      <c r="D543" s="9"/>
      <c r="E543" s="9"/>
      <c r="F543" s="9"/>
      <c r="G543" s="9"/>
      <c r="H543" s="9"/>
      <c r="I543" s="205"/>
    </row>
    <row r="544" spans="2:9" ht="15" customHeight="1" x14ac:dyDescent="0.3">
      <c r="B544" s="7"/>
      <c r="C544" s="9"/>
      <c r="D544" s="9"/>
      <c r="E544" s="9"/>
      <c r="F544" s="9"/>
      <c r="G544" s="9"/>
      <c r="H544" s="9"/>
      <c r="I544" s="205"/>
    </row>
    <row r="545" spans="2:9" ht="15" customHeight="1" x14ac:dyDescent="0.3">
      <c r="B545" s="689">
        <f>Quote!B7*Quote!G7</f>
        <v>0</v>
      </c>
      <c r="C545" s="671">
        <f>Quote!B32*Quote!G32</f>
        <v>0</v>
      </c>
      <c r="D545" s="671">
        <f>Quote!B57*Quote!G57</f>
        <v>0</v>
      </c>
      <c r="E545" s="671">
        <f>Quote!B82*Quote!G82</f>
        <v>0</v>
      </c>
      <c r="F545" s="671">
        <f>Quote!B107*Quote!G107</f>
        <v>0</v>
      </c>
      <c r="G545" s="671">
        <f>Quote!B132*Quote!G132</f>
        <v>0</v>
      </c>
      <c r="H545" s="671">
        <f>Quote!B157*Quote!G157</f>
        <v>0</v>
      </c>
      <c r="I545" s="342">
        <f>Quote!B182*Quote!G182</f>
        <v>0</v>
      </c>
    </row>
    <row r="546" spans="2:9" ht="15" customHeight="1" x14ac:dyDescent="0.3">
      <c r="B546" s="689">
        <f>Quote!B8*Quote!G8</f>
        <v>0</v>
      </c>
      <c r="C546" s="671">
        <f>Quote!B33*Quote!G33</f>
        <v>0</v>
      </c>
      <c r="D546" s="671">
        <f>Quote!B58*Quote!G58</f>
        <v>0</v>
      </c>
      <c r="E546" s="671">
        <f>Quote!B83*Quote!G83</f>
        <v>0</v>
      </c>
      <c r="F546" s="671">
        <f>Quote!B108*Quote!G108</f>
        <v>0</v>
      </c>
      <c r="G546" s="671">
        <f>Quote!B133*Quote!G133</f>
        <v>0</v>
      </c>
      <c r="H546" s="671">
        <f>Quote!B158*Quote!G158</f>
        <v>0</v>
      </c>
      <c r="I546" s="342">
        <f>Quote!B183*Quote!G183</f>
        <v>0</v>
      </c>
    </row>
    <row r="547" spans="2:9" ht="15" customHeight="1" x14ac:dyDescent="0.3">
      <c r="B547" s="689">
        <f>Quote!B9*Quote!G9</f>
        <v>0</v>
      </c>
      <c r="C547" s="671">
        <f>Quote!B34*Quote!G34</f>
        <v>0</v>
      </c>
      <c r="D547" s="671">
        <f>Quote!B59*Quote!G59</f>
        <v>0</v>
      </c>
      <c r="E547" s="671">
        <f>Quote!B84*Quote!G84</f>
        <v>0</v>
      </c>
      <c r="F547" s="671">
        <f>Quote!B109*Quote!G109</f>
        <v>0</v>
      </c>
      <c r="G547" s="671">
        <f>Quote!B134*Quote!G134</f>
        <v>0</v>
      </c>
      <c r="H547" s="671">
        <f>Quote!B159*Quote!G159</f>
        <v>0</v>
      </c>
      <c r="I547" s="342">
        <f>Quote!B184*Quote!G184</f>
        <v>0</v>
      </c>
    </row>
    <row r="548" spans="2:9" ht="15" customHeight="1" x14ac:dyDescent="0.3">
      <c r="B548" s="689">
        <f>Quote!B10*Quote!G10</f>
        <v>0</v>
      </c>
      <c r="C548" s="671">
        <f>Quote!B35*Quote!G35</f>
        <v>0</v>
      </c>
      <c r="D548" s="671">
        <f>Quote!B60*Quote!G60</f>
        <v>0</v>
      </c>
      <c r="E548" s="671">
        <f>Quote!B85*Quote!G85</f>
        <v>0</v>
      </c>
      <c r="F548" s="671">
        <f>Quote!B110*Quote!G110</f>
        <v>0</v>
      </c>
      <c r="G548" s="671">
        <f>Quote!B135*Quote!G135</f>
        <v>0</v>
      </c>
      <c r="H548" s="671">
        <f>Quote!B160*Quote!G160</f>
        <v>0</v>
      </c>
      <c r="I548" s="342">
        <f>Quote!B185*Quote!G185</f>
        <v>0</v>
      </c>
    </row>
    <row r="549" spans="2:9" ht="15" customHeight="1" x14ac:dyDescent="0.3">
      <c r="B549" s="689">
        <f>Quote!B11*Quote!G11</f>
        <v>0</v>
      </c>
      <c r="C549" s="671">
        <f>Quote!B36*Quote!G36</f>
        <v>0</v>
      </c>
      <c r="D549" s="671">
        <f>Quote!B61*Quote!G61</f>
        <v>0</v>
      </c>
      <c r="E549" s="671">
        <f>Quote!B86*Quote!G86</f>
        <v>0</v>
      </c>
      <c r="F549" s="671">
        <f>Quote!B111*Quote!G111</f>
        <v>0</v>
      </c>
      <c r="G549" s="671">
        <f>Quote!B136*Quote!G136</f>
        <v>0</v>
      </c>
      <c r="H549" s="671">
        <f>Quote!B161*Quote!G161</f>
        <v>0</v>
      </c>
      <c r="I549" s="342">
        <f>Quote!B186*Quote!G186</f>
        <v>0</v>
      </c>
    </row>
    <row r="550" spans="2:9" ht="15" customHeight="1" x14ac:dyDescent="0.3">
      <c r="B550" s="689">
        <f>Quote!B12*Quote!G12</f>
        <v>0</v>
      </c>
      <c r="C550" s="671">
        <f>Quote!B37*Quote!G37</f>
        <v>0</v>
      </c>
      <c r="D550" s="671">
        <f>Quote!B62*Quote!G62</f>
        <v>0</v>
      </c>
      <c r="E550" s="671">
        <f>Quote!B87*Quote!G87</f>
        <v>0</v>
      </c>
      <c r="F550" s="671">
        <f>Quote!B112*Quote!G112</f>
        <v>0</v>
      </c>
      <c r="G550" s="671">
        <f>Quote!B137*Quote!G137</f>
        <v>0</v>
      </c>
      <c r="H550" s="671">
        <f>Quote!B162*Quote!G162</f>
        <v>0</v>
      </c>
      <c r="I550" s="342">
        <f>Quote!B187*Quote!G187</f>
        <v>0</v>
      </c>
    </row>
    <row r="551" spans="2:9" ht="15" customHeight="1" x14ac:dyDescent="0.3">
      <c r="B551" s="689">
        <f>Quote!B13*Quote!G13</f>
        <v>0</v>
      </c>
      <c r="C551" s="671">
        <f>Quote!B38*Quote!G38</f>
        <v>0</v>
      </c>
      <c r="D551" s="671">
        <f>Quote!B63*Quote!G63</f>
        <v>0</v>
      </c>
      <c r="E551" s="671">
        <f>Quote!B88*Quote!G88</f>
        <v>0</v>
      </c>
      <c r="F551" s="671">
        <f>Quote!B113*Quote!G113</f>
        <v>0</v>
      </c>
      <c r="G551" s="671">
        <f>Quote!B138*Quote!G138</f>
        <v>0</v>
      </c>
      <c r="H551" s="671">
        <f>Quote!B163*Quote!G163</f>
        <v>0</v>
      </c>
      <c r="I551" s="342">
        <f>Quote!B188*Quote!G188</f>
        <v>0</v>
      </c>
    </row>
    <row r="552" spans="2:9" ht="15" customHeight="1" x14ac:dyDescent="0.3">
      <c r="B552" s="689">
        <f>Quote!B14*Quote!G14</f>
        <v>0</v>
      </c>
      <c r="C552" s="671">
        <f>Quote!B39*Quote!G39</f>
        <v>0</v>
      </c>
      <c r="D552" s="671">
        <f>Quote!B64*Quote!G64</f>
        <v>0</v>
      </c>
      <c r="E552" s="671">
        <f>Quote!B89*Quote!G89</f>
        <v>0</v>
      </c>
      <c r="F552" s="671">
        <f>Quote!B114*Quote!G114</f>
        <v>0</v>
      </c>
      <c r="G552" s="671">
        <f>Quote!B139*Quote!G139</f>
        <v>0</v>
      </c>
      <c r="H552" s="671">
        <f>Quote!B164*Quote!G164</f>
        <v>0</v>
      </c>
      <c r="I552" s="342">
        <f>Quote!B189*Quote!G189</f>
        <v>0</v>
      </c>
    </row>
    <row r="553" spans="2:9" ht="15" customHeight="1" x14ac:dyDescent="0.3">
      <c r="B553" s="689">
        <f>Quote!B15*Quote!G15</f>
        <v>0</v>
      </c>
      <c r="C553" s="671">
        <f>Quote!B40*Quote!G40</f>
        <v>0</v>
      </c>
      <c r="D553" s="671">
        <f>Quote!B65*Quote!G65</f>
        <v>0</v>
      </c>
      <c r="E553" s="671">
        <f>Quote!B90*Quote!G90</f>
        <v>0</v>
      </c>
      <c r="F553" s="671">
        <f>Quote!B115*Quote!G115</f>
        <v>0</v>
      </c>
      <c r="G553" s="671">
        <f>Quote!B140*Quote!G140</f>
        <v>0</v>
      </c>
      <c r="H553" s="671">
        <f>Quote!B165*Quote!G165</f>
        <v>0</v>
      </c>
      <c r="I553" s="342">
        <f>Quote!B190*Quote!G190</f>
        <v>0</v>
      </c>
    </row>
    <row r="554" spans="2:9" ht="15" customHeight="1" x14ac:dyDescent="0.3">
      <c r="B554" s="689">
        <f>Quote!B16*Quote!G16</f>
        <v>0</v>
      </c>
      <c r="C554" s="671">
        <f>Quote!B41*Quote!G41</f>
        <v>0</v>
      </c>
      <c r="D554" s="671">
        <f>Quote!B66*Quote!G66</f>
        <v>0</v>
      </c>
      <c r="E554" s="671">
        <f>Quote!B91*Quote!G91</f>
        <v>0</v>
      </c>
      <c r="F554" s="671">
        <f>Quote!B116*Quote!G116</f>
        <v>0</v>
      </c>
      <c r="G554" s="671">
        <f>Quote!B141*Quote!G141</f>
        <v>0</v>
      </c>
      <c r="H554" s="671">
        <f>Quote!B166*Quote!G166</f>
        <v>0</v>
      </c>
      <c r="I554" s="342">
        <f>Quote!B191*Quote!G191</f>
        <v>0</v>
      </c>
    </row>
    <row r="555" spans="2:9" ht="15" customHeight="1" x14ac:dyDescent="0.3">
      <c r="B555" s="689">
        <f>Quote!B17*Quote!G17</f>
        <v>0</v>
      </c>
      <c r="C555" s="671">
        <f>Quote!B42*Quote!G42</f>
        <v>0</v>
      </c>
      <c r="D555" s="671">
        <f>Quote!B67*Quote!G67</f>
        <v>0</v>
      </c>
      <c r="E555" s="671">
        <f>Quote!B92*Quote!G92</f>
        <v>0</v>
      </c>
      <c r="F555" s="671">
        <f>Quote!B117*Quote!G117</f>
        <v>0</v>
      </c>
      <c r="G555" s="671">
        <f>Quote!B142*Quote!G142</f>
        <v>0</v>
      </c>
      <c r="H555" s="671">
        <f>Quote!B167*Quote!G167</f>
        <v>0</v>
      </c>
      <c r="I555" s="342">
        <f>Quote!B192*Quote!G192</f>
        <v>0</v>
      </c>
    </row>
    <row r="556" spans="2:9" ht="15" customHeight="1" x14ac:dyDescent="0.3">
      <c r="B556" s="689">
        <f>Quote!B18*Quote!G18</f>
        <v>0</v>
      </c>
      <c r="C556" s="671">
        <f>Quote!B43*Quote!G43</f>
        <v>0</v>
      </c>
      <c r="D556" s="671">
        <f>Quote!B68*Quote!G68</f>
        <v>0</v>
      </c>
      <c r="E556" s="671">
        <f>Quote!B93*Quote!G93</f>
        <v>0</v>
      </c>
      <c r="F556" s="671">
        <f>Quote!B118*Quote!G118</f>
        <v>0</v>
      </c>
      <c r="G556" s="671">
        <f>Quote!B143*Quote!G143</f>
        <v>0</v>
      </c>
      <c r="H556" s="671">
        <f>Quote!B168*Quote!G168</f>
        <v>0</v>
      </c>
      <c r="I556" s="342">
        <f>Quote!B193*Quote!G193</f>
        <v>0</v>
      </c>
    </row>
    <row r="557" spans="2:9" ht="15" customHeight="1" x14ac:dyDescent="0.3">
      <c r="B557" s="689">
        <f>Quote!B19*Quote!G19</f>
        <v>0</v>
      </c>
      <c r="C557" s="671">
        <f>Quote!B44*Quote!G44</f>
        <v>0</v>
      </c>
      <c r="D557" s="671">
        <f>Quote!B69*Quote!G69</f>
        <v>0</v>
      </c>
      <c r="E557" s="671">
        <f>Quote!B94*Quote!G94</f>
        <v>0</v>
      </c>
      <c r="F557" s="671">
        <f>Quote!B119*Quote!G119</f>
        <v>0</v>
      </c>
      <c r="G557" s="671">
        <f>Quote!B144*Quote!G144</f>
        <v>0</v>
      </c>
      <c r="H557" s="671">
        <f>Quote!B169*Quote!G169</f>
        <v>0</v>
      </c>
      <c r="I557" s="342">
        <f>Quote!B194*Quote!G194</f>
        <v>0</v>
      </c>
    </row>
    <row r="558" spans="2:9" ht="15" customHeight="1" x14ac:dyDescent="0.3">
      <c r="B558" s="689">
        <f>Quote!B20*Quote!G20</f>
        <v>0</v>
      </c>
      <c r="C558" s="671">
        <f>Quote!B45*Quote!G45</f>
        <v>0</v>
      </c>
      <c r="D558" s="671">
        <f>Quote!B70*Quote!G70</f>
        <v>0</v>
      </c>
      <c r="E558" s="671">
        <f>Quote!B95*Quote!G95</f>
        <v>0</v>
      </c>
      <c r="F558" s="671">
        <f>Quote!B120*Quote!G120</f>
        <v>0</v>
      </c>
      <c r="G558" s="671">
        <f>Quote!B145*Quote!G145</f>
        <v>0</v>
      </c>
      <c r="H558" s="671">
        <f>Quote!B170*Quote!G170</f>
        <v>0</v>
      </c>
      <c r="I558" s="342">
        <f>Quote!B195*Quote!G195</f>
        <v>0</v>
      </c>
    </row>
    <row r="559" spans="2:9" ht="15" customHeight="1" x14ac:dyDescent="0.3">
      <c r="B559" s="689">
        <f>Quote!B21*Quote!G21</f>
        <v>0</v>
      </c>
      <c r="C559" s="671">
        <f>Quote!B46*Quote!G46</f>
        <v>0</v>
      </c>
      <c r="D559" s="671">
        <f>Quote!B71*Quote!G71</f>
        <v>0</v>
      </c>
      <c r="E559" s="671">
        <f>Quote!B96*Quote!G96</f>
        <v>0</v>
      </c>
      <c r="F559" s="671">
        <f>Quote!B121*Quote!G121</f>
        <v>0</v>
      </c>
      <c r="G559" s="671">
        <f>Quote!B146*Quote!G146</f>
        <v>0</v>
      </c>
      <c r="H559" s="671">
        <f>Quote!B171*Quote!G171</f>
        <v>0</v>
      </c>
      <c r="I559" s="342">
        <f>Quote!B196*Quote!G196</f>
        <v>0</v>
      </c>
    </row>
    <row r="560" spans="2:9" ht="15" customHeight="1" x14ac:dyDescent="0.3">
      <c r="B560" s="689">
        <f>Quote!B22*Quote!G22</f>
        <v>0</v>
      </c>
      <c r="C560" s="671">
        <f>Quote!B47*Quote!G47</f>
        <v>0</v>
      </c>
      <c r="D560" s="671">
        <f>Quote!B72*Quote!G72</f>
        <v>0</v>
      </c>
      <c r="E560" s="671">
        <f>Quote!B97*Quote!G97</f>
        <v>0</v>
      </c>
      <c r="F560" s="671">
        <f>Quote!B122*Quote!G122</f>
        <v>0</v>
      </c>
      <c r="G560" s="671">
        <f>Quote!B147*Quote!G147</f>
        <v>0</v>
      </c>
      <c r="H560" s="671">
        <f>Quote!B172*Quote!G172</f>
        <v>0</v>
      </c>
      <c r="I560" s="342">
        <f>Quote!B197*Quote!G197</f>
        <v>0</v>
      </c>
    </row>
    <row r="561" spans="2:9" ht="15" customHeight="1" x14ac:dyDescent="0.3">
      <c r="B561" s="689">
        <f>Quote!B23*Quote!G23</f>
        <v>0</v>
      </c>
      <c r="C561" s="671">
        <f>Quote!B48*Quote!G48</f>
        <v>0</v>
      </c>
      <c r="D561" s="671">
        <f>Quote!B73*Quote!G73</f>
        <v>0</v>
      </c>
      <c r="E561" s="671">
        <f>Quote!B98*Quote!G98</f>
        <v>0</v>
      </c>
      <c r="F561" s="671">
        <f>Quote!B123*Quote!G123</f>
        <v>0</v>
      </c>
      <c r="G561" s="671">
        <f>Quote!B148*Quote!G148</f>
        <v>0</v>
      </c>
      <c r="H561" s="671">
        <f>Quote!B173*Quote!G173</f>
        <v>0</v>
      </c>
      <c r="I561" s="342">
        <f>Quote!B198*Quote!G198</f>
        <v>0</v>
      </c>
    </row>
    <row r="562" spans="2:9" ht="15" customHeight="1" x14ac:dyDescent="0.3">
      <c r="B562" s="689">
        <f>Quote!B24*Quote!G24</f>
        <v>0</v>
      </c>
      <c r="C562" s="671">
        <f>Quote!B49*Quote!G49</f>
        <v>0</v>
      </c>
      <c r="D562" s="671">
        <f>Quote!B74*Quote!G74</f>
        <v>0</v>
      </c>
      <c r="E562" s="671">
        <f>Quote!B99*Quote!G99</f>
        <v>0</v>
      </c>
      <c r="F562" s="671">
        <f>Quote!B124*Quote!G124</f>
        <v>0</v>
      </c>
      <c r="G562" s="671">
        <f>Quote!B149*Quote!G149</f>
        <v>0</v>
      </c>
      <c r="H562" s="671">
        <f>Quote!B174*Quote!G174</f>
        <v>0</v>
      </c>
      <c r="I562" s="342">
        <f>Quote!B199*Quote!G199</f>
        <v>0</v>
      </c>
    </row>
    <row r="563" spans="2:9" ht="15" customHeight="1" x14ac:dyDescent="0.3">
      <c r="B563" s="689">
        <f>Quote!B25*Quote!G25</f>
        <v>0</v>
      </c>
      <c r="C563" s="671">
        <f>Quote!B50*Quote!G50</f>
        <v>0</v>
      </c>
      <c r="D563" s="671">
        <f>Quote!B75*Quote!G75</f>
        <v>0</v>
      </c>
      <c r="E563" s="671">
        <f>Quote!B100*Quote!G100</f>
        <v>0</v>
      </c>
      <c r="F563" s="671">
        <f>Quote!B125*Quote!G125</f>
        <v>0</v>
      </c>
      <c r="G563" s="671">
        <f>Quote!B150*Quote!G150</f>
        <v>0</v>
      </c>
      <c r="H563" s="671">
        <f>Quote!B175*Quote!G175</f>
        <v>0</v>
      </c>
      <c r="I563" s="342">
        <f>Quote!B200*Quote!G200</f>
        <v>0</v>
      </c>
    </row>
    <row r="564" spans="2:9" ht="15" customHeight="1" x14ac:dyDescent="0.3">
      <c r="B564" s="689">
        <f>Quote!B26*Quote!G26</f>
        <v>0</v>
      </c>
      <c r="C564" s="671">
        <f>Quote!B51*Quote!G51</f>
        <v>0</v>
      </c>
      <c r="D564" s="671">
        <f>Quote!B76*Quote!G76</f>
        <v>0</v>
      </c>
      <c r="E564" s="671">
        <f>Quote!B101*Quote!G101</f>
        <v>0</v>
      </c>
      <c r="F564" s="671">
        <f>Quote!B126*Quote!G126</f>
        <v>0</v>
      </c>
      <c r="G564" s="671">
        <f>Quote!B151*Quote!G151</f>
        <v>0</v>
      </c>
      <c r="H564" s="671">
        <f>Quote!B176*Quote!G176</f>
        <v>0</v>
      </c>
      <c r="I564" s="342">
        <f>Quote!B201*Quote!G201</f>
        <v>0</v>
      </c>
    </row>
    <row r="565" spans="2:9" ht="15" customHeight="1" x14ac:dyDescent="0.3">
      <c r="B565" s="689">
        <f>Quote!B27*Quote!G27</f>
        <v>0</v>
      </c>
      <c r="C565" s="671">
        <f>Quote!B52*Quote!G52</f>
        <v>0</v>
      </c>
      <c r="D565" s="671">
        <f>Quote!B77*Quote!G77</f>
        <v>0</v>
      </c>
      <c r="E565" s="671">
        <f>Quote!B102*Quote!G102</f>
        <v>0</v>
      </c>
      <c r="F565" s="671">
        <f>Quote!B127*Quote!G127</f>
        <v>0</v>
      </c>
      <c r="G565" s="671">
        <f>Quote!B152*Quote!G152</f>
        <v>0</v>
      </c>
      <c r="H565" s="671">
        <f>Quote!B177*Quote!G177</f>
        <v>0</v>
      </c>
      <c r="I565" s="342">
        <f>Quote!B202*Quote!G202</f>
        <v>0</v>
      </c>
    </row>
    <row r="566" spans="2:9" ht="15" customHeight="1" x14ac:dyDescent="0.3">
      <c r="B566" s="689">
        <f>Quote!B28*Quote!G28</f>
        <v>0</v>
      </c>
      <c r="C566" s="671">
        <f>Quote!B53*Quote!G53</f>
        <v>0</v>
      </c>
      <c r="D566" s="671">
        <f>Quote!B78*Quote!G78</f>
        <v>0</v>
      </c>
      <c r="E566" s="671">
        <f>Quote!B103*Quote!G103</f>
        <v>0</v>
      </c>
      <c r="F566" s="671">
        <f>Quote!B128*Quote!G128</f>
        <v>0</v>
      </c>
      <c r="G566" s="671">
        <f>Quote!B153*Quote!G153</f>
        <v>0</v>
      </c>
      <c r="H566" s="671">
        <f>Quote!B178*Quote!G178</f>
        <v>0</v>
      </c>
      <c r="I566" s="342">
        <f>Quote!B203*Quote!G203</f>
        <v>0</v>
      </c>
    </row>
    <row r="567" spans="2:9" ht="15" customHeight="1" x14ac:dyDescent="0.3">
      <c r="B567" s="689">
        <f>Quote!B29*Quote!G29</f>
        <v>0</v>
      </c>
      <c r="C567" s="671">
        <f>Quote!B54*Quote!G54</f>
        <v>0</v>
      </c>
      <c r="D567" s="671">
        <f>Quote!B79*Quote!G79</f>
        <v>0</v>
      </c>
      <c r="E567" s="671">
        <f>Quote!B104*Quote!G104</f>
        <v>0</v>
      </c>
      <c r="F567" s="671">
        <f>Quote!B129*Quote!G129</f>
        <v>0</v>
      </c>
      <c r="G567" s="671">
        <f>Quote!B154*Quote!G154</f>
        <v>0</v>
      </c>
      <c r="H567" s="671">
        <f>Quote!B179*Quote!G179</f>
        <v>0</v>
      </c>
      <c r="I567" s="342">
        <f>Quote!B204*Quote!G204</f>
        <v>0</v>
      </c>
    </row>
    <row r="568" spans="2:9" ht="15" customHeight="1" x14ac:dyDescent="0.3">
      <c r="B568" s="689">
        <f>Quote!B30*Quote!G30</f>
        <v>0</v>
      </c>
      <c r="C568" s="671">
        <f>Quote!B55*Quote!G55</f>
        <v>0</v>
      </c>
      <c r="D568" s="671">
        <f>Quote!B80*Quote!G80</f>
        <v>0</v>
      </c>
      <c r="E568" s="671">
        <f>Quote!B105*Quote!G105</f>
        <v>0</v>
      </c>
      <c r="F568" s="671">
        <f>Quote!B130*Quote!G130</f>
        <v>0</v>
      </c>
      <c r="G568" s="671">
        <f>Quote!B155*Quote!G155</f>
        <v>0</v>
      </c>
      <c r="H568" s="671">
        <f>Quote!B180*Quote!G180</f>
        <v>0</v>
      </c>
      <c r="I568" s="342">
        <f>Quote!B205*Quote!G205</f>
        <v>0</v>
      </c>
    </row>
    <row r="569" spans="2:9" ht="15" customHeight="1" x14ac:dyDescent="0.3">
      <c r="B569" s="689">
        <f>Quote!B31*Quote!G31</f>
        <v>0</v>
      </c>
      <c r="C569" s="671">
        <f>Quote!B56*Quote!G56</f>
        <v>0</v>
      </c>
      <c r="D569" s="671">
        <f>Quote!B81*Quote!G81</f>
        <v>0</v>
      </c>
      <c r="E569" s="671">
        <f>Quote!B106*Quote!G106</f>
        <v>0</v>
      </c>
      <c r="F569" s="671">
        <f>Quote!B131*Quote!G131</f>
        <v>0</v>
      </c>
      <c r="G569" s="671">
        <f>Quote!B156*Quote!G156</f>
        <v>0</v>
      </c>
      <c r="H569" s="671">
        <f>Quote!B181*Quote!G181</f>
        <v>0</v>
      </c>
      <c r="I569" s="342">
        <f>Quote!B206*Quote!G206</f>
        <v>0</v>
      </c>
    </row>
    <row r="570" spans="2:9" ht="15" customHeight="1" x14ac:dyDescent="0.3">
      <c r="B570" s="7" t="s">
        <v>541</v>
      </c>
      <c r="C570" s="22">
        <f>SUM(B545:I569)</f>
        <v>0</v>
      </c>
      <c r="D570" s="9"/>
      <c r="E570" s="9"/>
      <c r="F570" s="9"/>
      <c r="G570" s="9"/>
      <c r="H570" s="9"/>
      <c r="I570" s="205"/>
    </row>
    <row r="571" spans="2:9" ht="15" customHeight="1" x14ac:dyDescent="0.3">
      <c r="B571" s="7"/>
      <c r="C571" s="9"/>
      <c r="D571" s="9"/>
      <c r="E571" s="9"/>
      <c r="F571" s="9"/>
      <c r="G571" s="9"/>
      <c r="H571" s="9"/>
      <c r="I571" s="205"/>
    </row>
    <row r="572" spans="2:9" ht="15" customHeight="1" x14ac:dyDescent="0.3">
      <c r="B572" s="17" t="s">
        <v>543</v>
      </c>
      <c r="C572" s="745">
        <f>SUM(Quote!I7:'Quote'!I206)</f>
        <v>0</v>
      </c>
      <c r="D572" s="681"/>
      <c r="E572" s="681"/>
      <c r="F572" s="681"/>
      <c r="G572" s="681"/>
      <c r="H572" s="681"/>
      <c r="I572" s="209"/>
    </row>
  </sheetData>
  <sheetProtection selectLockedCells="1"/>
  <mergeCells count="2">
    <mergeCell ref="B2:H3"/>
    <mergeCell ref="J2:L3"/>
  </mergeCells>
  <hyperlinks>
    <hyperlink ref="J2:K3" location="'Main Menu'!A1" display="Main Menu" xr:uid="{00000000-0004-0000-0F00-000000000000}"/>
    <hyperlink ref="J2:L3" location="'Main Menu'!C8" display="Back to Main Menu" xr:uid="{00000000-0004-0000-0F00-000001000000}"/>
  </hyperlink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02">
    <tabColor theme="4" tint="0.39997558519241921"/>
  </sheetPr>
  <dimension ref="A1:AC43"/>
  <sheetViews>
    <sheetView zoomScaleNormal="100"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16.77734375" style="491" bestFit="1" customWidth="1"/>
    <col min="3" max="3" width="12" style="491" bestFit="1" customWidth="1"/>
    <col min="4" max="4" width="14.88671875" style="491" bestFit="1" customWidth="1"/>
    <col min="5" max="5" width="16.109375" style="491" bestFit="1" customWidth="1"/>
    <col min="6" max="6" width="12.88671875" style="491" bestFit="1" customWidth="1"/>
    <col min="7" max="7" width="14.88671875" style="491" bestFit="1" customWidth="1"/>
    <col min="8" max="8" width="9.109375" style="491"/>
    <col min="9" max="9" width="9.109375" style="491" customWidth="1"/>
    <col min="10" max="10" width="21.33203125" style="491" customWidth="1"/>
    <col min="11" max="11" width="10.88671875" style="491" customWidth="1"/>
    <col min="12" max="12" width="13.44140625" style="491" bestFit="1" customWidth="1"/>
    <col min="13" max="21" width="9.109375" style="491" customWidth="1"/>
    <col min="22" max="16384" width="9.109375" style="491"/>
  </cols>
  <sheetData>
    <row r="1" spans="1:29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72"/>
      <c r="K1" s="72"/>
      <c r="L1" s="72"/>
      <c r="M1" s="72"/>
      <c r="N1" s="72"/>
      <c r="O1" s="72"/>
      <c r="P1" s="72"/>
      <c r="Q1" s="72"/>
    </row>
    <row r="2" spans="1:29" ht="15" customHeight="1" x14ac:dyDescent="0.3">
      <c r="A2" s="27"/>
      <c r="B2" s="820" t="s">
        <v>219</v>
      </c>
      <c r="C2" s="820"/>
      <c r="D2" s="820"/>
      <c r="E2" s="820"/>
      <c r="F2" s="30"/>
      <c r="G2" s="816" t="s">
        <v>1</v>
      </c>
      <c r="H2" s="816"/>
      <c r="I2" s="816"/>
      <c r="J2" s="727"/>
      <c r="K2" s="727"/>
      <c r="L2" s="727"/>
      <c r="M2" s="727"/>
      <c r="N2" s="727"/>
      <c r="O2" s="727"/>
      <c r="P2" s="727"/>
      <c r="Q2" s="727"/>
    </row>
    <row r="3" spans="1:29" ht="15" customHeight="1" x14ac:dyDescent="0.3">
      <c r="A3" s="27"/>
      <c r="B3" s="820"/>
      <c r="C3" s="820"/>
      <c r="D3" s="820"/>
      <c r="E3" s="820"/>
      <c r="F3" s="30"/>
      <c r="G3" s="816"/>
      <c r="H3" s="816"/>
      <c r="I3" s="816"/>
      <c r="J3" s="727"/>
      <c r="K3" s="727"/>
      <c r="L3" s="727"/>
      <c r="M3" s="727"/>
      <c r="N3" s="727"/>
      <c r="O3" s="727"/>
      <c r="P3" s="727"/>
      <c r="Q3" s="727"/>
    </row>
    <row r="4" spans="1:29" ht="15" customHeight="1" x14ac:dyDescent="0.6">
      <c r="A4" s="27"/>
      <c r="B4" s="31"/>
      <c r="C4" s="31"/>
      <c r="D4" s="31"/>
      <c r="E4" s="31"/>
      <c r="F4" s="27"/>
      <c r="G4" s="27"/>
      <c r="H4" s="27"/>
      <c r="I4" s="27"/>
      <c r="J4" s="727"/>
      <c r="K4" s="727"/>
      <c r="L4" s="727"/>
      <c r="M4" s="727"/>
      <c r="N4" s="727"/>
      <c r="O4" s="727"/>
      <c r="P4" s="727"/>
      <c r="Q4" s="727"/>
    </row>
    <row r="5" spans="1:29" ht="15" customHeight="1" x14ac:dyDescent="0.3">
      <c r="A5" s="27"/>
      <c r="B5" s="815" t="s">
        <v>220</v>
      </c>
      <c r="C5" s="35" t="s">
        <v>221</v>
      </c>
      <c r="D5" s="767"/>
      <c r="E5" s="768" t="s">
        <v>222</v>
      </c>
      <c r="F5" s="767"/>
      <c r="G5" s="769" t="s">
        <v>466</v>
      </c>
      <c r="H5" s="767"/>
      <c r="I5" s="27"/>
      <c r="J5" s="817" t="s">
        <v>236</v>
      </c>
      <c r="K5" s="817"/>
      <c r="L5" s="727"/>
      <c r="M5" s="727"/>
      <c r="N5" s="727"/>
      <c r="O5" s="727"/>
      <c r="P5" s="727"/>
      <c r="Q5" s="727"/>
    </row>
    <row r="6" spans="1:29" ht="15" customHeight="1" x14ac:dyDescent="0.3">
      <c r="A6" s="27"/>
      <c r="B6" s="815"/>
      <c r="C6" s="39" t="s">
        <v>223</v>
      </c>
      <c r="D6" s="770"/>
      <c r="E6" s="771" t="s">
        <v>224</v>
      </c>
      <c r="F6" s="772"/>
      <c r="G6" s="773" t="s">
        <v>467</v>
      </c>
      <c r="H6" s="770"/>
      <c r="I6" s="27"/>
      <c r="J6" s="1" t="s">
        <v>238</v>
      </c>
      <c r="K6" s="300"/>
      <c r="L6" s="727"/>
      <c r="M6" s="727"/>
      <c r="N6" s="727"/>
      <c r="O6" s="727"/>
      <c r="P6" s="727"/>
      <c r="Q6" s="727"/>
    </row>
    <row r="7" spans="1:29" ht="15" customHeight="1" x14ac:dyDescent="0.3">
      <c r="A7" s="27"/>
      <c r="B7" s="821" t="s">
        <v>226</v>
      </c>
      <c r="C7" s="34" t="s">
        <v>227</v>
      </c>
      <c r="D7" s="774" t="s">
        <v>154</v>
      </c>
      <c r="E7" s="775" t="s">
        <v>228</v>
      </c>
      <c r="F7" s="776"/>
      <c r="G7" s="775" t="s">
        <v>468</v>
      </c>
      <c r="H7" s="777"/>
      <c r="I7" s="518"/>
      <c r="J7" s="55" t="s">
        <v>239</v>
      </c>
      <c r="K7" s="763">
        <f>Formulas!K16</f>
        <v>0</v>
      </c>
      <c r="L7" s="734"/>
      <c r="M7" s="734"/>
      <c r="N7" s="734"/>
      <c r="O7" s="734"/>
      <c r="P7" s="734"/>
      <c r="Q7" s="734"/>
    </row>
    <row r="8" spans="1:29" ht="15" customHeight="1" x14ac:dyDescent="0.3">
      <c r="A8" s="27"/>
      <c r="B8" s="821"/>
      <c r="C8" s="43" t="s">
        <v>229</v>
      </c>
      <c r="D8" s="766" t="s">
        <v>154</v>
      </c>
      <c r="E8" s="765" t="s">
        <v>230</v>
      </c>
      <c r="F8" s="766"/>
      <c r="G8" s="765" t="s">
        <v>469</v>
      </c>
      <c r="H8" s="766"/>
      <c r="I8" s="518"/>
      <c r="J8" s="27"/>
      <c r="K8" s="27"/>
      <c r="L8" s="734"/>
      <c r="M8" s="753"/>
      <c r="N8" s="734"/>
      <c r="O8" s="734"/>
      <c r="P8" s="734"/>
      <c r="Q8" s="734"/>
    </row>
    <row r="9" spans="1:29" ht="15" customHeight="1" x14ac:dyDescent="0.3">
      <c r="A9" s="27"/>
      <c r="B9" s="821"/>
      <c r="C9" s="43" t="s">
        <v>231</v>
      </c>
      <c r="D9" s="766" t="s">
        <v>154</v>
      </c>
      <c r="E9" s="765" t="s">
        <v>232</v>
      </c>
      <c r="F9" s="766"/>
      <c r="G9" s="765" t="s">
        <v>470</v>
      </c>
      <c r="H9" s="778"/>
      <c r="I9" s="764"/>
      <c r="J9" s="817" t="s">
        <v>589</v>
      </c>
      <c r="K9" s="817"/>
      <c r="L9" s="734"/>
      <c r="M9" s="734"/>
      <c r="N9" s="734"/>
      <c r="O9" s="734"/>
      <c r="P9" s="734"/>
      <c r="Q9" s="734"/>
    </row>
    <row r="10" spans="1:29" ht="15" customHeight="1" x14ac:dyDescent="0.3">
      <c r="A10" s="27"/>
      <c r="B10" s="821"/>
      <c r="C10" s="37" t="s">
        <v>233</v>
      </c>
      <c r="D10" s="779" t="s">
        <v>154</v>
      </c>
      <c r="E10" s="780" t="s">
        <v>234</v>
      </c>
      <c r="F10" s="779"/>
      <c r="G10" s="780" t="s">
        <v>471</v>
      </c>
      <c r="H10" s="781"/>
      <c r="I10" s="27"/>
      <c r="J10" s="53" t="s">
        <v>590</v>
      </c>
      <c r="K10" s="783">
        <f>Formulas!K19</f>
        <v>0</v>
      </c>
      <c r="L10" s="734"/>
      <c r="M10" s="734"/>
      <c r="N10" s="734"/>
      <c r="O10" s="734"/>
      <c r="P10" s="734"/>
      <c r="Q10" s="734"/>
    </row>
    <row r="11" spans="1:29" ht="15" customHeight="1" x14ac:dyDescent="0.3">
      <c r="A11" s="27"/>
      <c r="B11" s="821" t="s">
        <v>487</v>
      </c>
      <c r="C11" s="831" t="s">
        <v>235</v>
      </c>
      <c r="D11" s="833" t="s">
        <v>130</v>
      </c>
      <c r="E11" s="825" t="s">
        <v>237</v>
      </c>
      <c r="F11" s="829" t="s">
        <v>74</v>
      </c>
      <c r="G11" s="825" t="s">
        <v>488</v>
      </c>
      <c r="H11" s="827" t="s">
        <v>154</v>
      </c>
      <c r="I11" s="27"/>
      <c r="L11" s="734"/>
      <c r="M11" s="734"/>
      <c r="N11" s="734"/>
      <c r="O11" s="734"/>
      <c r="P11" s="734"/>
      <c r="Q11" s="734"/>
    </row>
    <row r="12" spans="1:29" ht="15" customHeight="1" x14ac:dyDescent="0.3">
      <c r="A12" s="27"/>
      <c r="B12" s="821"/>
      <c r="C12" s="832"/>
      <c r="D12" s="834"/>
      <c r="E12" s="826"/>
      <c r="F12" s="830"/>
      <c r="G12" s="826"/>
      <c r="H12" s="828"/>
      <c r="I12" s="27"/>
      <c r="J12" s="818" t="s">
        <v>451</v>
      </c>
      <c r="K12" s="819"/>
      <c r="L12" s="734"/>
      <c r="M12" s="734"/>
      <c r="N12" s="734"/>
      <c r="O12" s="734"/>
      <c r="P12" s="734"/>
      <c r="Q12" s="734"/>
      <c r="Z12" s="726"/>
      <c r="AA12" s="726"/>
      <c r="AB12" s="726"/>
      <c r="AC12" s="726"/>
    </row>
    <row r="13" spans="1:29" ht="15" customHeight="1" x14ac:dyDescent="0.3">
      <c r="A13" s="27"/>
      <c r="B13" s="604" t="s">
        <v>493</v>
      </c>
      <c r="C13" s="344" t="s">
        <v>393</v>
      </c>
      <c r="D13" s="366"/>
      <c r="E13" s="34" t="s">
        <v>340</v>
      </c>
      <c r="F13" s="57"/>
      <c r="G13" s="43" t="s">
        <v>341</v>
      </c>
      <c r="H13" s="343"/>
      <c r="I13" s="27"/>
      <c r="J13" s="473" t="s">
        <v>452</v>
      </c>
      <c r="K13" s="300"/>
      <c r="L13" s="734"/>
      <c r="M13" s="734"/>
      <c r="N13" s="734"/>
      <c r="O13" s="734"/>
      <c r="P13" s="734"/>
      <c r="Q13" s="734"/>
      <c r="Z13" s="72"/>
      <c r="AA13" s="72"/>
      <c r="AB13" s="72"/>
      <c r="AC13" s="72"/>
    </row>
    <row r="14" spans="1:29" ht="15" customHeight="1" x14ac:dyDescent="0.3">
      <c r="A14" s="27"/>
      <c r="B14" s="604" t="s">
        <v>465</v>
      </c>
      <c r="C14" s="344" t="s">
        <v>492</v>
      </c>
      <c r="D14" s="517"/>
      <c r="E14" s="835" t="s">
        <v>591</v>
      </c>
      <c r="F14" s="836"/>
      <c r="G14" s="822" t="s">
        <v>545</v>
      </c>
      <c r="H14" s="823"/>
      <c r="I14" s="27"/>
      <c r="J14" s="226" t="s">
        <v>453</v>
      </c>
      <c r="K14" s="472"/>
      <c r="L14" s="734"/>
      <c r="M14" s="734"/>
      <c r="N14" s="734"/>
      <c r="O14" s="734"/>
      <c r="P14" s="734"/>
      <c r="Q14" s="734"/>
    </row>
    <row r="15" spans="1:29" ht="15" customHeight="1" x14ac:dyDescent="0.3">
      <c r="A15" s="27"/>
      <c r="E15" s="19"/>
      <c r="F15" s="332"/>
      <c r="G15" s="332"/>
      <c r="H15" s="332"/>
      <c r="I15" s="27"/>
      <c r="J15" s="474" t="s">
        <v>454</v>
      </c>
      <c r="K15" s="782">
        <f>Formulas!K24</f>
        <v>0</v>
      </c>
      <c r="L15" s="734"/>
      <c r="M15" s="734"/>
      <c r="N15" s="734"/>
      <c r="O15" s="734"/>
      <c r="P15" s="734"/>
      <c r="Q15" s="734"/>
    </row>
    <row r="16" spans="1:29" ht="15" customHeight="1" x14ac:dyDescent="0.3">
      <c r="A16" s="27"/>
      <c r="B16" s="818" t="s">
        <v>586</v>
      </c>
      <c r="C16" s="824"/>
      <c r="D16" s="824"/>
      <c r="E16" s="824"/>
      <c r="F16" s="824"/>
      <c r="G16" s="819"/>
      <c r="H16" s="9"/>
      <c r="I16" s="27"/>
      <c r="J16" s="734"/>
      <c r="K16" s="734"/>
      <c r="L16" s="734"/>
      <c r="M16" s="734"/>
      <c r="N16" s="734"/>
      <c r="O16" s="734"/>
      <c r="P16" s="734"/>
      <c r="Q16" s="734"/>
    </row>
    <row r="17" spans="1:15" ht="15" customHeight="1" x14ac:dyDescent="0.3">
      <c r="A17" s="27"/>
      <c r="B17" s="603" t="s">
        <v>4</v>
      </c>
      <c r="C17" s="603" t="s">
        <v>583</v>
      </c>
      <c r="D17" s="605" t="s">
        <v>585</v>
      </c>
      <c r="E17" s="579" t="s">
        <v>4</v>
      </c>
      <c r="F17" s="603" t="s">
        <v>583</v>
      </c>
      <c r="G17" s="603" t="s">
        <v>585</v>
      </c>
      <c r="J17" s="818" t="s">
        <v>462</v>
      </c>
      <c r="K17" s="819"/>
      <c r="M17" s="27"/>
    </row>
    <row r="18" spans="1:15" ht="15" customHeight="1" x14ac:dyDescent="0.3">
      <c r="A18" s="27"/>
      <c r="B18" s="730" t="s">
        <v>546</v>
      </c>
      <c r="C18" s="754">
        <f>Formulas!C27</f>
        <v>0</v>
      </c>
      <c r="D18" s="754">
        <f>Formulas!D27</f>
        <v>0</v>
      </c>
      <c r="E18" s="575" t="s">
        <v>567</v>
      </c>
      <c r="F18" s="754">
        <f>Formulas!F27</f>
        <v>0</v>
      </c>
      <c r="G18" s="759" t="str">
        <f>Formulas!G27</f>
        <v>N/A</v>
      </c>
      <c r="H18" s="9"/>
      <c r="I18" s="27"/>
      <c r="J18" s="473" t="s">
        <v>463</v>
      </c>
      <c r="K18" s="494" t="str">
        <f>Formulas!K27</f>
        <v>0"</v>
      </c>
      <c r="M18" s="27"/>
    </row>
    <row r="19" spans="1:15" ht="15" customHeight="1" x14ac:dyDescent="0.3">
      <c r="A19" s="27"/>
      <c r="B19" s="731" t="s">
        <v>9</v>
      </c>
      <c r="C19" s="755">
        <f>Formulas!C28</f>
        <v>0</v>
      </c>
      <c r="D19" s="755" t="str">
        <f>Formulas!D28</f>
        <v>N/A</v>
      </c>
      <c r="E19" s="576" t="s">
        <v>568</v>
      </c>
      <c r="F19" s="755">
        <f>Formulas!F28</f>
        <v>0</v>
      </c>
      <c r="G19" s="760" t="str">
        <f>Formulas!G28</f>
        <v>N/A</v>
      </c>
      <c r="I19" s="27"/>
      <c r="J19" s="226" t="s">
        <v>464</v>
      </c>
      <c r="K19" s="495" t="str">
        <f>Formulas!K28</f>
        <v>0"</v>
      </c>
      <c r="M19" s="27"/>
    </row>
    <row r="20" spans="1:15" ht="15" customHeight="1" x14ac:dyDescent="0.3">
      <c r="A20" s="27"/>
      <c r="B20" s="732" t="s">
        <v>594</v>
      </c>
      <c r="C20" s="756">
        <f>Formulas!C29</f>
        <v>0</v>
      </c>
      <c r="D20" s="756">
        <f>Formulas!D29</f>
        <v>0</v>
      </c>
      <c r="E20" s="348" t="s">
        <v>569</v>
      </c>
      <c r="F20" s="756">
        <f>Formulas!F29</f>
        <v>0</v>
      </c>
      <c r="G20" s="761" t="str">
        <f>Formulas!G29</f>
        <v>N/A</v>
      </c>
      <c r="I20" s="27"/>
      <c r="J20" s="580"/>
      <c r="K20" s="580"/>
      <c r="M20" s="27"/>
      <c r="O20" s="728"/>
    </row>
    <row r="21" spans="1:15" ht="15" customHeight="1" x14ac:dyDescent="0.3">
      <c r="A21" s="27"/>
      <c r="B21" s="731" t="s">
        <v>547</v>
      </c>
      <c r="C21" s="755">
        <f>Formulas!C30</f>
        <v>0</v>
      </c>
      <c r="D21" s="755">
        <f>Formulas!D30</f>
        <v>0</v>
      </c>
      <c r="E21" s="576" t="s">
        <v>570</v>
      </c>
      <c r="F21" s="755">
        <f>Formulas!F30</f>
        <v>0</v>
      </c>
      <c r="G21" s="760">
        <f>Formulas!G30</f>
        <v>0</v>
      </c>
      <c r="I21" s="27"/>
      <c r="J21" s="818" t="s">
        <v>242</v>
      </c>
      <c r="K21" s="819"/>
    </row>
    <row r="22" spans="1:15" ht="15" customHeight="1" x14ac:dyDescent="0.3">
      <c r="A22" s="12"/>
      <c r="B22" s="732" t="s">
        <v>548</v>
      </c>
      <c r="C22" s="756">
        <f>Formulas!C31</f>
        <v>0</v>
      </c>
      <c r="D22" s="756">
        <f>Formulas!D31</f>
        <v>0</v>
      </c>
      <c r="E22" s="348" t="s">
        <v>549</v>
      </c>
      <c r="F22" s="756">
        <f>Formulas!F31</f>
        <v>0</v>
      </c>
      <c r="G22" s="761">
        <f>Formulas!G31</f>
        <v>0</v>
      </c>
      <c r="I22" s="9"/>
      <c r="J22" s="473" t="s">
        <v>243</v>
      </c>
      <c r="K22" s="301"/>
    </row>
    <row r="23" spans="1:15" ht="15" customHeight="1" x14ac:dyDescent="0.3">
      <c r="A23" s="61"/>
      <c r="B23" s="731" t="s">
        <v>550</v>
      </c>
      <c r="C23" s="755">
        <f>Formulas!C32</f>
        <v>0</v>
      </c>
      <c r="D23" s="755" t="str">
        <f>Formulas!D32</f>
        <v>N/A</v>
      </c>
      <c r="E23" s="576" t="s">
        <v>561</v>
      </c>
      <c r="F23" s="755">
        <f>Formulas!F32</f>
        <v>0</v>
      </c>
      <c r="G23" s="760">
        <f>Formulas!G32</f>
        <v>0</v>
      </c>
      <c r="H23" s="12"/>
      <c r="I23" s="12"/>
      <c r="J23" s="226" t="s">
        <v>244</v>
      </c>
      <c r="K23" s="302"/>
    </row>
    <row r="24" spans="1:15" ht="15" customHeight="1" x14ac:dyDescent="0.3">
      <c r="A24" s="62"/>
      <c r="B24" s="732" t="s">
        <v>551</v>
      </c>
      <c r="C24" s="756" t="str">
        <f>Formulas!C33</f>
        <v>N/A</v>
      </c>
      <c r="D24" s="756">
        <f>Formulas!D33</f>
        <v>0</v>
      </c>
      <c r="E24" s="348" t="s">
        <v>571</v>
      </c>
      <c r="F24" s="756">
        <f>Formulas!F33</f>
        <v>0</v>
      </c>
      <c r="G24" s="761" t="str">
        <f>Formulas!G33</f>
        <v>N/A</v>
      </c>
      <c r="H24" s="12"/>
      <c r="I24" s="12"/>
      <c r="J24" s="474" t="s">
        <v>245</v>
      </c>
      <c r="K24" s="60" t="str">
        <f>Formulas!K33</f>
        <v>0"</v>
      </c>
    </row>
    <row r="25" spans="1:15" ht="15" customHeight="1" x14ac:dyDescent="0.3">
      <c r="A25" s="62"/>
      <c r="B25" s="731" t="s">
        <v>552</v>
      </c>
      <c r="C25" s="755" t="str">
        <f>Formulas!C34</f>
        <v>N/A</v>
      </c>
      <c r="D25" s="755">
        <f>Formulas!D34</f>
        <v>0</v>
      </c>
      <c r="E25" s="576" t="s">
        <v>572</v>
      </c>
      <c r="F25" s="755">
        <f>Formulas!F34</f>
        <v>0</v>
      </c>
      <c r="G25" s="760">
        <f>Formulas!G34</f>
        <v>0</v>
      </c>
      <c r="H25" s="12"/>
      <c r="I25" s="12"/>
    </row>
    <row r="26" spans="1:15" ht="15" customHeight="1" x14ac:dyDescent="0.3">
      <c r="A26" s="62"/>
      <c r="B26" s="732" t="s">
        <v>555</v>
      </c>
      <c r="C26" s="756">
        <f>Formulas!C35</f>
        <v>0</v>
      </c>
      <c r="D26" s="756">
        <f>Formulas!D35</f>
        <v>0</v>
      </c>
      <c r="E26" s="348" t="s">
        <v>574</v>
      </c>
      <c r="F26" s="756" t="str">
        <f>Formulas!F35</f>
        <v>N/A</v>
      </c>
      <c r="G26" s="761">
        <f>Formulas!G35</f>
        <v>0</v>
      </c>
      <c r="J26" s="818" t="s">
        <v>246</v>
      </c>
      <c r="K26" s="824"/>
      <c r="L26" s="819"/>
    </row>
    <row r="27" spans="1:15" ht="15" customHeight="1" x14ac:dyDescent="0.3">
      <c r="A27" s="62"/>
      <c r="B27" s="731" t="s">
        <v>556</v>
      </c>
      <c r="C27" s="755">
        <f>Formulas!C36</f>
        <v>0</v>
      </c>
      <c r="D27" s="755">
        <f>Formulas!D36</f>
        <v>0</v>
      </c>
      <c r="E27" s="576" t="s">
        <v>575</v>
      </c>
      <c r="F27" s="755">
        <f>Formulas!F36</f>
        <v>0</v>
      </c>
      <c r="G27" s="760">
        <f>Formulas!G36</f>
        <v>0</v>
      </c>
      <c r="J27" s="603" t="s">
        <v>247</v>
      </c>
      <c r="K27" s="603" t="s">
        <v>248</v>
      </c>
      <c r="L27" s="603" t="s">
        <v>156</v>
      </c>
    </row>
    <row r="28" spans="1:15" ht="15" customHeight="1" x14ac:dyDescent="0.3">
      <c r="A28" s="62"/>
      <c r="B28" s="732" t="s">
        <v>558</v>
      </c>
      <c r="C28" s="756">
        <f>Formulas!C37</f>
        <v>0</v>
      </c>
      <c r="D28" s="756" t="str">
        <f>Formulas!D37</f>
        <v>N/A</v>
      </c>
      <c r="E28" s="348" t="s">
        <v>576</v>
      </c>
      <c r="F28" s="756">
        <f>Formulas!F37</f>
        <v>0</v>
      </c>
      <c r="G28" s="761" t="str">
        <f>Formulas!G37</f>
        <v>N/A</v>
      </c>
      <c r="J28" s="577" t="s">
        <v>587</v>
      </c>
      <c r="K28" s="62" t="s">
        <v>249</v>
      </c>
      <c r="L28" s="23" t="s">
        <v>250</v>
      </c>
    </row>
    <row r="29" spans="1:15" ht="15" customHeight="1" x14ac:dyDescent="0.3">
      <c r="A29" s="12"/>
      <c r="B29" s="731" t="s">
        <v>559</v>
      </c>
      <c r="C29" s="755">
        <f>Formulas!C38</f>
        <v>0</v>
      </c>
      <c r="D29" s="755">
        <f>Formulas!D38</f>
        <v>0</v>
      </c>
      <c r="E29" s="576" t="s">
        <v>577</v>
      </c>
      <c r="F29" s="755">
        <f>Formulas!F38</f>
        <v>0</v>
      </c>
      <c r="G29" s="760">
        <f>Formulas!G38</f>
        <v>0</v>
      </c>
      <c r="J29" s="226" t="s">
        <v>587</v>
      </c>
      <c r="K29" s="375" t="s">
        <v>251</v>
      </c>
      <c r="L29" s="376" t="s">
        <v>252</v>
      </c>
    </row>
    <row r="30" spans="1:15" ht="15" customHeight="1" x14ac:dyDescent="0.3">
      <c r="A30" s="12"/>
      <c r="B30" s="732" t="s">
        <v>560</v>
      </c>
      <c r="C30" s="756">
        <f>Formulas!C39</f>
        <v>0</v>
      </c>
      <c r="D30" s="756">
        <f>Formulas!D39</f>
        <v>0</v>
      </c>
      <c r="E30" s="348" t="s">
        <v>578</v>
      </c>
      <c r="F30" s="756">
        <f>Formulas!F39</f>
        <v>0</v>
      </c>
      <c r="G30" s="761">
        <f>Formulas!G39</f>
        <v>0</v>
      </c>
      <c r="H30" s="12"/>
      <c r="I30" s="12"/>
      <c r="J30" s="577" t="s">
        <v>587</v>
      </c>
      <c r="K30" s="62" t="s">
        <v>253</v>
      </c>
      <c r="L30" s="23" t="s">
        <v>254</v>
      </c>
    </row>
    <row r="31" spans="1:15" ht="15" customHeight="1" x14ac:dyDescent="0.3">
      <c r="A31" s="12"/>
      <c r="B31" s="731" t="s">
        <v>562</v>
      </c>
      <c r="C31" s="755">
        <f>Formulas!C40</f>
        <v>0</v>
      </c>
      <c r="D31" s="755">
        <f>Formulas!D40</f>
        <v>0</v>
      </c>
      <c r="E31" s="576" t="s">
        <v>579</v>
      </c>
      <c r="F31" s="755">
        <f>Formulas!F40</f>
        <v>0</v>
      </c>
      <c r="G31" s="760">
        <f>Formulas!G40</f>
        <v>0</v>
      </c>
      <c r="H31" s="12"/>
      <c r="I31" s="12"/>
      <c r="J31" s="226" t="s">
        <v>587</v>
      </c>
      <c r="K31" s="375" t="s">
        <v>255</v>
      </c>
      <c r="L31" s="376" t="s">
        <v>254</v>
      </c>
    </row>
    <row r="32" spans="1:15" ht="15" customHeight="1" x14ac:dyDescent="0.3">
      <c r="A32" s="12"/>
      <c r="B32" s="732" t="s">
        <v>563</v>
      </c>
      <c r="C32" s="756">
        <f>Formulas!C41</f>
        <v>0</v>
      </c>
      <c r="D32" s="756" t="str">
        <f>Formulas!D41</f>
        <v>N/A</v>
      </c>
      <c r="E32" s="348" t="s">
        <v>580</v>
      </c>
      <c r="F32" s="756">
        <f>Formulas!F41</f>
        <v>0</v>
      </c>
      <c r="G32" s="761">
        <f>Formulas!G41</f>
        <v>0</v>
      </c>
      <c r="H32" s="12"/>
      <c r="I32" s="12"/>
      <c r="J32" s="577" t="s">
        <v>587</v>
      </c>
      <c r="K32" s="62" t="s">
        <v>256</v>
      </c>
      <c r="L32" s="23" t="s">
        <v>254</v>
      </c>
    </row>
    <row r="33" spans="1:12" ht="15" customHeight="1" x14ac:dyDescent="0.3">
      <c r="A33" s="12"/>
      <c r="B33" s="731" t="s">
        <v>564</v>
      </c>
      <c r="C33" s="755">
        <f>Formulas!C42</f>
        <v>0</v>
      </c>
      <c r="D33" s="755">
        <f>Formulas!D42</f>
        <v>0</v>
      </c>
      <c r="E33" s="576" t="s">
        <v>581</v>
      </c>
      <c r="F33" s="755">
        <f>Formulas!F42</f>
        <v>0</v>
      </c>
      <c r="G33" s="760">
        <f>Formulas!G42</f>
        <v>0</v>
      </c>
      <c r="H33" s="12"/>
      <c r="I33" s="12"/>
      <c r="J33" s="226" t="s">
        <v>587</v>
      </c>
      <c r="K33" s="375" t="s">
        <v>257</v>
      </c>
      <c r="L33" s="376" t="s">
        <v>254</v>
      </c>
    </row>
    <row r="34" spans="1:12" ht="15" customHeight="1" x14ac:dyDescent="0.3">
      <c r="A34" s="12"/>
      <c r="B34" s="732" t="s">
        <v>565</v>
      </c>
      <c r="C34" s="756">
        <f>Formulas!C43</f>
        <v>0</v>
      </c>
      <c r="D34" s="756">
        <f>Formulas!D43</f>
        <v>0</v>
      </c>
      <c r="E34" s="348" t="s">
        <v>582</v>
      </c>
      <c r="F34" s="756">
        <f>Formulas!F43</f>
        <v>0</v>
      </c>
      <c r="G34" s="761">
        <f>Formulas!G43</f>
        <v>0</v>
      </c>
      <c r="H34" s="12"/>
      <c r="I34" s="12"/>
      <c r="J34" s="577" t="s">
        <v>587</v>
      </c>
      <c r="K34" s="62" t="s">
        <v>258</v>
      </c>
      <c r="L34" s="23" t="s">
        <v>259</v>
      </c>
    </row>
    <row r="35" spans="1:12" ht="15" customHeight="1" x14ac:dyDescent="0.3">
      <c r="A35" s="12"/>
      <c r="B35" s="733" t="s">
        <v>566</v>
      </c>
      <c r="C35" s="762">
        <f>Formulas!C44</f>
        <v>0</v>
      </c>
      <c r="D35" s="762">
        <f>Formulas!D44</f>
        <v>0</v>
      </c>
      <c r="E35" s="758" t="s">
        <v>573</v>
      </c>
      <c r="F35" s="762">
        <f>Formulas!F44</f>
        <v>0</v>
      </c>
      <c r="G35" s="763">
        <f>Formulas!G44</f>
        <v>0</v>
      </c>
      <c r="H35" s="12"/>
      <c r="I35" s="12"/>
      <c r="J35" s="226" t="s">
        <v>587</v>
      </c>
      <c r="K35" s="375" t="s">
        <v>260</v>
      </c>
      <c r="L35" s="376" t="s">
        <v>259</v>
      </c>
    </row>
    <row r="36" spans="1:12" ht="15" customHeight="1" x14ac:dyDescent="0.3">
      <c r="A36" s="12"/>
      <c r="C36" s="726"/>
      <c r="H36" s="12"/>
      <c r="I36" s="9"/>
      <c r="J36" s="577" t="s">
        <v>608</v>
      </c>
      <c r="K36" s="62" t="s">
        <v>260</v>
      </c>
      <c r="L36" s="23" t="s">
        <v>259</v>
      </c>
    </row>
    <row r="37" spans="1:12" ht="15" customHeight="1" x14ac:dyDescent="0.3">
      <c r="A37" s="12"/>
      <c r="B37" s="726"/>
      <c r="C37" s="726"/>
      <c r="D37" s="726"/>
      <c r="G37" s="12"/>
      <c r="H37" s="12"/>
      <c r="I37" s="12"/>
      <c r="J37" s="226" t="s">
        <v>394</v>
      </c>
      <c r="K37" s="377" t="s">
        <v>261</v>
      </c>
      <c r="L37" s="376" t="s">
        <v>262</v>
      </c>
    </row>
    <row r="38" spans="1:12" ht="15" customHeight="1" x14ac:dyDescent="0.3">
      <c r="A38" s="12"/>
      <c r="B38" s="726"/>
      <c r="C38"/>
      <c r="D38"/>
      <c r="E38"/>
      <c r="F38"/>
      <c r="G38"/>
      <c r="H38" s="12"/>
      <c r="I38" s="12"/>
      <c r="J38" s="577" t="s">
        <v>394</v>
      </c>
      <c r="K38" s="64" t="s">
        <v>263</v>
      </c>
      <c r="L38" s="23" t="s">
        <v>264</v>
      </c>
    </row>
    <row r="39" spans="1:12" ht="15" customHeight="1" x14ac:dyDescent="0.3">
      <c r="A39" s="12"/>
      <c r="B39" s="726"/>
      <c r="C39"/>
      <c r="D39"/>
      <c r="E39"/>
      <c r="F39"/>
      <c r="G39"/>
      <c r="H39" s="12"/>
      <c r="I39" s="12"/>
      <c r="J39" s="578" t="s">
        <v>588</v>
      </c>
      <c r="K39" s="378" t="s">
        <v>265</v>
      </c>
      <c r="L39" s="379" t="s">
        <v>266</v>
      </c>
    </row>
    <row r="40" spans="1:12" ht="15" customHeight="1" x14ac:dyDescent="0.3">
      <c r="C40"/>
      <c r="D40"/>
      <c r="E40"/>
      <c r="F40"/>
      <c r="G40"/>
    </row>
    <row r="41" spans="1:12" ht="15" customHeight="1" x14ac:dyDescent="0.3">
      <c r="C41"/>
      <c r="D41"/>
      <c r="E41"/>
      <c r="F41"/>
      <c r="G41"/>
    </row>
    <row r="42" spans="1:12" ht="15" customHeight="1" x14ac:dyDescent="0.3">
      <c r="C42"/>
      <c r="D42"/>
      <c r="E42"/>
      <c r="F42"/>
      <c r="G42"/>
    </row>
    <row r="43" spans="1:12" ht="15" customHeight="1" x14ac:dyDescent="0.3">
      <c r="C43"/>
      <c r="D43"/>
      <c r="E43"/>
      <c r="F43"/>
      <c r="G43"/>
    </row>
  </sheetData>
  <mergeCells count="20">
    <mergeCell ref="J26:L26"/>
    <mergeCell ref="J21:K21"/>
    <mergeCell ref="G11:G12"/>
    <mergeCell ref="H11:H12"/>
    <mergeCell ref="B16:G16"/>
    <mergeCell ref="F11:F12"/>
    <mergeCell ref="J12:K12"/>
    <mergeCell ref="C11:C12"/>
    <mergeCell ref="D11:D12"/>
    <mergeCell ref="B11:B12"/>
    <mergeCell ref="E11:E12"/>
    <mergeCell ref="E14:F14"/>
    <mergeCell ref="B5:B6"/>
    <mergeCell ref="G2:I3"/>
    <mergeCell ref="J9:K9"/>
    <mergeCell ref="J17:K17"/>
    <mergeCell ref="J5:K5"/>
    <mergeCell ref="B2:E3"/>
    <mergeCell ref="B7:B10"/>
    <mergeCell ref="G14:H14"/>
  </mergeCells>
  <conditionalFormatting sqref="H11:H12">
    <cfRule type="containsText" dxfId="439" priority="8" operator="containsText" text="Profile Cut">
      <formula>NOT(ISERROR(SEARCH("Profile Cut",H11)))</formula>
    </cfRule>
  </conditionalFormatting>
  <conditionalFormatting sqref="D14">
    <cfRule type="expression" dxfId="438" priority="7">
      <formula>$D$14&gt;1</formula>
    </cfRule>
  </conditionalFormatting>
  <conditionalFormatting sqref="D8">
    <cfRule type="notContainsText" dxfId="437" priority="6" operator="notContains" text="None">
      <formula>ISERROR(SEARCH("None",D8))</formula>
    </cfRule>
  </conditionalFormatting>
  <conditionalFormatting sqref="D9">
    <cfRule type="notContainsText" dxfId="436" priority="5" operator="notContains" text="None">
      <formula>ISERROR(SEARCH("None",D9))</formula>
    </cfRule>
  </conditionalFormatting>
  <conditionalFormatting sqref="D10">
    <cfRule type="notContainsText" dxfId="435" priority="4" operator="notContains" text="None">
      <formula>ISERROR(SEARCH("None",D10))</formula>
    </cfRule>
  </conditionalFormatting>
  <conditionalFormatting sqref="F13">
    <cfRule type="expression" dxfId="434" priority="3">
      <formula>$F$13&gt;0</formula>
    </cfRule>
  </conditionalFormatting>
  <conditionalFormatting sqref="H13">
    <cfRule type="expression" dxfId="433" priority="2">
      <formula>$H$13&gt;0</formula>
    </cfRule>
  </conditionalFormatting>
  <conditionalFormatting sqref="D13">
    <cfRule type="expression" dxfId="432" priority="1">
      <formula>$D$13&gt;0</formula>
    </cfRule>
  </conditionalFormatting>
  <dataValidations count="7">
    <dataValidation type="list" allowBlank="1" showInputMessage="1" showErrorMessage="1" sqref="D7:D10" xr:uid="{00000000-0002-0000-0100-000000000000}">
      <formula1>Edges</formula1>
    </dataValidation>
    <dataValidation type="list" allowBlank="1" showInputMessage="1" showErrorMessage="1" sqref="D11:D12" xr:uid="{00000000-0002-0000-0100-000001000000}">
      <formula1>Printed</formula1>
    </dataValidation>
    <dataValidation type="list" allowBlank="1" showInputMessage="1" showErrorMessage="1" sqref="F11:F12" xr:uid="{00000000-0002-0000-0100-000002000000}">
      <formula1>SidedBlocker</formula1>
    </dataValidation>
    <dataValidation type="list" allowBlank="1" showInputMessage="1" showErrorMessage="1" sqref="H11:H12" xr:uid="{00000000-0002-0000-0100-000003000000}">
      <formula1>FabricCutting</formula1>
    </dataValidation>
    <dataValidation type="decimal" operator="greaterThanOrEqual" allowBlank="1" showInputMessage="1" showErrorMessage="1" sqref="K13:K14 F5:F10 H5:H10 D5:D6 D13:D14 H13" xr:uid="{00000000-0002-0000-0100-000004000000}">
      <formula1>0</formula1>
    </dataValidation>
    <dataValidation type="decimal" operator="greaterThan" allowBlank="1" showInputMessage="1" showErrorMessage="1" sqref="K22:K23 K6" xr:uid="{00000000-0002-0000-0100-000007000000}">
      <formula1>0</formula1>
    </dataValidation>
    <dataValidation type="decimal" allowBlank="1" showInputMessage="1" showErrorMessage="1" sqref="F13" xr:uid="{C3214149-B7CE-4592-B204-9B631BC5034B}">
      <formula1>0</formula1>
      <formula2>0.99</formula2>
    </dataValidation>
  </dataValidations>
  <hyperlinks>
    <hyperlink ref="G2:H3" location="'Main Menu'!A1" display="Main Menu" xr:uid="{00000000-0004-0000-0100-000000000000}"/>
    <hyperlink ref="G2:I3" location="'Main Menu'!C8" display="Back to Main Menu" xr:uid="{00000000-0004-0000-0100-000001000000}"/>
    <hyperlink ref="G14:H14" location="fabric_reset_sheet" display="Reset Sheet" xr:uid="{DB0E26B6-1141-4C93-8979-03FFF8A10B2F}"/>
    <hyperlink ref="K10" location="fabric_3d_frame" display="fabric_3d_frame" xr:uid="{EDD218C9-639C-44AF-A3AE-E7067CF26592}"/>
    <hyperlink ref="C18" location="Fabric!$C$18" display="Fabric!$C$18" xr:uid="{EFA4B175-032D-498D-9805-3585F7BAB63D}"/>
    <hyperlink ref="D18" location="Fabric!$D$18" display="Fabric!$D$18" xr:uid="{AF78168B-9403-4384-AF0A-39C2E05BB806}"/>
    <hyperlink ref="C19" location="Fabric!$C$19" display="Fabric!$C$19" xr:uid="{7BE83D26-7DCB-4E32-B708-793535078F13}"/>
    <hyperlink ref="D19" location="Fabric!$D$19" display="Fabric!$D$19" xr:uid="{3F69C38C-5D93-45BB-8567-09F52CFE265E}"/>
    <hyperlink ref="C20" location="Fabric!$C$20" display="Fabric!$C$20" xr:uid="{A7B91FD8-0357-464C-A920-3841CC9B5381}"/>
    <hyperlink ref="D20" location="Fabric!$D$20" display="Fabric!$D$20" xr:uid="{EF3A1A5D-4407-4056-9480-E8824FD668B3}"/>
    <hyperlink ref="C21" location="Fabric!$C$21" display="Fabric!$C$21" xr:uid="{D0E45F15-5C55-42C5-9496-8EE812EBCA18}"/>
    <hyperlink ref="D21" location="Fabric!$D$21" display="Fabric!$D$21" xr:uid="{9CC696D8-7854-495F-B30E-94F5DDBBBB85}"/>
    <hyperlink ref="C22" location="Fabric!$C$22" display="Fabric!$C$22" xr:uid="{20F2EC5C-3BB5-4A1A-8370-B8AC207F061A}"/>
    <hyperlink ref="D22" location="Fabric!$D$22" display="Fabric!$D$22" xr:uid="{2961FDB2-2D2A-4C68-8CDF-A25E9C7D2CB6}"/>
    <hyperlink ref="C23" location="Fabric!$C$23" display="Fabric!$C$23" xr:uid="{512F3686-0AA2-4AAA-AB8C-53A7A14F02C1}"/>
    <hyperlink ref="D23" location="Fabric!$D$23" display="Fabric!$D$23" xr:uid="{7C8B01D1-4F85-4E7B-82CE-4FE5A5BAD8D3}"/>
    <hyperlink ref="C24" location="Fabric!$C$24" display="Fabric!$C$24" xr:uid="{ABEC8B5B-F7F5-424B-8A8F-DE7DF637B733}"/>
    <hyperlink ref="D24" location="Fabric!$D$24" display="Fabric!$D$24" xr:uid="{AF3EC568-7731-4121-8E43-6591F1847ACF}"/>
    <hyperlink ref="C25" location="Fabric!$C$25" display="Fabric!$C$25" xr:uid="{8EA88A17-8955-4D33-8EE7-2B62017B9DB0}"/>
    <hyperlink ref="D25" location="Fabric!$D$25" display="Fabric!$D$25" xr:uid="{ADAC0DF0-C1B8-4442-A366-71391CFD4128}"/>
    <hyperlink ref="C26" location="Fabric!$C$26" display="Fabric!$C$26" xr:uid="{8FA432B9-DCDE-44B6-8E56-541762E77545}"/>
    <hyperlink ref="D26" location="Fabric!$D$26" display="Fabric!$D$26" xr:uid="{1CA9DF3C-6F09-4A4F-9605-D4886739F73F}"/>
    <hyperlink ref="C27" location="Fabric!$C$27" display="Fabric!$C$27" xr:uid="{9E3DB0FF-DFF2-4BA0-BFAB-745BB4D5157B}"/>
    <hyperlink ref="D27" location="Fabric!$D$27" display="Fabric!$D$27" xr:uid="{E7F4C84C-7372-476B-85A9-BFCBDF2F5E5B}"/>
    <hyperlink ref="C28" location="Fabric!$C$28" display="Fabric!$C$28" xr:uid="{5B0CBBE6-6D24-474F-8E3D-14AF44F028CB}"/>
    <hyperlink ref="D28" location="Fabric!$D$28" display="Fabric!$D$28" xr:uid="{DF6EA8FE-861D-42E2-86DF-DE174B3E51B2}"/>
    <hyperlink ref="C29" location="Fabric!$C$29" display="Fabric!$C$29" xr:uid="{7C04F9E3-C3C1-40AA-BD70-D3E4D1A52835}"/>
    <hyperlink ref="D29" location="Fabric!$D$29" display="Fabric!$D$29" xr:uid="{AB406F12-07C4-4723-B598-C7CF3A5897AC}"/>
    <hyperlink ref="C30" location="Fabric!$C$30" display="Fabric!$C$30" xr:uid="{05392DF3-3663-4952-9EE5-7721D68D8D63}"/>
    <hyperlink ref="D30" location="Fabric!$D$30" display="Fabric!$D$30" xr:uid="{17029686-0887-4BA4-A996-96E935A3D8D6}"/>
    <hyperlink ref="C31" location="Fabric!$C$31" display="Fabric!$C$31" xr:uid="{A5A72F40-4DCE-423A-B915-B2A0A7FD08DC}"/>
    <hyperlink ref="D31" location="Fabric!$D$31" display="Fabric!$D$31" xr:uid="{27B5FFD4-28BD-4BCA-A7B8-43A8119370CA}"/>
    <hyperlink ref="C32" location="Fabric!$C$32" display="Fabric!$C$32" xr:uid="{21EFB0B6-5557-46D4-90FF-37E7D4CF4779}"/>
    <hyperlink ref="D32" location="Fabric!$D$32" display="Fabric!$D$32" xr:uid="{28F5A1C6-69EC-40F7-B8B0-5437BA2B5F2D}"/>
    <hyperlink ref="C33" location="Fabric!$C$33" display="Fabric!$C$33" xr:uid="{AB0F84B5-31FE-4390-A768-404E5B7795E3}"/>
    <hyperlink ref="D33" location="Fabric!$D$33" display="Fabric!$D$33" xr:uid="{AF41EAB8-6FB9-4059-90E5-B399F6660074}"/>
    <hyperlink ref="C34" location="Fabric!$C$34" display="Fabric!$C$34" xr:uid="{902AAD1C-72CF-4589-B131-11A04A3EA586}"/>
    <hyperlink ref="D34" location="Fabric!$D$34" display="Fabric!$D$34" xr:uid="{DCF6D4E6-8EE3-45DD-8A20-2C265A6508B2}"/>
    <hyperlink ref="C35" location="Fabric!$C$35" display="Fabric!$C$35" xr:uid="{DEEF3F75-0D15-4F8E-837D-6023823B4FA8}"/>
    <hyperlink ref="D35" location="Fabric!$D$35" display="Fabric!$D$35" xr:uid="{DA1B4F05-0250-431D-A9D2-361B3B5D05DA}"/>
    <hyperlink ref="F18" location="Fabric!$F$18" display="Fabric!$F$18" xr:uid="{4D707810-53E9-4AD5-908E-CAA36217B46C}"/>
    <hyperlink ref="G18" location="Fabric!$G$18" display="Fabric!$G$18" xr:uid="{4B984F18-DE1E-40C1-90B5-796C8697FB1F}"/>
    <hyperlink ref="F19" location="Fabric!$F$19" display="Fabric!$F$19" xr:uid="{2CD2C4AB-63F2-4E31-A969-221CED53C7CD}"/>
    <hyperlink ref="G19" location="Fabric!$G$19" display="Fabric!$G$19" xr:uid="{3C77C482-060F-444B-8FC3-53E243B857F2}"/>
    <hyperlink ref="F20" location="Fabric!$F$20" display="Fabric!$F$20" xr:uid="{C04817B0-A326-4D9A-9711-5CACEAD57D7A}"/>
    <hyperlink ref="G20" location="Fabric!$G$20" display="Fabric!$G$20" xr:uid="{434D9E1B-B912-4110-88F5-9B0C2D97D2D6}"/>
    <hyperlink ref="F21" location="Fabric!$F$21" display="Fabric!$F$21" xr:uid="{621895EB-E2A8-40B5-9333-202E176C350E}"/>
    <hyperlink ref="G21" location="Fabric!$G$21" display="Fabric!$G$21" xr:uid="{9B19EFA1-47C1-4A88-BED3-FD32F79FF54C}"/>
    <hyperlink ref="F22" location="Fabric!$F$22" display="Fabric!$F$22" xr:uid="{D6F20EE4-7064-49B3-B624-9669A234F10E}"/>
    <hyperlink ref="G22" location="Fabric!$G$22" display="Fabric!$G$22" xr:uid="{EE5D9C3C-C8C0-42BE-9610-FB774B53B2E6}"/>
    <hyperlink ref="F23" location="Fabric!$F$23" display="Fabric!$F$23" xr:uid="{57EF7AA4-5417-4072-97B2-A29AFA1653F2}"/>
    <hyperlink ref="G23" location="Fabric!$G$23" display="Fabric!$G$23" xr:uid="{3FCC9E03-89F4-4094-981F-A2D98C34A94B}"/>
    <hyperlink ref="F24" location="Fabric!$F$24" display="Fabric!$F$24" xr:uid="{76DD773C-6707-494A-A6E6-45DF082BAC10}"/>
    <hyperlink ref="G24" location="Fabric!$G$24" display="Fabric!$G$24" xr:uid="{C066EA01-1340-4BA0-B654-3DF7587121FA}"/>
    <hyperlink ref="F25" location="Fabric!$F$25" display="Fabric!$F$25" xr:uid="{2904B881-0982-4DAD-855E-AEB379C18BD7}"/>
    <hyperlink ref="G25" location="Fabric!$G$25" display="Fabric!$G$25" xr:uid="{9FFCEAD5-29DF-4852-BC42-B6813AF45C2D}"/>
    <hyperlink ref="F26" location="Fabric!$F$26" display="Fabric!$F$26" xr:uid="{AAEFEB5B-28F8-4DE2-A0C8-C1FDEFC3B2F3}"/>
    <hyperlink ref="G26" location="Fabric!$G$26" display="Fabric!$G$26" xr:uid="{B320F2C2-1390-4444-9F24-B97EF6075226}"/>
    <hyperlink ref="F27" location="Fabric!$F$27" display="Fabric!$F$27" xr:uid="{97BF3B05-0E60-4F05-AE08-C00EF5950E42}"/>
    <hyperlink ref="G27" location="Fabric!$G$27" display="Fabric!$G$27" xr:uid="{0EC8D261-D1E7-4524-B3C7-37AC7BC79BEE}"/>
    <hyperlink ref="F28" location="Fabric!$F$28" display="Fabric!$F$28" xr:uid="{B39338ED-576E-4601-B97C-18AAD35A0631}"/>
    <hyperlink ref="G28" location="Fabric!$G$28" display="Fabric!$G$28" xr:uid="{5434FAA0-4C1C-428E-B7B7-53B1B35F19B3}"/>
    <hyperlink ref="F29" location="Fabric!$F$29" display="Fabric!$F$29" xr:uid="{2B203C69-B547-4080-88FB-92FDD7D09BD8}"/>
    <hyperlink ref="G29" location="Fabric!$G$29" display="Fabric!$G$29" xr:uid="{DEA9FE04-78CB-4FD7-AF4B-736752E4714C}"/>
    <hyperlink ref="F30" location="Fabric!$F$30" display="Fabric!$F$30" xr:uid="{8C9C499F-7C4B-401F-A170-550B5FC8DB1F}"/>
    <hyperlink ref="G30" location="Fabric!$G$30" display="Fabric!$G$30" xr:uid="{FDFF8DCA-11CA-4FBA-85A4-C8284240B7E8}"/>
    <hyperlink ref="F31" location="Fabric!$F$31" display="Fabric!$F$31" xr:uid="{BBD39B3D-ACB6-45FC-9B68-791A96BE0700}"/>
    <hyperlink ref="G31" location="Fabric!$G$31" display="Fabric!$G$31" xr:uid="{85275DA6-DDDC-4E56-A59E-EBCBB884C49D}"/>
    <hyperlink ref="F32" location="Fabric!$F$32" display="Fabric!$F$32" xr:uid="{FD819F7F-0D3D-42B2-8722-B9EE04010EAB}"/>
    <hyperlink ref="G32" location="Fabric!$G$32" display="Fabric!$G$32" xr:uid="{C3CAD877-1A84-4073-928E-750D580D7C0A}"/>
    <hyperlink ref="F33" location="Fabric!$F$33" display="Fabric!$F$33" xr:uid="{DF9DD3CD-F90A-49F4-B424-DD613C2E37CD}"/>
    <hyperlink ref="G33" location="Fabric!$G$33" display="Fabric!$G$33" xr:uid="{4102A6FE-6519-49ED-8C68-C9C6F5A718FE}"/>
    <hyperlink ref="F34" location="Fabric!$F$34" display="Fabric!$F$34" xr:uid="{55013F32-76F5-44BC-870A-5CB0AD56963F}"/>
    <hyperlink ref="G34" location="Fabric!$G$34" display="Fabric!$G$34" xr:uid="{54113854-2EC9-40FC-B9ED-52997BA978A7}"/>
    <hyperlink ref="F35" location="Fabric!$F$35" display="Fabric!$F$35" xr:uid="{30E10F20-B403-4FD3-B9E4-82DCE7BF59ED}"/>
    <hyperlink ref="G35" location="Fabric!$G$35" display="Fabric!$G$35" xr:uid="{33488A37-8E5B-4604-B61D-F07CFA83D2DA}"/>
    <hyperlink ref="K7" location="fabric_custom_price" display="fabric_custom_price" xr:uid="{FD419E69-0190-4E56-8B6D-F82381BFD97F}"/>
    <hyperlink ref="E14:F14" location="Quote!B7" display="Go to Quote" xr:uid="{96F41C4D-5F5B-42F0-B0F4-6F2B29FDE43F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5" operator="notContains" id="{1666107B-2ED0-4706-96E1-2A5CDD210888}">
            <xm:f>ISERROR(SEARCH("None",D7))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containsText" priority="13" operator="containsText" id="{7F4CB91D-46AC-49C4-AB88-F046472BB8D4}">
            <xm:f>NOT(ISERROR(SEARCH("Unprinted",D11)))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D11:D12</xm:sqref>
        </x14:conditionalFormatting>
        <x14:conditionalFormatting xmlns:xm="http://schemas.microsoft.com/office/excel/2006/main">
          <x14:cfRule type="containsText" priority="11" operator="containsText" id="{0DA7214E-160E-4D29-BE0B-CAEEA78319E6}">
            <xm:f>NOT(ISERROR(SEARCH("Single Sided with Blocker",F11)))</xm:f>
            <xm:f>"Single Sided with Blocker"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14:cfRule type="notContainsText" priority="12" operator="notContains" id="{5FF31765-A3D7-40F4-8310-390292CD7EF2}">
            <xm:f>ISERROR(SEARCH("Single Sided",F11))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F11:F12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03">
    <tabColor theme="4" tint="0.39997558519241921"/>
  </sheetPr>
  <dimension ref="A1:U58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3" width="12.77734375" style="491" customWidth="1"/>
    <col min="4" max="4" width="15.33203125" style="491" bestFit="1" customWidth="1"/>
    <col min="5" max="5" width="13.21875" style="491" bestFit="1" customWidth="1"/>
    <col min="6" max="6" width="10.109375" style="491" customWidth="1"/>
    <col min="7" max="7" width="13.21875" style="491" bestFit="1" customWidth="1"/>
    <col min="8" max="8" width="11.6640625" style="491" bestFit="1" customWidth="1"/>
    <col min="9" max="9" width="15.33203125" style="491" bestFit="1" customWidth="1"/>
    <col min="10" max="10" width="12.21875" style="491" bestFit="1" customWidth="1"/>
    <col min="11" max="11" width="11.77734375" style="491" bestFit="1" customWidth="1"/>
    <col min="12" max="12" width="10.21875" style="491" customWidth="1"/>
    <col min="13" max="14" width="9.21875" style="491" customWidth="1"/>
    <col min="15" max="15" width="19.77734375" style="491" bestFit="1" customWidth="1"/>
    <col min="16" max="16" width="9.109375" style="491" customWidth="1"/>
    <col min="17" max="17" width="9.109375" style="491"/>
    <col min="18" max="19" width="9.109375" style="491" customWidth="1"/>
    <col min="20" max="16384" width="9.109375" style="491"/>
  </cols>
  <sheetData>
    <row r="1" spans="1:21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5" customHeight="1" x14ac:dyDescent="0.3">
      <c r="A2" s="27"/>
      <c r="B2" s="820" t="s">
        <v>793</v>
      </c>
      <c r="C2" s="820"/>
      <c r="D2" s="820"/>
      <c r="E2" s="820"/>
      <c r="F2" s="820"/>
      <c r="G2" s="820"/>
      <c r="H2" s="820"/>
      <c r="I2" s="816" t="s">
        <v>1</v>
      </c>
      <c r="J2" s="816"/>
      <c r="K2" s="320"/>
      <c r="M2" s="27"/>
      <c r="N2" s="27"/>
      <c r="O2" s="27"/>
      <c r="P2" s="27"/>
      <c r="Q2" s="27"/>
      <c r="R2" s="27"/>
      <c r="S2" s="27"/>
      <c r="T2" s="27"/>
      <c r="U2" s="26"/>
    </row>
    <row r="3" spans="1:21" ht="15" customHeight="1" x14ac:dyDescent="0.3">
      <c r="A3" s="27"/>
      <c r="B3" s="820"/>
      <c r="C3" s="820"/>
      <c r="D3" s="820"/>
      <c r="E3" s="820"/>
      <c r="F3" s="820"/>
      <c r="G3" s="820"/>
      <c r="H3" s="820"/>
      <c r="I3" s="816"/>
      <c r="J3" s="816"/>
      <c r="K3" s="320"/>
      <c r="L3" s="28"/>
      <c r="M3" s="26"/>
      <c r="N3" s="26"/>
      <c r="O3" s="26"/>
      <c r="P3" s="27"/>
      <c r="Q3" s="27"/>
      <c r="R3" s="27"/>
      <c r="S3" s="27"/>
      <c r="T3" s="27"/>
      <c r="U3" s="26"/>
    </row>
    <row r="4" spans="1:21" ht="1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20"/>
      <c r="M4" s="26"/>
      <c r="N4" s="26"/>
      <c r="O4" s="26"/>
      <c r="P4" s="26"/>
      <c r="Q4" s="27"/>
      <c r="R4" s="27"/>
      <c r="S4" s="27"/>
      <c r="T4" s="27"/>
      <c r="U4" s="27"/>
    </row>
    <row r="5" spans="1:21" ht="15" customHeight="1" x14ac:dyDescent="0.3">
      <c r="A5" s="27"/>
      <c r="B5" s="815" t="s">
        <v>220</v>
      </c>
      <c r="C5" s="35" t="s">
        <v>494</v>
      </c>
      <c r="D5" s="33"/>
      <c r="E5" s="34" t="s">
        <v>498</v>
      </c>
      <c r="F5" s="33"/>
      <c r="G5" s="35" t="s">
        <v>502</v>
      </c>
      <c r="H5" s="33"/>
      <c r="I5" s="199">
        <f>Formulas!$B$50</f>
        <v>0</v>
      </c>
      <c r="J5" s="26"/>
      <c r="Q5" s="27"/>
      <c r="T5" s="27"/>
      <c r="U5" s="27"/>
    </row>
    <row r="6" spans="1:21" ht="15" customHeight="1" x14ac:dyDescent="0.3">
      <c r="A6" s="27"/>
      <c r="B6" s="815"/>
      <c r="C6" s="59" t="s">
        <v>495</v>
      </c>
      <c r="D6" s="201"/>
      <c r="E6" s="43" t="s">
        <v>499</v>
      </c>
      <c r="F6" s="202"/>
      <c r="G6" s="200" t="s">
        <v>503</v>
      </c>
      <c r="H6" s="201"/>
      <c r="I6" s="203"/>
      <c r="J6" s="26"/>
      <c r="Q6" s="27"/>
      <c r="T6" s="27"/>
      <c r="U6" s="27"/>
    </row>
    <row r="7" spans="1:21" ht="15" customHeight="1" x14ac:dyDescent="0.3">
      <c r="A7" s="27"/>
      <c r="B7" s="652" t="s">
        <v>487</v>
      </c>
      <c r="C7" s="509" t="s">
        <v>496</v>
      </c>
      <c r="D7" s="607" t="s">
        <v>130</v>
      </c>
      <c r="E7" s="510" t="s">
        <v>500</v>
      </c>
      <c r="F7" s="511" t="s">
        <v>154</v>
      </c>
      <c r="G7" s="512" t="s">
        <v>488</v>
      </c>
      <c r="H7" s="583" t="s">
        <v>154</v>
      </c>
      <c r="I7" s="203"/>
      <c r="J7" s="26"/>
      <c r="Q7" s="27"/>
      <c r="T7" s="27"/>
      <c r="U7" s="27"/>
    </row>
    <row r="8" spans="1:21" ht="15" customHeight="1" x14ac:dyDescent="0.3">
      <c r="A8" s="27"/>
      <c r="B8" s="653" t="s">
        <v>493</v>
      </c>
      <c r="C8" s="500" t="s">
        <v>497</v>
      </c>
      <c r="D8" s="366"/>
      <c r="E8" s="344" t="s">
        <v>501</v>
      </c>
      <c r="F8" s="508"/>
      <c r="G8" s="344" t="s">
        <v>504</v>
      </c>
      <c r="H8" s="366"/>
      <c r="I8" s="27"/>
      <c r="J8" s="27"/>
      <c r="Q8" s="27"/>
      <c r="R8" s="27"/>
      <c r="S8" s="27"/>
      <c r="T8" s="27"/>
      <c r="U8" s="27"/>
    </row>
    <row r="9" spans="1:21" ht="15" customHeight="1" x14ac:dyDescent="0.3">
      <c r="A9" s="27"/>
      <c r="B9" s="653" t="s">
        <v>465</v>
      </c>
      <c r="C9" s="345" t="s">
        <v>492</v>
      </c>
      <c r="D9" s="582"/>
      <c r="E9" s="835" t="s">
        <v>591</v>
      </c>
      <c r="F9" s="836"/>
      <c r="G9" s="822" t="s">
        <v>545</v>
      </c>
      <c r="H9" s="823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5" customHeight="1" x14ac:dyDescent="0.3">
      <c r="A10" s="27"/>
      <c r="T10" s="27"/>
      <c r="U10" s="27"/>
    </row>
    <row r="11" spans="1:21" ht="15" customHeight="1" x14ac:dyDescent="0.3">
      <c r="A11" s="27"/>
      <c r="B11" s="818" t="s">
        <v>593</v>
      </c>
      <c r="C11" s="824"/>
      <c r="D11" s="824"/>
      <c r="E11" s="824"/>
      <c r="F11" s="824"/>
      <c r="G11" s="824"/>
      <c r="H11" s="824"/>
      <c r="I11" s="824"/>
      <c r="J11" s="824"/>
      <c r="K11" s="824"/>
      <c r="L11" s="824"/>
      <c r="M11" s="819"/>
      <c r="O11" s="817" t="s">
        <v>236</v>
      </c>
      <c r="P11" s="817"/>
      <c r="Q11" s="27"/>
      <c r="T11" s="27"/>
      <c r="U11" s="27"/>
    </row>
    <row r="12" spans="1:21" ht="15" customHeight="1" x14ac:dyDescent="0.3">
      <c r="A12" s="27"/>
      <c r="B12" s="1014" t="s">
        <v>342</v>
      </c>
      <c r="C12" s="1015"/>
      <c r="D12" s="1015"/>
      <c r="E12" s="1015"/>
      <c r="F12" s="1015"/>
      <c r="G12" s="1015"/>
      <c r="H12" s="1015"/>
      <c r="I12" s="1015"/>
      <c r="J12" s="1015"/>
      <c r="K12" s="1015"/>
      <c r="L12" s="1015"/>
      <c r="M12" s="1016"/>
      <c r="O12" s="1" t="s">
        <v>238</v>
      </c>
      <c r="P12" s="300"/>
      <c r="Q12" s="27"/>
      <c r="T12" s="27"/>
      <c r="U12" s="27"/>
    </row>
    <row r="13" spans="1:21" ht="15" customHeight="1" x14ac:dyDescent="0.3">
      <c r="A13" s="27"/>
      <c r="B13" s="821" t="s">
        <v>3</v>
      </c>
      <c r="C13" s="837" t="s">
        <v>595</v>
      </c>
      <c r="D13" s="821" t="s">
        <v>597</v>
      </c>
      <c r="E13" s="839" t="s">
        <v>596</v>
      </c>
      <c r="F13" s="1007" t="s">
        <v>791</v>
      </c>
      <c r="G13" s="1006" t="s">
        <v>792</v>
      </c>
      <c r="H13" s="840" t="s">
        <v>3</v>
      </c>
      <c r="I13" s="815" t="s">
        <v>595</v>
      </c>
      <c r="J13" s="839" t="s">
        <v>597</v>
      </c>
      <c r="K13" s="839" t="s">
        <v>596</v>
      </c>
      <c r="L13" s="821" t="s">
        <v>791</v>
      </c>
      <c r="M13" s="821" t="s">
        <v>792</v>
      </c>
      <c r="O13" s="55" t="s">
        <v>239</v>
      </c>
      <c r="P13" s="763">
        <f>Formulas!P57</f>
        <v>0</v>
      </c>
      <c r="Q13" s="27"/>
      <c r="T13" s="27"/>
      <c r="U13" s="27"/>
    </row>
    <row r="14" spans="1:21" ht="15" customHeight="1" x14ac:dyDescent="0.3">
      <c r="A14" s="27"/>
      <c r="B14" s="821"/>
      <c r="C14" s="838"/>
      <c r="D14" s="821"/>
      <c r="E14" s="839"/>
      <c r="F14" s="1007"/>
      <c r="G14" s="1006"/>
      <c r="H14" s="840"/>
      <c r="I14" s="815"/>
      <c r="J14" s="839"/>
      <c r="K14" s="839"/>
      <c r="L14" s="821"/>
      <c r="M14" s="821"/>
      <c r="Q14" s="27"/>
      <c r="R14" s="27"/>
      <c r="S14" s="27"/>
      <c r="U14" s="27"/>
    </row>
    <row r="15" spans="1:21" ht="15" customHeight="1" x14ac:dyDescent="0.3">
      <c r="A15" s="27"/>
      <c r="B15" s="581" t="s">
        <v>6</v>
      </c>
      <c r="C15" s="759">
        <f>Formulas!C59</f>
        <v>21</v>
      </c>
      <c r="D15" s="788">
        <f>Formulas!D59</f>
        <v>27</v>
      </c>
      <c r="E15" s="759">
        <f>Formulas!E59</f>
        <v>33</v>
      </c>
      <c r="F15" s="1008">
        <f>Formulas!F59</f>
        <v>28</v>
      </c>
      <c r="G15" s="789">
        <f>Formulas!G59</f>
        <v>28</v>
      </c>
      <c r="H15" s="205" t="s">
        <v>761</v>
      </c>
      <c r="I15" s="761">
        <f>Formulas!I59</f>
        <v>287</v>
      </c>
      <c r="J15" s="793">
        <f>Formulas!J59</f>
        <v>318</v>
      </c>
      <c r="K15" s="761">
        <f>Formulas!K59</f>
        <v>387</v>
      </c>
      <c r="L15" s="788">
        <f>Formulas!L59</f>
        <v>325</v>
      </c>
      <c r="M15" s="788">
        <f>Formulas!M59</f>
        <v>325</v>
      </c>
      <c r="O15" s="818" t="s">
        <v>451</v>
      </c>
      <c r="P15" s="819"/>
      <c r="Q15" s="27"/>
      <c r="U15" s="27"/>
    </row>
    <row r="16" spans="1:21" ht="15" customHeight="1" x14ac:dyDescent="0.3">
      <c r="A16" s="27"/>
      <c r="B16" s="206" t="s">
        <v>10</v>
      </c>
      <c r="C16" s="790">
        <f>Formulas!C60</f>
        <v>30</v>
      </c>
      <c r="D16" s="791">
        <f>Formulas!D60</f>
        <v>34</v>
      </c>
      <c r="E16" s="790">
        <f>Formulas!E60</f>
        <v>41</v>
      </c>
      <c r="F16" s="1009">
        <f>Formulas!F60</f>
        <v>35</v>
      </c>
      <c r="G16" s="792">
        <f>Formulas!G60</f>
        <v>35</v>
      </c>
      <c r="H16" s="207" t="s">
        <v>762</v>
      </c>
      <c r="I16" s="790">
        <f>Formulas!I60</f>
        <v>297</v>
      </c>
      <c r="J16" s="791">
        <f>Formulas!J60</f>
        <v>325</v>
      </c>
      <c r="K16" s="790">
        <f>Formulas!K60</f>
        <v>396</v>
      </c>
      <c r="L16" s="791">
        <f>Formulas!L60</f>
        <v>334</v>
      </c>
      <c r="M16" s="791">
        <f>Formulas!M60</f>
        <v>334</v>
      </c>
      <c r="O16" s="473" t="s">
        <v>452</v>
      </c>
      <c r="P16" s="300"/>
      <c r="Q16" s="27"/>
      <c r="U16" s="27"/>
    </row>
    <row r="17" spans="1:21" ht="15" customHeight="1" x14ac:dyDescent="0.3">
      <c r="A17" s="27"/>
      <c r="B17" s="204" t="s">
        <v>14</v>
      </c>
      <c r="C17" s="761">
        <f>Formulas!C61</f>
        <v>40</v>
      </c>
      <c r="D17" s="793">
        <f>Formulas!D61</f>
        <v>46</v>
      </c>
      <c r="E17" s="761">
        <f>Formulas!E61</f>
        <v>57</v>
      </c>
      <c r="F17" s="1010">
        <f>Formulas!F61</f>
        <v>48</v>
      </c>
      <c r="G17" s="794">
        <f>Formulas!G61</f>
        <v>48</v>
      </c>
      <c r="H17" s="205" t="s">
        <v>763</v>
      </c>
      <c r="I17" s="761">
        <f>Formulas!I61</f>
        <v>306</v>
      </c>
      <c r="J17" s="793">
        <f>Formulas!J61</f>
        <v>334</v>
      </c>
      <c r="K17" s="761">
        <f>Formulas!K61</f>
        <v>407</v>
      </c>
      <c r="L17" s="793">
        <f>Formulas!L61</f>
        <v>343</v>
      </c>
      <c r="M17" s="793">
        <f>Formulas!M61</f>
        <v>343</v>
      </c>
      <c r="O17" s="226" t="s">
        <v>453</v>
      </c>
      <c r="P17" s="472"/>
      <c r="Q17" s="27"/>
      <c r="U17" s="27"/>
    </row>
    <row r="18" spans="1:21" ht="15" customHeight="1" x14ac:dyDescent="0.3">
      <c r="A18" s="27"/>
      <c r="B18" s="206" t="s">
        <v>18</v>
      </c>
      <c r="C18" s="790">
        <f>Formulas!C62</f>
        <v>47</v>
      </c>
      <c r="D18" s="791">
        <f>Formulas!D62</f>
        <v>59</v>
      </c>
      <c r="E18" s="790">
        <f>Formulas!E62</f>
        <v>71</v>
      </c>
      <c r="F18" s="1009">
        <f>Formulas!F62</f>
        <v>60</v>
      </c>
      <c r="G18" s="792">
        <f>Formulas!G62</f>
        <v>60</v>
      </c>
      <c r="H18" s="207" t="s">
        <v>764</v>
      </c>
      <c r="I18" s="790">
        <f>Formulas!I62</f>
        <v>315</v>
      </c>
      <c r="J18" s="791">
        <f>Formulas!J62</f>
        <v>343</v>
      </c>
      <c r="K18" s="790">
        <f>Formulas!K62</f>
        <v>418</v>
      </c>
      <c r="L18" s="791">
        <f>Formulas!L62</f>
        <v>351</v>
      </c>
      <c r="M18" s="791">
        <f>Formulas!M62</f>
        <v>351</v>
      </c>
      <c r="O18" s="474" t="s">
        <v>454</v>
      </c>
      <c r="P18" s="477">
        <f>Formulas!P62</f>
        <v>0</v>
      </c>
      <c r="Q18" s="27"/>
      <c r="T18" s="27"/>
      <c r="U18" s="27"/>
    </row>
    <row r="19" spans="1:21" ht="15" customHeight="1" x14ac:dyDescent="0.3">
      <c r="A19" s="27"/>
      <c r="B19" s="208" t="s">
        <v>22</v>
      </c>
      <c r="C19" s="795">
        <f>Formulas!C63</f>
        <v>65</v>
      </c>
      <c r="D19" s="796">
        <f>Formulas!D63</f>
        <v>70</v>
      </c>
      <c r="E19" s="795">
        <f>Formulas!E63</f>
        <v>85</v>
      </c>
      <c r="F19" s="1011">
        <f>Formulas!F63</f>
        <v>71</v>
      </c>
      <c r="G19" s="797">
        <f>Formulas!G63</f>
        <v>71</v>
      </c>
      <c r="H19" s="209" t="s">
        <v>765</v>
      </c>
      <c r="I19" s="795">
        <f>Formulas!I63</f>
        <v>325</v>
      </c>
      <c r="J19" s="796">
        <f>Formulas!J63</f>
        <v>351</v>
      </c>
      <c r="K19" s="795">
        <f>Formulas!K63</f>
        <v>428</v>
      </c>
      <c r="L19" s="796">
        <f>Formulas!L63</f>
        <v>360</v>
      </c>
      <c r="M19" s="796">
        <f>Formulas!M63</f>
        <v>360</v>
      </c>
      <c r="Q19" s="27"/>
      <c r="R19" s="27"/>
      <c r="S19" s="27"/>
      <c r="T19" s="27"/>
      <c r="U19" s="27"/>
    </row>
    <row r="20" spans="1:21" ht="15" customHeight="1" x14ac:dyDescent="0.3">
      <c r="A20" s="27"/>
      <c r="B20" s="206" t="s">
        <v>27</v>
      </c>
      <c r="C20" s="790">
        <f>Formulas!C64</f>
        <v>74</v>
      </c>
      <c r="D20" s="791">
        <f>Formulas!D64</f>
        <v>84</v>
      </c>
      <c r="E20" s="790">
        <f>Formulas!E64</f>
        <v>102</v>
      </c>
      <c r="F20" s="1009">
        <f>Formulas!F64</f>
        <v>86</v>
      </c>
      <c r="G20" s="792">
        <f>Formulas!G64</f>
        <v>86</v>
      </c>
      <c r="H20" s="207" t="s">
        <v>766</v>
      </c>
      <c r="I20" s="790">
        <f>Formulas!I64</f>
        <v>334</v>
      </c>
      <c r="J20" s="791">
        <f>Formulas!J64</f>
        <v>359</v>
      </c>
      <c r="K20" s="790">
        <f>Formulas!K64</f>
        <v>438</v>
      </c>
      <c r="L20" s="791">
        <f>Formulas!L64</f>
        <v>369</v>
      </c>
      <c r="M20" s="791">
        <f>Formulas!M64</f>
        <v>369</v>
      </c>
      <c r="Q20" s="27"/>
      <c r="R20" s="27"/>
      <c r="S20" s="27"/>
      <c r="T20" s="27"/>
      <c r="U20" s="27"/>
    </row>
    <row r="21" spans="1:21" ht="15" customHeight="1" x14ac:dyDescent="0.3">
      <c r="A21" s="27"/>
      <c r="B21" s="204" t="s">
        <v>31</v>
      </c>
      <c r="C21" s="761">
        <f>Formulas!C65</f>
        <v>85</v>
      </c>
      <c r="D21" s="793">
        <f>Formulas!D65</f>
        <v>94</v>
      </c>
      <c r="E21" s="761">
        <f>Formulas!E65</f>
        <v>115</v>
      </c>
      <c r="F21" s="1010">
        <f>Formulas!F65</f>
        <v>97</v>
      </c>
      <c r="G21" s="794">
        <f>Formulas!G65</f>
        <v>97</v>
      </c>
      <c r="H21" s="205" t="s">
        <v>767</v>
      </c>
      <c r="I21" s="761">
        <f>Formulas!I65</f>
        <v>342</v>
      </c>
      <c r="J21" s="793">
        <f>Formulas!J65</f>
        <v>368</v>
      </c>
      <c r="K21" s="761">
        <f>Formulas!K65</f>
        <v>447</v>
      </c>
      <c r="L21" s="793">
        <f>Formulas!L65</f>
        <v>377</v>
      </c>
      <c r="M21" s="793">
        <f>Formulas!M65</f>
        <v>377</v>
      </c>
      <c r="Q21" s="27"/>
      <c r="R21" s="27"/>
      <c r="S21" s="27"/>
      <c r="T21" s="27"/>
      <c r="U21" s="27"/>
    </row>
    <row r="22" spans="1:21" ht="15" customHeight="1" x14ac:dyDescent="0.3">
      <c r="A22" s="27"/>
      <c r="B22" s="206" t="s">
        <v>35</v>
      </c>
      <c r="C22" s="790">
        <f>Formulas!C66</f>
        <v>91</v>
      </c>
      <c r="D22" s="791">
        <f>Formulas!D66</f>
        <v>105</v>
      </c>
      <c r="E22" s="790">
        <f>Formulas!E66</f>
        <v>128</v>
      </c>
      <c r="F22" s="1009">
        <f>Formulas!F66</f>
        <v>108</v>
      </c>
      <c r="G22" s="792">
        <f>Formulas!G66</f>
        <v>108</v>
      </c>
      <c r="H22" s="207" t="s">
        <v>768</v>
      </c>
      <c r="I22" s="790">
        <f>Formulas!I66</f>
        <v>352</v>
      </c>
      <c r="J22" s="791">
        <f>Formulas!J66</f>
        <v>376</v>
      </c>
      <c r="K22" s="790">
        <f>Formulas!K66</f>
        <v>459</v>
      </c>
      <c r="L22" s="791">
        <f>Formulas!L66</f>
        <v>386</v>
      </c>
      <c r="M22" s="791">
        <f>Formulas!M66</f>
        <v>386</v>
      </c>
      <c r="U22" s="27"/>
    </row>
    <row r="23" spans="1:21" ht="15" customHeight="1" x14ac:dyDescent="0.3">
      <c r="A23" s="27"/>
      <c r="B23" s="204" t="s">
        <v>38</v>
      </c>
      <c r="C23" s="761">
        <f>Formulas!C67</f>
        <v>101</v>
      </c>
      <c r="D23" s="793">
        <f>Formulas!D67</f>
        <v>116</v>
      </c>
      <c r="E23" s="761">
        <f>Formulas!E67</f>
        <v>141</v>
      </c>
      <c r="F23" s="1010">
        <f>Formulas!F67</f>
        <v>119</v>
      </c>
      <c r="G23" s="794">
        <f>Formulas!G67</f>
        <v>119</v>
      </c>
      <c r="H23" s="205" t="s">
        <v>769</v>
      </c>
      <c r="I23" s="761">
        <f>Formulas!I67</f>
        <v>358</v>
      </c>
      <c r="J23" s="793">
        <f>Formulas!J67</f>
        <v>385</v>
      </c>
      <c r="K23" s="761">
        <f>Formulas!K67</f>
        <v>468</v>
      </c>
      <c r="L23" s="793">
        <f>Formulas!L67</f>
        <v>395</v>
      </c>
      <c r="M23" s="793">
        <f>Formulas!M67</f>
        <v>395</v>
      </c>
      <c r="U23" s="27"/>
    </row>
    <row r="24" spans="1:21" ht="15" customHeight="1" x14ac:dyDescent="0.3">
      <c r="A24" s="27"/>
      <c r="B24" s="210" t="s">
        <v>41</v>
      </c>
      <c r="C24" s="798">
        <f>Formulas!C68</f>
        <v>111</v>
      </c>
      <c r="D24" s="799">
        <f>Formulas!D68</f>
        <v>127</v>
      </c>
      <c r="E24" s="798">
        <f>Formulas!E68</f>
        <v>155</v>
      </c>
      <c r="F24" s="1012">
        <f>Formulas!F68</f>
        <v>130</v>
      </c>
      <c r="G24" s="800">
        <f>Formulas!G68</f>
        <v>130</v>
      </c>
      <c r="H24" s="211" t="s">
        <v>770</v>
      </c>
      <c r="I24" s="798">
        <f>Formulas!I68</f>
        <v>365</v>
      </c>
      <c r="J24" s="799">
        <f>Formulas!J68</f>
        <v>394</v>
      </c>
      <c r="K24" s="798">
        <f>Formulas!K68</f>
        <v>479</v>
      </c>
      <c r="L24" s="799">
        <f>Formulas!L68</f>
        <v>403</v>
      </c>
      <c r="M24" s="799">
        <f>Formulas!M68</f>
        <v>403</v>
      </c>
      <c r="U24" s="27"/>
    </row>
    <row r="25" spans="1:21" ht="15" customHeight="1" x14ac:dyDescent="0.3">
      <c r="A25" s="27"/>
      <c r="B25" s="204" t="s">
        <v>106</v>
      </c>
      <c r="C25" s="761">
        <f>Formulas!C69</f>
        <v>120</v>
      </c>
      <c r="D25" s="793">
        <f>Formulas!D69</f>
        <v>134</v>
      </c>
      <c r="E25" s="761">
        <f>Formulas!E69</f>
        <v>164</v>
      </c>
      <c r="F25" s="1010">
        <f>Formulas!F69</f>
        <v>138</v>
      </c>
      <c r="G25" s="794">
        <f>Formulas!G69</f>
        <v>138</v>
      </c>
      <c r="H25" s="205" t="s">
        <v>771</v>
      </c>
      <c r="I25" s="761">
        <f>Formulas!I69</f>
        <v>373</v>
      </c>
      <c r="J25" s="793">
        <f>Formulas!J69</f>
        <v>402</v>
      </c>
      <c r="K25" s="761">
        <f>Formulas!K69</f>
        <v>490</v>
      </c>
      <c r="L25" s="793">
        <f>Formulas!L69</f>
        <v>414</v>
      </c>
      <c r="M25" s="793">
        <f>Formulas!M69</f>
        <v>414</v>
      </c>
      <c r="U25" s="27"/>
    </row>
    <row r="26" spans="1:21" ht="15" customHeight="1" x14ac:dyDescent="0.3">
      <c r="A26" s="27"/>
      <c r="B26" s="206" t="s">
        <v>108</v>
      </c>
      <c r="C26" s="790">
        <f>Formulas!C70</f>
        <v>129</v>
      </c>
      <c r="D26" s="791">
        <f>Formulas!D70</f>
        <v>143</v>
      </c>
      <c r="E26" s="790">
        <f>Formulas!E70</f>
        <v>174</v>
      </c>
      <c r="F26" s="1009">
        <f>Formulas!F70</f>
        <v>147</v>
      </c>
      <c r="G26" s="792">
        <f>Formulas!G70</f>
        <v>147</v>
      </c>
      <c r="H26" s="207" t="s">
        <v>772</v>
      </c>
      <c r="I26" s="790">
        <f>Formulas!I70</f>
        <v>381</v>
      </c>
      <c r="J26" s="791">
        <f>Formulas!J70</f>
        <v>411</v>
      </c>
      <c r="K26" s="790">
        <f>Formulas!K70</f>
        <v>501</v>
      </c>
      <c r="L26" s="791">
        <f>Formulas!L70</f>
        <v>425</v>
      </c>
      <c r="M26" s="791">
        <f>Formulas!M70</f>
        <v>425</v>
      </c>
      <c r="U26" s="27"/>
    </row>
    <row r="27" spans="1:21" ht="15" customHeight="1" x14ac:dyDescent="0.3">
      <c r="A27" s="27"/>
      <c r="B27" s="204" t="s">
        <v>109</v>
      </c>
      <c r="C27" s="761">
        <f>Formulas!C71</f>
        <v>137</v>
      </c>
      <c r="D27" s="793">
        <f>Formulas!D71</f>
        <v>155</v>
      </c>
      <c r="E27" s="761">
        <f>Formulas!E71</f>
        <v>188</v>
      </c>
      <c r="F27" s="1010">
        <f>Formulas!F71</f>
        <v>158</v>
      </c>
      <c r="G27" s="794">
        <f>Formulas!G71</f>
        <v>158</v>
      </c>
      <c r="H27" s="205" t="s">
        <v>773</v>
      </c>
      <c r="I27" s="761">
        <f>Formulas!I71</f>
        <v>389</v>
      </c>
      <c r="J27" s="793">
        <f>Formulas!J71</f>
        <v>420</v>
      </c>
      <c r="K27" s="761">
        <f>Formulas!K71</f>
        <v>512</v>
      </c>
      <c r="L27" s="793">
        <f>Formulas!L71</f>
        <v>436</v>
      </c>
      <c r="M27" s="793">
        <f>Formulas!M71</f>
        <v>436</v>
      </c>
      <c r="U27" s="27"/>
    </row>
    <row r="28" spans="1:21" ht="15" customHeight="1" x14ac:dyDescent="0.3">
      <c r="A28" s="27"/>
      <c r="B28" s="206" t="s">
        <v>110</v>
      </c>
      <c r="C28" s="790">
        <f>Formulas!C72</f>
        <v>147</v>
      </c>
      <c r="D28" s="791">
        <f>Formulas!D72</f>
        <v>164</v>
      </c>
      <c r="E28" s="790">
        <f>Formulas!E72</f>
        <v>200</v>
      </c>
      <c r="F28" s="1009">
        <f>Formulas!F72</f>
        <v>168</v>
      </c>
      <c r="G28" s="792">
        <f>Formulas!G72</f>
        <v>168</v>
      </c>
      <c r="H28" s="207" t="s">
        <v>774</v>
      </c>
      <c r="I28" s="790">
        <f>Formulas!I72</f>
        <v>397</v>
      </c>
      <c r="J28" s="791">
        <f>Formulas!J72</f>
        <v>429</v>
      </c>
      <c r="K28" s="790">
        <f>Formulas!K72</f>
        <v>523</v>
      </c>
      <c r="L28" s="791">
        <f>Formulas!L72</f>
        <v>447</v>
      </c>
      <c r="M28" s="791">
        <f>Formulas!M72</f>
        <v>447</v>
      </c>
      <c r="N28" s="787"/>
      <c r="U28" s="27"/>
    </row>
    <row r="29" spans="1:21" ht="15" customHeight="1" x14ac:dyDescent="0.3">
      <c r="A29" s="27"/>
      <c r="B29" s="208" t="s">
        <v>111</v>
      </c>
      <c r="C29" s="795">
        <f>Formulas!C73</f>
        <v>154</v>
      </c>
      <c r="D29" s="796">
        <f>Formulas!D73</f>
        <v>173</v>
      </c>
      <c r="E29" s="795">
        <f>Formulas!E73</f>
        <v>210</v>
      </c>
      <c r="F29" s="1011">
        <f>Formulas!F73</f>
        <v>178</v>
      </c>
      <c r="G29" s="797">
        <f>Formulas!G73</f>
        <v>178</v>
      </c>
      <c r="H29" s="209" t="s">
        <v>775</v>
      </c>
      <c r="I29" s="795">
        <f>Formulas!I73</f>
        <v>405</v>
      </c>
      <c r="J29" s="796">
        <f>Formulas!J73</f>
        <v>438</v>
      </c>
      <c r="K29" s="795">
        <f>Formulas!K73</f>
        <v>534</v>
      </c>
      <c r="L29" s="796">
        <f>Formulas!L73</f>
        <v>458</v>
      </c>
      <c r="M29" s="796">
        <f>Formulas!M73</f>
        <v>458</v>
      </c>
      <c r="N29" s="787"/>
      <c r="U29" s="27"/>
    </row>
    <row r="30" spans="1:21" ht="15" customHeight="1" x14ac:dyDescent="0.3">
      <c r="A30" s="27"/>
      <c r="B30" s="206" t="s">
        <v>112</v>
      </c>
      <c r="C30" s="790">
        <f>Formulas!C74</f>
        <v>161</v>
      </c>
      <c r="D30" s="791">
        <f>Formulas!D74</f>
        <v>182</v>
      </c>
      <c r="E30" s="790">
        <f>Formulas!E74</f>
        <v>222</v>
      </c>
      <c r="F30" s="1009">
        <f>Formulas!F74</f>
        <v>187</v>
      </c>
      <c r="G30" s="792">
        <f>Formulas!G74</f>
        <v>187</v>
      </c>
      <c r="H30" s="207" t="s">
        <v>776</v>
      </c>
      <c r="I30" s="790">
        <f>Formulas!I74</f>
        <v>413</v>
      </c>
      <c r="J30" s="791">
        <f>Formulas!J74</f>
        <v>447</v>
      </c>
      <c r="K30" s="790">
        <f>Formulas!K74</f>
        <v>545</v>
      </c>
      <c r="L30" s="791">
        <f>Formulas!L74</f>
        <v>469</v>
      </c>
      <c r="M30" s="791">
        <f>Formulas!M74</f>
        <v>469</v>
      </c>
      <c r="N30" s="787"/>
      <c r="U30" s="27"/>
    </row>
    <row r="31" spans="1:21" ht="15" customHeight="1" x14ac:dyDescent="0.3">
      <c r="A31" s="27"/>
      <c r="B31" s="204" t="s">
        <v>113</v>
      </c>
      <c r="C31" s="761">
        <f>Formulas!C75</f>
        <v>171</v>
      </c>
      <c r="D31" s="793">
        <f>Formulas!D75</f>
        <v>191</v>
      </c>
      <c r="E31" s="761">
        <f>Formulas!E75</f>
        <v>232</v>
      </c>
      <c r="F31" s="1010">
        <f>Formulas!F75</f>
        <v>196</v>
      </c>
      <c r="G31" s="794">
        <f>Formulas!G75</f>
        <v>196</v>
      </c>
      <c r="H31" s="205" t="s">
        <v>777</v>
      </c>
      <c r="I31" s="761">
        <f>Formulas!I75</f>
        <v>421</v>
      </c>
      <c r="J31" s="793">
        <f>Formulas!J75</f>
        <v>456</v>
      </c>
      <c r="K31" s="761">
        <f>Formulas!K75</f>
        <v>556</v>
      </c>
      <c r="L31" s="793">
        <f>Formulas!L75</f>
        <v>480</v>
      </c>
      <c r="M31" s="793">
        <f>Formulas!M75</f>
        <v>480</v>
      </c>
      <c r="N31" s="787"/>
      <c r="U31" s="27"/>
    </row>
    <row r="32" spans="1:21" ht="15" customHeight="1" x14ac:dyDescent="0.3">
      <c r="A32" s="27"/>
      <c r="B32" s="206" t="s">
        <v>114</v>
      </c>
      <c r="C32" s="790">
        <f>Formulas!C76</f>
        <v>180</v>
      </c>
      <c r="D32" s="791">
        <f>Formulas!D76</f>
        <v>199</v>
      </c>
      <c r="E32" s="790">
        <f>Formulas!E76</f>
        <v>243</v>
      </c>
      <c r="F32" s="1009">
        <f>Formulas!F76</f>
        <v>204</v>
      </c>
      <c r="G32" s="792">
        <f>Formulas!G76</f>
        <v>204</v>
      </c>
      <c r="H32" s="207" t="s">
        <v>778</v>
      </c>
      <c r="I32" s="790">
        <f>Formulas!I76</f>
        <v>429</v>
      </c>
      <c r="J32" s="791">
        <f>Formulas!J76</f>
        <v>465</v>
      </c>
      <c r="K32" s="790">
        <f>Formulas!K76</f>
        <v>567</v>
      </c>
      <c r="L32" s="791">
        <f>Formulas!L76</f>
        <v>491</v>
      </c>
      <c r="M32" s="791">
        <f>Formulas!M76</f>
        <v>491</v>
      </c>
      <c r="N32" s="787"/>
      <c r="U32" s="27"/>
    </row>
    <row r="33" spans="1:21" ht="15" customHeight="1" x14ac:dyDescent="0.3">
      <c r="A33" s="27"/>
      <c r="B33" s="204" t="s">
        <v>115</v>
      </c>
      <c r="C33" s="761">
        <f>Formulas!C77</f>
        <v>191</v>
      </c>
      <c r="D33" s="793">
        <f>Formulas!D77</f>
        <v>209</v>
      </c>
      <c r="E33" s="761">
        <f>Formulas!E77</f>
        <v>254</v>
      </c>
      <c r="F33" s="1010">
        <f>Formulas!F77</f>
        <v>214</v>
      </c>
      <c r="G33" s="794">
        <f>Formulas!G77</f>
        <v>214</v>
      </c>
      <c r="H33" s="205" t="s">
        <v>779</v>
      </c>
      <c r="I33" s="761">
        <f>Formulas!I77</f>
        <v>437</v>
      </c>
      <c r="J33" s="793">
        <f>Formulas!J77</f>
        <v>474</v>
      </c>
      <c r="K33" s="761">
        <f>Formulas!K77</f>
        <v>578</v>
      </c>
      <c r="L33" s="793">
        <f>Formulas!L77</f>
        <v>502</v>
      </c>
      <c r="M33" s="793">
        <f>Formulas!M77</f>
        <v>502</v>
      </c>
      <c r="N33" s="787"/>
      <c r="U33" s="27"/>
    </row>
    <row r="34" spans="1:21" ht="15" customHeight="1" x14ac:dyDescent="0.3">
      <c r="A34" s="27"/>
      <c r="B34" s="210" t="s">
        <v>116</v>
      </c>
      <c r="C34" s="798">
        <f>Formulas!C78</f>
        <v>199</v>
      </c>
      <c r="D34" s="799">
        <f>Formulas!D78</f>
        <v>216</v>
      </c>
      <c r="E34" s="798">
        <f>Formulas!E78</f>
        <v>263</v>
      </c>
      <c r="F34" s="1012">
        <f>Formulas!F78</f>
        <v>222</v>
      </c>
      <c r="G34" s="800">
        <f>Formulas!G78</f>
        <v>222</v>
      </c>
      <c r="H34" s="211" t="s">
        <v>780</v>
      </c>
      <c r="I34" s="798">
        <f>Formulas!I78</f>
        <v>445</v>
      </c>
      <c r="J34" s="799">
        <f>Formulas!J78</f>
        <v>483</v>
      </c>
      <c r="K34" s="798">
        <f>Formulas!K78</f>
        <v>589</v>
      </c>
      <c r="L34" s="799">
        <f>Formulas!L78</f>
        <v>513</v>
      </c>
      <c r="M34" s="799">
        <f>Formulas!M78</f>
        <v>513</v>
      </c>
      <c r="N34" s="787"/>
      <c r="U34" s="27"/>
    </row>
    <row r="35" spans="1:21" ht="15" customHeight="1" x14ac:dyDescent="0.3">
      <c r="A35" s="27"/>
      <c r="B35" s="204" t="s">
        <v>118</v>
      </c>
      <c r="C35" s="761">
        <f>Formulas!C79</f>
        <v>206</v>
      </c>
      <c r="D35" s="793">
        <f>Formulas!D79</f>
        <v>277</v>
      </c>
      <c r="E35" s="761">
        <f>Formulas!E79</f>
        <v>276</v>
      </c>
      <c r="F35" s="1008">
        <f>Formulas!F79</f>
        <v>232</v>
      </c>
      <c r="G35" s="789">
        <f>Formulas!G79</f>
        <v>232</v>
      </c>
      <c r="H35" s="205" t="s">
        <v>781</v>
      </c>
      <c r="I35" s="761">
        <f>Formulas!I79</f>
        <v>453</v>
      </c>
      <c r="J35" s="793">
        <f>Formulas!J79</f>
        <v>492</v>
      </c>
      <c r="K35" s="761">
        <f>Formulas!K79</f>
        <v>600</v>
      </c>
      <c r="L35" s="793">
        <f>Formulas!L79</f>
        <v>524</v>
      </c>
      <c r="M35" s="793">
        <f>Formulas!M79</f>
        <v>524</v>
      </c>
      <c r="N35" s="787"/>
      <c r="U35" s="27"/>
    </row>
    <row r="36" spans="1:21" ht="15" customHeight="1" x14ac:dyDescent="0.3">
      <c r="A36" s="27"/>
      <c r="B36" s="206" t="s">
        <v>120</v>
      </c>
      <c r="C36" s="790">
        <f>Formulas!C80</f>
        <v>213</v>
      </c>
      <c r="D36" s="791">
        <f>Formulas!D80</f>
        <v>234</v>
      </c>
      <c r="E36" s="790">
        <f>Formulas!E80</f>
        <v>285</v>
      </c>
      <c r="F36" s="1009">
        <f>Formulas!F80</f>
        <v>241</v>
      </c>
      <c r="G36" s="792">
        <f>Formulas!G80</f>
        <v>241</v>
      </c>
      <c r="H36" s="207" t="s">
        <v>782</v>
      </c>
      <c r="I36" s="790">
        <f>Formulas!I80</f>
        <v>461</v>
      </c>
      <c r="J36" s="791">
        <f>Formulas!J80</f>
        <v>501</v>
      </c>
      <c r="K36" s="790">
        <f>Formulas!K80</f>
        <v>611</v>
      </c>
      <c r="L36" s="791">
        <f>Formulas!L80</f>
        <v>535</v>
      </c>
      <c r="M36" s="791">
        <f>Formulas!M80</f>
        <v>535</v>
      </c>
      <c r="N36" s="787"/>
      <c r="U36" s="27"/>
    </row>
    <row r="37" spans="1:21" ht="15" customHeight="1" x14ac:dyDescent="0.3">
      <c r="B37" s="204" t="s">
        <v>122</v>
      </c>
      <c r="C37" s="761">
        <f>Formulas!C81</f>
        <v>219</v>
      </c>
      <c r="D37" s="793">
        <f>Formulas!D81</f>
        <v>244</v>
      </c>
      <c r="E37" s="761">
        <f>Formulas!E81</f>
        <v>296</v>
      </c>
      <c r="F37" s="1010">
        <f>Formulas!F81</f>
        <v>250</v>
      </c>
      <c r="G37" s="794">
        <f>Formulas!G81</f>
        <v>250</v>
      </c>
      <c r="H37" s="205" t="s">
        <v>783</v>
      </c>
      <c r="I37" s="761">
        <f>Formulas!I81</f>
        <v>469</v>
      </c>
      <c r="J37" s="793">
        <f>Formulas!J81</f>
        <v>510</v>
      </c>
      <c r="K37" s="761">
        <f>Formulas!K81</f>
        <v>622</v>
      </c>
      <c r="L37" s="793">
        <f>Formulas!L81</f>
        <v>546</v>
      </c>
      <c r="M37" s="793">
        <f>Formulas!M81</f>
        <v>546</v>
      </c>
      <c r="N37" s="787"/>
    </row>
    <row r="38" spans="1:21" ht="15" customHeight="1" x14ac:dyDescent="0.3">
      <c r="B38" s="206" t="s">
        <v>124</v>
      </c>
      <c r="C38" s="790">
        <f>Formulas!C82</f>
        <v>227</v>
      </c>
      <c r="D38" s="791">
        <f>Formulas!D82</f>
        <v>252</v>
      </c>
      <c r="E38" s="790">
        <f>Formulas!E82</f>
        <v>306</v>
      </c>
      <c r="F38" s="1009">
        <f>Formulas!F82</f>
        <v>258</v>
      </c>
      <c r="G38" s="792">
        <f>Formulas!G82</f>
        <v>258</v>
      </c>
      <c r="H38" s="207" t="s">
        <v>784</v>
      </c>
      <c r="I38" s="790">
        <f>Formulas!I82</f>
        <v>477</v>
      </c>
      <c r="J38" s="791">
        <f>Formulas!J82</f>
        <v>520</v>
      </c>
      <c r="K38" s="790">
        <f>Formulas!K82</f>
        <v>633</v>
      </c>
      <c r="L38" s="791">
        <f>Formulas!L82</f>
        <v>557</v>
      </c>
      <c r="M38" s="791">
        <f>Formulas!M82</f>
        <v>557</v>
      </c>
      <c r="N38" s="787"/>
    </row>
    <row r="39" spans="1:21" ht="15" customHeight="1" x14ac:dyDescent="0.3">
      <c r="B39" s="208" t="s">
        <v>126</v>
      </c>
      <c r="C39" s="795">
        <f>Formulas!C83</f>
        <v>236</v>
      </c>
      <c r="D39" s="796">
        <f>Formulas!D83</f>
        <v>262</v>
      </c>
      <c r="E39" s="795">
        <f>Formulas!E83</f>
        <v>320</v>
      </c>
      <c r="F39" s="1011">
        <f>Formulas!F83</f>
        <v>269</v>
      </c>
      <c r="G39" s="797">
        <f>Formulas!G83</f>
        <v>269</v>
      </c>
      <c r="H39" s="209" t="s">
        <v>785</v>
      </c>
      <c r="I39" s="795">
        <f>Formulas!I83</f>
        <v>482</v>
      </c>
      <c r="J39" s="796">
        <f>Formulas!J83</f>
        <v>528</v>
      </c>
      <c r="K39" s="795">
        <f>Formulas!K83</f>
        <v>644</v>
      </c>
      <c r="L39" s="796">
        <f>Formulas!L83</f>
        <v>568</v>
      </c>
      <c r="M39" s="796">
        <f>Formulas!M83</f>
        <v>568</v>
      </c>
      <c r="N39" s="787"/>
    </row>
    <row r="40" spans="1:21" ht="15" customHeight="1" x14ac:dyDescent="0.3">
      <c r="B40" s="206" t="s">
        <v>756</v>
      </c>
      <c r="C40" s="790">
        <f>Formulas!C84</f>
        <v>244</v>
      </c>
      <c r="D40" s="791">
        <f>Formulas!D84</f>
        <v>272</v>
      </c>
      <c r="E40" s="790">
        <f>Formulas!E84</f>
        <v>331</v>
      </c>
      <c r="F40" s="1009">
        <f>Formulas!F84</f>
        <v>279</v>
      </c>
      <c r="G40" s="792">
        <f>Formulas!G84</f>
        <v>279</v>
      </c>
      <c r="H40" s="207" t="s">
        <v>786</v>
      </c>
      <c r="I40" s="790">
        <f>Formulas!I84</f>
        <v>490</v>
      </c>
      <c r="J40" s="791">
        <f>Formulas!J84</f>
        <v>537</v>
      </c>
      <c r="K40" s="790">
        <f>Formulas!K84</f>
        <v>655</v>
      </c>
      <c r="L40" s="791">
        <f>Formulas!L84</f>
        <v>579</v>
      </c>
      <c r="M40" s="791">
        <f>Formulas!M84</f>
        <v>579</v>
      </c>
      <c r="N40" s="787"/>
    </row>
    <row r="41" spans="1:21" ht="15" customHeight="1" x14ac:dyDescent="0.3">
      <c r="B41" s="204" t="s">
        <v>757</v>
      </c>
      <c r="C41" s="761">
        <f>Formulas!C85</f>
        <v>251</v>
      </c>
      <c r="D41" s="793">
        <f>Formulas!D85</f>
        <v>281</v>
      </c>
      <c r="E41" s="761">
        <f>Formulas!E85</f>
        <v>342</v>
      </c>
      <c r="F41" s="1010">
        <f>Formulas!F85</f>
        <v>288</v>
      </c>
      <c r="G41" s="794">
        <f>Formulas!G85</f>
        <v>288</v>
      </c>
      <c r="H41" s="205" t="s">
        <v>787</v>
      </c>
      <c r="I41" s="761">
        <f>Formulas!I85</f>
        <v>498</v>
      </c>
      <c r="J41" s="793">
        <f>Formulas!J85</f>
        <v>546</v>
      </c>
      <c r="K41" s="761">
        <f>Formulas!K85</f>
        <v>666</v>
      </c>
      <c r="L41" s="793">
        <f>Formulas!L85</f>
        <v>590</v>
      </c>
      <c r="M41" s="793">
        <f>Formulas!M85</f>
        <v>590</v>
      </c>
      <c r="N41" s="787"/>
    </row>
    <row r="42" spans="1:21" ht="15" customHeight="1" x14ac:dyDescent="0.3">
      <c r="B42" s="206" t="s">
        <v>758</v>
      </c>
      <c r="C42" s="790">
        <f>Formulas!C86</f>
        <v>260</v>
      </c>
      <c r="D42" s="791">
        <f>Formulas!D86</f>
        <v>291</v>
      </c>
      <c r="E42" s="790">
        <f>Formulas!E86</f>
        <v>354</v>
      </c>
      <c r="F42" s="1009">
        <f>Formulas!F86</f>
        <v>298</v>
      </c>
      <c r="G42" s="792">
        <f>Formulas!G86</f>
        <v>298</v>
      </c>
      <c r="H42" s="207" t="s">
        <v>788</v>
      </c>
      <c r="I42" s="790">
        <f>Formulas!I86</f>
        <v>506</v>
      </c>
      <c r="J42" s="791">
        <f>Formulas!J86</f>
        <v>555</v>
      </c>
      <c r="K42" s="790">
        <f>Formulas!K86</f>
        <v>677</v>
      </c>
      <c r="L42" s="791">
        <f>Formulas!L86</f>
        <v>601</v>
      </c>
      <c r="M42" s="791">
        <f>Formulas!M86</f>
        <v>601</v>
      </c>
      <c r="N42" s="787"/>
    </row>
    <row r="43" spans="1:21" ht="15" customHeight="1" x14ac:dyDescent="0.3">
      <c r="B43" s="204" t="s">
        <v>759</v>
      </c>
      <c r="C43" s="761">
        <f>Formulas!C87</f>
        <v>269</v>
      </c>
      <c r="D43" s="793">
        <f>Formulas!D87</f>
        <v>304</v>
      </c>
      <c r="E43" s="761">
        <f>Formulas!E87</f>
        <v>372</v>
      </c>
      <c r="F43" s="1010">
        <f>Formulas!F87</f>
        <v>307</v>
      </c>
      <c r="G43" s="794">
        <f>Formulas!G87</f>
        <v>307</v>
      </c>
      <c r="H43" s="205" t="s">
        <v>789</v>
      </c>
      <c r="I43" s="761">
        <f>Formulas!I87</f>
        <v>514</v>
      </c>
      <c r="J43" s="793">
        <f>Formulas!J87</f>
        <v>564</v>
      </c>
      <c r="K43" s="761">
        <f>Formulas!K87</f>
        <v>688</v>
      </c>
      <c r="L43" s="793">
        <f>Formulas!L87</f>
        <v>612</v>
      </c>
      <c r="M43" s="793">
        <f>Formulas!M87</f>
        <v>612</v>
      </c>
      <c r="N43" s="787"/>
    </row>
    <row r="44" spans="1:21" ht="15" customHeight="1" x14ac:dyDescent="0.3">
      <c r="B44" s="210" t="s">
        <v>760</v>
      </c>
      <c r="C44" s="798">
        <f>Formulas!C88</f>
        <v>279</v>
      </c>
      <c r="D44" s="799">
        <f>Formulas!D88</f>
        <v>309</v>
      </c>
      <c r="E44" s="798">
        <f>Formulas!E88</f>
        <v>376</v>
      </c>
      <c r="F44" s="1012">
        <f>Formulas!F88</f>
        <v>317</v>
      </c>
      <c r="G44" s="800">
        <f>Formulas!G88</f>
        <v>317</v>
      </c>
      <c r="H44" s="211" t="s">
        <v>790</v>
      </c>
      <c r="I44" s="798">
        <f>Formulas!I88</f>
        <v>522</v>
      </c>
      <c r="J44" s="799">
        <f>Formulas!J88</f>
        <v>573</v>
      </c>
      <c r="K44" s="798">
        <f>Formulas!K88</f>
        <v>699</v>
      </c>
      <c r="L44" s="799">
        <f>Formulas!L88</f>
        <v>623</v>
      </c>
      <c r="M44" s="799">
        <f>Formulas!M88</f>
        <v>623</v>
      </c>
      <c r="N44" s="787"/>
    </row>
    <row r="57" spans="2:6" ht="15" customHeight="1" x14ac:dyDescent="0.3">
      <c r="B57" s="249"/>
      <c r="C57" s="249"/>
      <c r="D57" s="249"/>
      <c r="E57" s="249"/>
      <c r="F57" s="249"/>
    </row>
    <row r="58" spans="2:6" ht="15" customHeight="1" x14ac:dyDescent="0.3">
      <c r="B58" s="249"/>
      <c r="C58" s="249"/>
      <c r="D58" s="249"/>
      <c r="E58" s="249"/>
      <c r="F58" s="249"/>
    </row>
  </sheetData>
  <mergeCells count="21">
    <mergeCell ref="B5:B6"/>
    <mergeCell ref="I2:J3"/>
    <mergeCell ref="E9:F9"/>
    <mergeCell ref="G9:H9"/>
    <mergeCell ref="B11:M11"/>
    <mergeCell ref="B12:M12"/>
    <mergeCell ref="B2:H3"/>
    <mergeCell ref="O15:P15"/>
    <mergeCell ref="O11:P11"/>
    <mergeCell ref="B13:B14"/>
    <mergeCell ref="C13:C14"/>
    <mergeCell ref="D13:D14"/>
    <mergeCell ref="E13:E14"/>
    <mergeCell ref="F13:F14"/>
    <mergeCell ref="H13:H14"/>
    <mergeCell ref="I13:I14"/>
    <mergeCell ref="J13:J14"/>
    <mergeCell ref="K13:K14"/>
    <mergeCell ref="L13:L14"/>
    <mergeCell ref="G13:G14"/>
    <mergeCell ref="M13:M14"/>
  </mergeCells>
  <conditionalFormatting sqref="B15">
    <cfRule type="expression" dxfId="427" priority="309">
      <formula>$I$5&lt;100.5</formula>
    </cfRule>
  </conditionalFormatting>
  <conditionalFormatting sqref="B16">
    <cfRule type="expression" dxfId="426" priority="308">
      <formula>AND($I$5&gt;=100.5,$I$5&lt;200.5)</formula>
    </cfRule>
  </conditionalFormatting>
  <conditionalFormatting sqref="B17">
    <cfRule type="expression" dxfId="425" priority="307">
      <formula>AND($I$5&gt;=200.5,$I$5&lt;300.5)</formula>
    </cfRule>
  </conditionalFormatting>
  <conditionalFormatting sqref="B18">
    <cfRule type="expression" dxfId="424" priority="306">
      <formula>AND($I$5&gt;=300.5,$I$5&lt;400.5)</formula>
    </cfRule>
  </conditionalFormatting>
  <conditionalFormatting sqref="B19">
    <cfRule type="expression" dxfId="423" priority="305">
      <formula>AND($I$5&gt;=400.5,$I$5&lt;500.5)</formula>
    </cfRule>
  </conditionalFormatting>
  <conditionalFormatting sqref="H21">
    <cfRule type="expression" dxfId="422" priority="304">
      <formula>AND($I$5&gt;=3600.5,$I$5&lt;3700.5)</formula>
    </cfRule>
  </conditionalFormatting>
  <conditionalFormatting sqref="B22">
    <cfRule type="expression" dxfId="421" priority="303">
      <formula>AND($I$5&gt;=700.5,$I$5&lt;800.5)</formula>
    </cfRule>
  </conditionalFormatting>
  <conditionalFormatting sqref="B23">
    <cfRule type="expression" dxfId="420" priority="302">
      <formula>AND($I$5&gt;=800.5,$I$5&lt;900.5)</formula>
    </cfRule>
  </conditionalFormatting>
  <conditionalFormatting sqref="B24">
    <cfRule type="expression" dxfId="419" priority="301">
      <formula>AND($I$5&gt;=900.5,$I$5&lt;1000.5)</formula>
    </cfRule>
  </conditionalFormatting>
  <conditionalFormatting sqref="B25">
    <cfRule type="expression" dxfId="418" priority="300">
      <formula>AND($I$5&gt;=1000.5,$I$5&lt;1100.5)</formula>
    </cfRule>
  </conditionalFormatting>
  <conditionalFormatting sqref="B26">
    <cfRule type="expression" dxfId="417" priority="299">
      <formula>AND($I$5&gt;=1100.5,$I$5&lt;1200.5)</formula>
    </cfRule>
  </conditionalFormatting>
  <conditionalFormatting sqref="B27">
    <cfRule type="expression" dxfId="416" priority="298">
      <formula>AND($I$5&gt;=1200.5,$I$5&lt;1300.5)</formula>
    </cfRule>
  </conditionalFormatting>
  <conditionalFormatting sqref="B28">
    <cfRule type="expression" dxfId="415" priority="297">
      <formula>AND($I$5&gt;=1300.5,$I$5&lt;1400.5)</formula>
    </cfRule>
  </conditionalFormatting>
  <conditionalFormatting sqref="B29">
    <cfRule type="expression" dxfId="414" priority="296">
      <formula>AND($I$5&gt;=1400.5,$I$5&lt;1500.5)</formula>
    </cfRule>
  </conditionalFormatting>
  <conditionalFormatting sqref="B30">
    <cfRule type="expression" dxfId="413" priority="295">
      <formula>AND($I$5&gt;=1500.5,$I$5&lt;1600.5)</formula>
    </cfRule>
  </conditionalFormatting>
  <conditionalFormatting sqref="B31">
    <cfRule type="expression" dxfId="412" priority="294">
      <formula>AND($I$5&gt;=1600.5,$I$5&lt;1700.5)</formula>
    </cfRule>
  </conditionalFormatting>
  <conditionalFormatting sqref="B32">
    <cfRule type="expression" dxfId="411" priority="293">
      <formula>AND($I$5&gt;=1700.5,$I$5&lt;1800.5)</formula>
    </cfRule>
  </conditionalFormatting>
  <conditionalFormatting sqref="B33">
    <cfRule type="expression" dxfId="410" priority="292">
      <formula>AND($I$5&gt;=1800.5,$I$5&lt;1900.5)</formula>
    </cfRule>
  </conditionalFormatting>
  <conditionalFormatting sqref="B34">
    <cfRule type="expression" dxfId="409" priority="291">
      <formula>AND($I$5&gt;=1900.5,$I$5&lt;2000.5)</formula>
    </cfRule>
  </conditionalFormatting>
  <conditionalFormatting sqref="B35">
    <cfRule type="expression" dxfId="408" priority="290">
      <formula>AND($I$5&gt;=2000.5,$I$5&lt;2100.5)</formula>
    </cfRule>
  </conditionalFormatting>
  <conditionalFormatting sqref="B36">
    <cfRule type="expression" dxfId="407" priority="289">
      <formula>AND($I$5&gt;=2100.5,$I$5&lt;2200.5)</formula>
    </cfRule>
  </conditionalFormatting>
  <conditionalFormatting sqref="B37">
    <cfRule type="expression" dxfId="406" priority="288">
      <formula>AND($I$5&gt;=2200.5,$I$5&lt;2300.5)</formula>
    </cfRule>
  </conditionalFormatting>
  <conditionalFormatting sqref="B38">
    <cfRule type="expression" dxfId="405" priority="287">
      <formula>AND($I$5&gt;=2300.5,$I$5&lt;2400.5)</formula>
    </cfRule>
  </conditionalFormatting>
  <conditionalFormatting sqref="B39">
    <cfRule type="expression" dxfId="404" priority="286">
      <formula>AND($I$5&gt;=2400.5,$I$5&lt;2500.5)</formula>
    </cfRule>
  </conditionalFormatting>
  <conditionalFormatting sqref="B40">
    <cfRule type="expression" dxfId="403" priority="285">
      <formula>AND($I$5&gt;=2500.5,$I$5&lt;2600.5)</formula>
    </cfRule>
  </conditionalFormatting>
  <conditionalFormatting sqref="H15">
    <cfRule type="expression" dxfId="402" priority="284">
      <formula>AND($I$5&gt;=3000.5,$I$5&lt;3100.5)</formula>
    </cfRule>
  </conditionalFormatting>
  <conditionalFormatting sqref="H16">
    <cfRule type="expression" dxfId="401" priority="283">
      <formula>AND($I$5&gt;=3100.5,$I$5&lt;3200.5)</formula>
    </cfRule>
  </conditionalFormatting>
  <conditionalFormatting sqref="H17">
    <cfRule type="expression" dxfId="400" priority="282">
      <formula>AND($I$5&gt;=3200.5,$I$5&lt;3300.5)</formula>
    </cfRule>
  </conditionalFormatting>
  <conditionalFormatting sqref="H18">
    <cfRule type="expression" dxfId="399" priority="281">
      <formula>AND($I$5&gt;=3300.5,$I$5&lt;3400.5)</formula>
    </cfRule>
  </conditionalFormatting>
  <conditionalFormatting sqref="H19">
    <cfRule type="expression" dxfId="398" priority="280">
      <formula>AND($I$5&gt;=3400.5,$I$5&lt;3500.5)</formula>
    </cfRule>
  </conditionalFormatting>
  <conditionalFormatting sqref="B20">
    <cfRule type="expression" dxfId="397" priority="279">
      <formula>AND($I$5&gt;=500.5,$I$5&lt;600.5)</formula>
    </cfRule>
  </conditionalFormatting>
  <conditionalFormatting sqref="H20">
    <cfRule type="expression" dxfId="396" priority="278">
      <formula>AND($I$5&gt;=3500.5,$I$5&lt;3600.5)</formula>
    </cfRule>
  </conditionalFormatting>
  <conditionalFormatting sqref="B21">
    <cfRule type="expression" dxfId="395" priority="277">
      <formula>AND($I$5&gt;=600.5,$I$5&lt;700.5)</formula>
    </cfRule>
  </conditionalFormatting>
  <conditionalFormatting sqref="H22">
    <cfRule type="expression" dxfId="394" priority="276">
      <formula>AND($I$5&gt;=3700.5,$I$5&lt;3800.5)</formula>
    </cfRule>
  </conditionalFormatting>
  <conditionalFormatting sqref="H23">
    <cfRule type="expression" dxfId="393" priority="275">
      <formula>AND($I$5&gt;=3800.5,$I$5&lt;3900.5)</formula>
    </cfRule>
  </conditionalFormatting>
  <conditionalFormatting sqref="H24">
    <cfRule type="expression" dxfId="392" priority="274">
      <formula>AND($I$5&gt;=3900.5,$I$5&lt;4000.5)</formula>
    </cfRule>
  </conditionalFormatting>
  <conditionalFormatting sqref="H25">
    <cfRule type="expression" dxfId="391" priority="273">
      <formula>AND($I$5&gt;=4000.5,$I$5&lt;4100.5)</formula>
    </cfRule>
  </conditionalFormatting>
  <conditionalFormatting sqref="H26">
    <cfRule type="expression" dxfId="390" priority="272">
      <formula>AND($I$5&gt;=4100.5,$I$5&lt;4200.5)</formula>
    </cfRule>
  </conditionalFormatting>
  <conditionalFormatting sqref="H27">
    <cfRule type="expression" dxfId="389" priority="271">
      <formula>AND($I$5&gt;=4200.5,$I$5&lt;4300.5)</formula>
    </cfRule>
  </conditionalFormatting>
  <conditionalFormatting sqref="H28">
    <cfRule type="expression" dxfId="388" priority="270">
      <formula>AND($I$5&gt;=4300.5,$I$5&lt;4400.5)</formula>
    </cfRule>
  </conditionalFormatting>
  <conditionalFormatting sqref="H29">
    <cfRule type="expression" dxfId="387" priority="269">
      <formula>AND($I$5&gt;=4400.5,$I$5&lt;4500.5)</formula>
    </cfRule>
  </conditionalFormatting>
  <conditionalFormatting sqref="H30">
    <cfRule type="expression" dxfId="386" priority="268">
      <formula>AND($I$5&gt;=4500.5,$I$5&lt;4600.5)</formula>
    </cfRule>
  </conditionalFormatting>
  <conditionalFormatting sqref="H31">
    <cfRule type="expression" dxfId="385" priority="267">
      <formula>AND($I$5&gt;=4600.5,$I$5&lt;4700.5)</formula>
    </cfRule>
  </conditionalFormatting>
  <conditionalFormatting sqref="H32">
    <cfRule type="expression" dxfId="384" priority="266">
      <formula>AND($I$5&gt;=4700.5,$I$5&lt;4800.5)</formula>
    </cfRule>
  </conditionalFormatting>
  <conditionalFormatting sqref="H33">
    <cfRule type="expression" dxfId="383" priority="265">
      <formula>AND($I$5&gt;=4800.5,$I$5&lt;4900.5)</formula>
    </cfRule>
  </conditionalFormatting>
  <conditionalFormatting sqref="H34">
    <cfRule type="expression" dxfId="382" priority="264">
      <formula>AND($I$5&gt;=4900.5,$I$5&lt;5000.5)</formula>
    </cfRule>
  </conditionalFormatting>
  <conditionalFormatting sqref="H35">
    <cfRule type="expression" dxfId="381" priority="263">
      <formula>AND($I$5&gt;=5000.5,$I$5&lt;5100.5)</formula>
    </cfRule>
  </conditionalFormatting>
  <conditionalFormatting sqref="H36">
    <cfRule type="expression" dxfId="380" priority="262">
      <formula>AND($I$5&gt;=5100.5,$I$5&lt;5200.5)</formula>
    </cfRule>
  </conditionalFormatting>
  <conditionalFormatting sqref="H37">
    <cfRule type="expression" dxfId="379" priority="261">
      <formula>AND($I$5&gt;=5200.5,$I$5&lt;5300.5)</formula>
    </cfRule>
  </conditionalFormatting>
  <conditionalFormatting sqref="H38">
    <cfRule type="expression" dxfId="378" priority="260">
      <formula>AND($I$5&gt;=5300.5,$I$5&lt;5400.5)</formula>
    </cfRule>
  </conditionalFormatting>
  <conditionalFormatting sqref="H39">
    <cfRule type="expression" dxfId="377" priority="259">
      <formula>AND($I$5&gt;=5400.5,$I$5&lt;5500.5)</formula>
    </cfRule>
  </conditionalFormatting>
  <conditionalFormatting sqref="H40">
    <cfRule type="expression" dxfId="376" priority="258">
      <formula>AND($I$5&gt;=5500.5,$I$5&lt;5600.5)</formula>
    </cfRule>
  </conditionalFormatting>
  <conditionalFormatting sqref="B41">
    <cfRule type="expression" dxfId="375" priority="257">
      <formula>AND($I$5&gt;=2600.5,$I$5&lt;2700.5)</formula>
    </cfRule>
  </conditionalFormatting>
  <conditionalFormatting sqref="B42">
    <cfRule type="expression" dxfId="374" priority="256">
      <formula>AND($I$5&gt;=2700.5,$I$5&lt;2800.5)</formula>
    </cfRule>
  </conditionalFormatting>
  <conditionalFormatting sqref="B43">
    <cfRule type="expression" dxfId="373" priority="255">
      <formula>AND($I$5&gt;=2800.5,$I$5&lt;2900.5)</formula>
    </cfRule>
  </conditionalFormatting>
  <conditionalFormatting sqref="B44">
    <cfRule type="expression" dxfId="372" priority="254">
      <formula>AND($I$5&gt;=2900.5,$I$5&lt;3000.5)</formula>
    </cfRule>
  </conditionalFormatting>
  <conditionalFormatting sqref="H41">
    <cfRule type="expression" dxfId="371" priority="253">
      <formula>AND($I$5&gt;=5600.5,$I$5&lt;5700.5)</formula>
    </cfRule>
  </conditionalFormatting>
  <conditionalFormatting sqref="H42">
    <cfRule type="expression" dxfId="370" priority="252">
      <formula>AND($I$5&gt;=5700.5,$I$5&lt;5800.5)</formula>
    </cfRule>
  </conditionalFormatting>
  <conditionalFormatting sqref="H43">
    <cfRule type="expression" dxfId="369" priority="251">
      <formula>AND($I$5&gt;=5800.5,$I$5&lt;5900.5)</formula>
    </cfRule>
  </conditionalFormatting>
  <conditionalFormatting sqref="H44">
    <cfRule type="expression" dxfId="368" priority="250">
      <formula>AND($I$5&gt;=5900.5,$I$5&lt;=6000)</formula>
    </cfRule>
  </conditionalFormatting>
  <conditionalFormatting sqref="H44:L44">
    <cfRule type="expression" dxfId="367" priority="249">
      <formula>$I$5&gt;6000</formula>
    </cfRule>
  </conditionalFormatting>
  <conditionalFormatting sqref="D21:E21">
    <cfRule type="expression" dxfId="366" priority="248">
      <formula>AND($I$5&gt;=600.5,$I$5&lt;700.5)</formula>
    </cfRule>
  </conditionalFormatting>
  <conditionalFormatting sqref="D15:E15">
    <cfRule type="expression" dxfId="365" priority="247">
      <formula>$I$5&lt;100.5</formula>
    </cfRule>
  </conditionalFormatting>
  <conditionalFormatting sqref="D16:E16">
    <cfRule type="expression" dxfId="364" priority="246">
      <formula>AND($I$5&gt;=100.5,$I$5&lt;200.5)</formula>
    </cfRule>
  </conditionalFormatting>
  <conditionalFormatting sqref="D17:E17">
    <cfRule type="expression" dxfId="363" priority="245">
      <formula>AND($I$5&gt;=200.5,$I$5&lt;300.5)</formula>
    </cfRule>
  </conditionalFormatting>
  <conditionalFormatting sqref="D18:E18">
    <cfRule type="expression" dxfId="362" priority="244">
      <formula>AND($I$5&gt;=300.5,$I$5&lt;400.5)</formula>
    </cfRule>
  </conditionalFormatting>
  <conditionalFormatting sqref="D19:E19">
    <cfRule type="expression" dxfId="361" priority="243">
      <formula>AND($I$5&gt;=400.5,$I$5&lt;500.5)</formula>
    </cfRule>
  </conditionalFormatting>
  <conditionalFormatting sqref="D20:E20">
    <cfRule type="expression" dxfId="360" priority="242">
      <formula>AND($I$5&gt;=500.5,$I$5&lt;600.5)</formula>
    </cfRule>
  </conditionalFormatting>
  <conditionalFormatting sqref="D22:E22">
    <cfRule type="expression" dxfId="359" priority="241">
      <formula>AND($I$5&gt;=700.5,$I$5&lt;800.5)</formula>
    </cfRule>
  </conditionalFormatting>
  <conditionalFormatting sqref="D23:E23">
    <cfRule type="expression" dxfId="358" priority="240">
      <formula>AND($I$5&gt;=800.5,$I$5&lt;900.5)</formula>
    </cfRule>
  </conditionalFormatting>
  <conditionalFormatting sqref="D24:E24">
    <cfRule type="expression" dxfId="357" priority="239">
      <formula>AND($I$5&gt;=900.5,$I$5&lt;1000.5)</formula>
    </cfRule>
  </conditionalFormatting>
  <conditionalFormatting sqref="D25:E25">
    <cfRule type="expression" dxfId="356" priority="238">
      <formula>AND($I$5&gt;=1000.5,$I$5&lt;1100.5)</formula>
    </cfRule>
  </conditionalFormatting>
  <conditionalFormatting sqref="D26:E26">
    <cfRule type="expression" dxfId="355" priority="237">
      <formula>AND($I$5&gt;=1100.5,$I$5&lt;1200.5)</formula>
    </cfRule>
  </conditionalFormatting>
  <conditionalFormatting sqref="D27:E27">
    <cfRule type="expression" dxfId="354" priority="236">
      <formula>AND($I$5&gt;=1200.5,$I$5&lt;1300.5)</formula>
    </cfRule>
  </conditionalFormatting>
  <conditionalFormatting sqref="D28:E28">
    <cfRule type="expression" dxfId="353" priority="235">
      <formula>AND($I$5&gt;=1300.5,$I$5&lt;1400.5)</formula>
    </cfRule>
  </conditionalFormatting>
  <conditionalFormatting sqref="D29:E29">
    <cfRule type="expression" dxfId="352" priority="234">
      <formula>AND($I$5&gt;=1400.5,$I$5&lt;1500.5)</formula>
    </cfRule>
  </conditionalFormatting>
  <conditionalFormatting sqref="D30:E30">
    <cfRule type="expression" dxfId="351" priority="233">
      <formula>AND($I$5&gt;=1500.5,$I$5&lt;1600.5)</formula>
    </cfRule>
  </conditionalFormatting>
  <conditionalFormatting sqref="D31:E31">
    <cfRule type="expression" dxfId="350" priority="232">
      <formula>AND($I$5&gt;=1600.5,$I$5&lt;1700.5)</formula>
    </cfRule>
  </conditionalFormatting>
  <conditionalFormatting sqref="D32:E32">
    <cfRule type="expression" dxfId="349" priority="231">
      <formula>AND($I$5&gt;=1700.5,$I$5&lt;1800.5)</formula>
    </cfRule>
  </conditionalFormatting>
  <conditionalFormatting sqref="D33:E33">
    <cfRule type="expression" dxfId="348" priority="230">
      <formula>AND($I$5&gt;=1800.5,$I$5&lt;1900.5)</formula>
    </cfRule>
  </conditionalFormatting>
  <conditionalFormatting sqref="D34:E34">
    <cfRule type="expression" dxfId="347" priority="229">
      <formula>AND($I$5&gt;=1900.5,$I$5&lt;2000.5)</formula>
    </cfRule>
  </conditionalFormatting>
  <conditionalFormatting sqref="C21">
    <cfRule type="expression" dxfId="346" priority="228">
      <formula>AND($I$5&gt;=600.5,$I$5&lt;700.5)</formula>
    </cfRule>
  </conditionalFormatting>
  <conditionalFormatting sqref="C15">
    <cfRule type="expression" dxfId="345" priority="227">
      <formula>$I$5&lt;100.5</formula>
    </cfRule>
  </conditionalFormatting>
  <conditionalFormatting sqref="C16">
    <cfRule type="expression" dxfId="344" priority="226">
      <formula>AND($I$5&gt;=100.5,$I$5&lt;200.5)</formula>
    </cfRule>
  </conditionalFormatting>
  <conditionalFormatting sqref="C17">
    <cfRule type="expression" dxfId="343" priority="225">
      <formula>AND($I$5&gt;=200.5,$I$5&lt;300.5)</formula>
    </cfRule>
  </conditionalFormatting>
  <conditionalFormatting sqref="C18">
    <cfRule type="expression" dxfId="342" priority="224">
      <formula>AND($I$5&gt;=300.5,$I$5&lt;400.5)</formula>
    </cfRule>
  </conditionalFormatting>
  <conditionalFormatting sqref="C19">
    <cfRule type="expression" dxfId="341" priority="223">
      <formula>AND($I$5&gt;=400.5,$I$5&lt;500.5)</formula>
    </cfRule>
  </conditionalFormatting>
  <conditionalFormatting sqref="C22">
    <cfRule type="expression" dxfId="340" priority="222">
      <formula>AND($I$5&gt;=700.5,$I$5&lt;800.5)</formula>
    </cfRule>
  </conditionalFormatting>
  <conditionalFormatting sqref="C23">
    <cfRule type="expression" dxfId="339" priority="221">
      <formula>AND($I$5&gt;=800.5,$I$5&lt;900.5)</formula>
    </cfRule>
  </conditionalFormatting>
  <conditionalFormatting sqref="C24">
    <cfRule type="expression" dxfId="338" priority="220">
      <formula>AND($I$5&gt;=900.5,$I$5&lt;1000.5)</formula>
    </cfRule>
  </conditionalFormatting>
  <conditionalFormatting sqref="C25">
    <cfRule type="expression" dxfId="337" priority="219">
      <formula>AND($I$5&gt;=1000.5,$I$5&lt;1100.5)</formula>
    </cfRule>
  </conditionalFormatting>
  <conditionalFormatting sqref="C26">
    <cfRule type="expression" dxfId="336" priority="218">
      <formula>AND($I$5&gt;=1100.5,$I$5&lt;1200.5)</formula>
    </cfRule>
  </conditionalFormatting>
  <conditionalFormatting sqref="C27">
    <cfRule type="expression" dxfId="335" priority="217">
      <formula>AND($I$5&gt;=1200.5,$I$5&lt;1300.5)</formula>
    </cfRule>
  </conditionalFormatting>
  <conditionalFormatting sqref="C28">
    <cfRule type="expression" dxfId="334" priority="216">
      <formula>AND($I$5&gt;=1300.5,$I$5&lt;1400.5)</formula>
    </cfRule>
  </conditionalFormatting>
  <conditionalFormatting sqref="C29">
    <cfRule type="expression" dxfId="333" priority="215">
      <formula>AND($I$5&gt;=1400.5,$I$5&lt;1500.5)</formula>
    </cfRule>
  </conditionalFormatting>
  <conditionalFormatting sqref="C30">
    <cfRule type="expression" dxfId="332" priority="214">
      <formula>AND($I$5&gt;=1500.5,$I$5&lt;1600.5)</formula>
    </cfRule>
  </conditionalFormatting>
  <conditionalFormatting sqref="C31">
    <cfRule type="expression" dxfId="331" priority="213">
      <formula>AND($I$5&gt;=1600.5,$I$5&lt;1700.5)</formula>
    </cfRule>
  </conditionalFormatting>
  <conditionalFormatting sqref="C32">
    <cfRule type="expression" dxfId="330" priority="212">
      <formula>AND($I$5&gt;=1700.5,$I$5&lt;1800.5)</formula>
    </cfRule>
  </conditionalFormatting>
  <conditionalFormatting sqref="C33">
    <cfRule type="expression" dxfId="329" priority="211">
      <formula>AND($I$5&gt;=1800.5,$I$5&lt;1900.5)</formula>
    </cfRule>
  </conditionalFormatting>
  <conditionalFormatting sqref="C34">
    <cfRule type="expression" dxfId="328" priority="210">
      <formula>AND($I$5&gt;=1900.5,$I$5&lt;2000.5)</formula>
    </cfRule>
  </conditionalFormatting>
  <conditionalFormatting sqref="C20">
    <cfRule type="expression" dxfId="327" priority="209">
      <formula>AND($I$5&gt;=500.5,$I$5&lt;600.5)</formula>
    </cfRule>
  </conditionalFormatting>
  <conditionalFormatting sqref="F15">
    <cfRule type="expression" dxfId="326" priority="208">
      <formula>$I$5&lt;100.5</formula>
    </cfRule>
  </conditionalFormatting>
  <conditionalFormatting sqref="F16">
    <cfRule type="expression" dxfId="325" priority="207">
      <formula>AND($I$5&gt;=100.5,$I$5&lt;200.5)</formula>
    </cfRule>
  </conditionalFormatting>
  <conditionalFormatting sqref="F17">
    <cfRule type="expression" dxfId="324" priority="206">
      <formula>AND($I$5&gt;=200.5,$I$5&lt;300.5)</formula>
    </cfRule>
  </conditionalFormatting>
  <conditionalFormatting sqref="F18">
    <cfRule type="expression" dxfId="323" priority="205">
      <formula>AND($I$5&gt;=300.5,$I$5&lt;400.5)</formula>
    </cfRule>
  </conditionalFormatting>
  <conditionalFormatting sqref="F19">
    <cfRule type="expression" dxfId="322" priority="204">
      <formula>AND($I$5&gt;=400.5,$I$5&lt;500.5)</formula>
    </cfRule>
  </conditionalFormatting>
  <conditionalFormatting sqref="F20">
    <cfRule type="expression" dxfId="321" priority="203">
      <formula>AND($I$5&gt;=500.5,$I$5&lt;600.5)</formula>
    </cfRule>
  </conditionalFormatting>
  <conditionalFormatting sqref="F22">
    <cfRule type="expression" dxfId="320" priority="202">
      <formula>AND($I$5&gt;=700.5,$I$5&lt;800.5)</formula>
    </cfRule>
  </conditionalFormatting>
  <conditionalFormatting sqref="F23">
    <cfRule type="expression" dxfId="319" priority="201">
      <formula>AND($I$5&gt;=800.5,$I$5&lt;900.5)</formula>
    </cfRule>
  </conditionalFormatting>
  <conditionalFormatting sqref="F24">
    <cfRule type="expression" dxfId="318" priority="200">
      <formula>AND($I$5&gt;=900.5,$I$5&lt;1000.5)</formula>
    </cfRule>
  </conditionalFormatting>
  <conditionalFormatting sqref="F25">
    <cfRule type="expression" dxfId="317" priority="199">
      <formula>AND($I$5&gt;=1000.5,$I$5&lt;1100.5)</formula>
    </cfRule>
  </conditionalFormatting>
  <conditionalFormatting sqref="F26">
    <cfRule type="expression" dxfId="316" priority="198">
      <formula>AND($I$5&gt;=1100.5,$I$5&lt;1200.5)</formula>
    </cfRule>
  </conditionalFormatting>
  <conditionalFormatting sqref="F27">
    <cfRule type="expression" dxfId="315" priority="197">
      <formula>AND($I$5&gt;=1200.5,$I$5&lt;1300.5)</formula>
    </cfRule>
  </conditionalFormatting>
  <conditionalFormatting sqref="F28">
    <cfRule type="expression" dxfId="314" priority="196">
      <formula>AND($I$5&gt;=1300.5,$I$5&lt;1400.5)</formula>
    </cfRule>
  </conditionalFormatting>
  <conditionalFormatting sqref="F29">
    <cfRule type="expression" dxfId="313" priority="195">
      <formula>AND($I$5&gt;=1400.5,$I$5&lt;1500.5)</formula>
    </cfRule>
  </conditionalFormatting>
  <conditionalFormatting sqref="F30">
    <cfRule type="expression" dxfId="312" priority="194">
      <formula>AND($I$5&gt;=1500.5,$I$5&lt;1600.5)</formula>
    </cfRule>
  </conditionalFormatting>
  <conditionalFormatting sqref="F31">
    <cfRule type="expression" dxfId="311" priority="193">
      <formula>AND($I$5&gt;=1600.5,$I$5&lt;1700.5)</formula>
    </cfRule>
  </conditionalFormatting>
  <conditionalFormatting sqref="F32">
    <cfRule type="expression" dxfId="310" priority="192">
      <formula>AND($I$5&gt;=1700.5,$I$5&lt;1800.5)</formula>
    </cfRule>
  </conditionalFormatting>
  <conditionalFormatting sqref="F33">
    <cfRule type="expression" dxfId="309" priority="191">
      <formula>AND($I$5&gt;=1800.5,$I$5&lt;1900.5)</formula>
    </cfRule>
  </conditionalFormatting>
  <conditionalFormatting sqref="F34">
    <cfRule type="expression" dxfId="308" priority="190">
      <formula>AND($I$5&gt;=1900.5,$I$5&lt;2000.5)</formula>
    </cfRule>
  </conditionalFormatting>
  <conditionalFormatting sqref="F21">
    <cfRule type="expression" dxfId="307" priority="189">
      <formula>AND($I$5&gt;=600.5,$I$5&lt;700.5)</formula>
    </cfRule>
  </conditionalFormatting>
  <conditionalFormatting sqref="I24">
    <cfRule type="expression" dxfId="306" priority="188">
      <formula>AND($I$5&gt;=3900.5,$I$5&lt;4000.5)</formula>
    </cfRule>
  </conditionalFormatting>
  <conditionalFormatting sqref="I21">
    <cfRule type="expression" dxfId="305" priority="187">
      <formula>AND($I$5&gt;=3600.5,$I$5&lt;3700.5)</formula>
    </cfRule>
  </conditionalFormatting>
  <conditionalFormatting sqref="C35">
    <cfRule type="expression" dxfId="304" priority="186">
      <formula>AND($I$5&gt;=2000.5,$I$5&lt;2100.5)</formula>
    </cfRule>
  </conditionalFormatting>
  <conditionalFormatting sqref="C36">
    <cfRule type="expression" dxfId="303" priority="185">
      <formula>AND($I$5&gt;=2100.5,$I$5&lt;2200.5)</formula>
    </cfRule>
  </conditionalFormatting>
  <conditionalFormatting sqref="C37">
    <cfRule type="expression" dxfId="302" priority="184">
      <formula>AND($I$5&gt;=2200.5,$I$5&lt;2300.5)</formula>
    </cfRule>
  </conditionalFormatting>
  <conditionalFormatting sqref="C38">
    <cfRule type="expression" dxfId="301" priority="183">
      <formula>AND($I$5&gt;=2300.5,$I$5&lt;2400.5)</formula>
    </cfRule>
  </conditionalFormatting>
  <conditionalFormatting sqref="C39">
    <cfRule type="expression" dxfId="300" priority="182">
      <formula>AND($I$5&gt;=2400.5,$I$5&lt;2500.5)</formula>
    </cfRule>
  </conditionalFormatting>
  <conditionalFormatting sqref="C40">
    <cfRule type="expression" dxfId="299" priority="181">
      <formula>AND($I$5&gt;=2500.5,$I$5&lt;2600.5)</formula>
    </cfRule>
  </conditionalFormatting>
  <conditionalFormatting sqref="I15">
    <cfRule type="expression" dxfId="298" priority="180">
      <formula>AND($I$5&gt;=3000.5,$I$5&lt;3100.5)</formula>
    </cfRule>
  </conditionalFormatting>
  <conditionalFormatting sqref="I16">
    <cfRule type="expression" dxfId="297" priority="179">
      <formula>AND($I$5&gt;=3100.5,$I$5&lt;3200.5)</formula>
    </cfRule>
  </conditionalFormatting>
  <conditionalFormatting sqref="I17">
    <cfRule type="expression" dxfId="296" priority="178">
      <formula>AND($I$5&gt;=3200.5,$I$5&lt;3300.5)</formula>
    </cfRule>
  </conditionalFormatting>
  <conditionalFormatting sqref="I18">
    <cfRule type="expression" dxfId="295" priority="177">
      <formula>AND($I$5&gt;=3300.5,$I$5&lt;3400.5)</formula>
    </cfRule>
  </conditionalFormatting>
  <conditionalFormatting sqref="I19">
    <cfRule type="expression" dxfId="294" priority="176">
      <formula>AND($I$5&gt;=3400.5,$I$5&lt;3500.5)</formula>
    </cfRule>
  </conditionalFormatting>
  <conditionalFormatting sqref="I20">
    <cfRule type="expression" dxfId="293" priority="175">
      <formula>AND($I$5&gt;=3500.5,$I$5&lt;3600.5)</formula>
    </cfRule>
  </conditionalFormatting>
  <conditionalFormatting sqref="I22">
    <cfRule type="expression" dxfId="292" priority="174">
      <formula>AND($I$5&gt;=3700.5,$I$5&lt;3800.5)</formula>
    </cfRule>
  </conditionalFormatting>
  <conditionalFormatting sqref="I23">
    <cfRule type="expression" dxfId="291" priority="173">
      <formula>AND($I$5&gt;=3800.5,$I$5&lt;3900.5)</formula>
    </cfRule>
  </conditionalFormatting>
  <conditionalFormatting sqref="C41">
    <cfRule type="expression" dxfId="290" priority="172">
      <formula>AND($I$5&gt;=2600.5,$I$5&lt;2700.5)</formula>
    </cfRule>
  </conditionalFormatting>
  <conditionalFormatting sqref="C42">
    <cfRule type="expression" dxfId="289" priority="171">
      <formula>AND($I$5&gt;=2700.5,$I$5&lt;2800.5)</formula>
    </cfRule>
  </conditionalFormatting>
  <conditionalFormatting sqref="C43">
    <cfRule type="expression" dxfId="288" priority="170">
      <formula>AND($I$5&gt;=2800.5,$I$5&lt;2900.5)</formula>
    </cfRule>
  </conditionalFormatting>
  <conditionalFormatting sqref="C44">
    <cfRule type="expression" dxfId="287" priority="169">
      <formula>AND($I$5&gt;=2900.5,$I$5&lt;3000.5)</formula>
    </cfRule>
  </conditionalFormatting>
  <conditionalFormatting sqref="J21:K21">
    <cfRule type="expression" dxfId="286" priority="168">
      <formula>AND($I$5&gt;=3600.5,$I$5&lt;3700.5)</formula>
    </cfRule>
  </conditionalFormatting>
  <conditionalFormatting sqref="D35:E35">
    <cfRule type="expression" dxfId="285" priority="167">
      <formula>AND($I$5&gt;=2000.5,$I$5&lt;2100.5)</formula>
    </cfRule>
  </conditionalFormatting>
  <conditionalFormatting sqref="D36:E36">
    <cfRule type="expression" dxfId="284" priority="166">
      <formula>AND($I$5&gt;=2100.5,$I$5&lt;2200.5)</formula>
    </cfRule>
  </conditionalFormatting>
  <conditionalFormatting sqref="D37:E37">
    <cfRule type="expression" dxfId="283" priority="165">
      <formula>AND($I$5&gt;=2200.5,$I$5&lt;2300.5)</formula>
    </cfRule>
  </conditionalFormatting>
  <conditionalFormatting sqref="D38:E38">
    <cfRule type="expression" dxfId="282" priority="164">
      <formula>AND($I$5&gt;=2300.5,$I$5&lt;2400.5)</formula>
    </cfRule>
  </conditionalFormatting>
  <conditionalFormatting sqref="D39:E39">
    <cfRule type="expression" dxfId="281" priority="163">
      <formula>AND($I$5&gt;=2400.5,$I$5&lt;2500.5)</formula>
    </cfRule>
  </conditionalFormatting>
  <conditionalFormatting sqref="D40:E40">
    <cfRule type="expression" dxfId="280" priority="162">
      <formula>AND($I$5&gt;=2500.5,$I$5&lt;2600.5)</formula>
    </cfRule>
  </conditionalFormatting>
  <conditionalFormatting sqref="J15:K15">
    <cfRule type="expression" dxfId="279" priority="161">
      <formula>AND($I$5&gt;=3000.5,$I$5&lt;3100.5)</formula>
    </cfRule>
  </conditionalFormatting>
  <conditionalFormatting sqref="J16:K16">
    <cfRule type="expression" dxfId="278" priority="160">
      <formula>AND($I$5&gt;=3100.5,$I$5&lt;3200.5)</formula>
    </cfRule>
  </conditionalFormatting>
  <conditionalFormatting sqref="J17:K17">
    <cfRule type="expression" dxfId="277" priority="159">
      <formula>AND($I$5&gt;=3200.5,$I$5&lt;3300.5)</formula>
    </cfRule>
  </conditionalFormatting>
  <conditionalFormatting sqref="J18:K18">
    <cfRule type="expression" dxfId="276" priority="158">
      <formula>AND($I$5&gt;=3300.5,$I$5&lt;3400.5)</formula>
    </cfRule>
  </conditionalFormatting>
  <conditionalFormatting sqref="J19:K19">
    <cfRule type="expression" dxfId="275" priority="157">
      <formula>AND($I$5&gt;=3400.5,$I$5&lt;3500.5)</formula>
    </cfRule>
  </conditionalFormatting>
  <conditionalFormatting sqref="J20:K20">
    <cfRule type="expression" dxfId="274" priority="156">
      <formula>AND($I$5&gt;=3500.5,$I$5&lt;3600.5)</formula>
    </cfRule>
  </conditionalFormatting>
  <conditionalFormatting sqref="J22:K22">
    <cfRule type="expression" dxfId="273" priority="155">
      <formula>AND($I$5&gt;=3700.5,$I$5&lt;3800.5)</formula>
    </cfRule>
  </conditionalFormatting>
  <conditionalFormatting sqref="J23:K23">
    <cfRule type="expression" dxfId="272" priority="154">
      <formula>AND($I$5&gt;=3800.5,$I$5&lt;3900.5)</formula>
    </cfRule>
  </conditionalFormatting>
  <conditionalFormatting sqref="J24:K24">
    <cfRule type="expression" dxfId="271" priority="153">
      <formula>AND($I$5&gt;=3900.5,$I$5&lt;4000.5)</formula>
    </cfRule>
  </conditionalFormatting>
  <conditionalFormatting sqref="D41:E41">
    <cfRule type="expression" dxfId="270" priority="152">
      <formula>AND($I$5&gt;=2600.5,$I$5&lt;2700.5)</formula>
    </cfRule>
  </conditionalFormatting>
  <conditionalFormatting sqref="D42:E42">
    <cfRule type="expression" dxfId="269" priority="151">
      <formula>AND($I$5&gt;=2700.5,$I$5&lt;2800.5)</formula>
    </cfRule>
  </conditionalFormatting>
  <conditionalFormatting sqref="D43:E43">
    <cfRule type="expression" dxfId="268" priority="150">
      <formula>AND($I$5&gt;=2800.5,$I$5&lt;2900.5)</formula>
    </cfRule>
  </conditionalFormatting>
  <conditionalFormatting sqref="D44:E44">
    <cfRule type="expression" dxfId="267" priority="149">
      <formula>AND($I$5&gt;=2900.5,$I$5&lt;3000.5)</formula>
    </cfRule>
  </conditionalFormatting>
  <conditionalFormatting sqref="L21">
    <cfRule type="expression" dxfId="266" priority="148">
      <formula>AND($I$5&gt;=3600.5,$I$5&lt;3700.5)</formula>
    </cfRule>
  </conditionalFormatting>
  <conditionalFormatting sqref="F35">
    <cfRule type="expression" dxfId="265" priority="147">
      <formula>AND($I$5&gt;=2000.5,$I$5&lt;2100.5)</formula>
    </cfRule>
  </conditionalFormatting>
  <conditionalFormatting sqref="F36">
    <cfRule type="expression" dxfId="264" priority="146">
      <formula>AND($I$5&gt;=2100.5,$I$5&lt;2200.5)</formula>
    </cfRule>
  </conditionalFormatting>
  <conditionalFormatting sqref="F37">
    <cfRule type="expression" dxfId="263" priority="145">
      <formula>AND($I$5&gt;=2200.5,$I$5&lt;2300.5)</formula>
    </cfRule>
  </conditionalFormatting>
  <conditionalFormatting sqref="F38">
    <cfRule type="expression" dxfId="262" priority="144">
      <formula>AND($I$5&gt;=2300.5,$I$5&lt;2400.5)</formula>
    </cfRule>
  </conditionalFormatting>
  <conditionalFormatting sqref="F39">
    <cfRule type="expression" dxfId="261" priority="143">
      <formula>AND($I$5&gt;=2400.5,$I$5&lt;2500.5)</formula>
    </cfRule>
  </conditionalFormatting>
  <conditionalFormatting sqref="F40">
    <cfRule type="expression" dxfId="260" priority="142">
      <formula>AND($I$5&gt;=2500.5,$I$5&lt;2600.5)</formula>
    </cfRule>
  </conditionalFormatting>
  <conditionalFormatting sqref="L15">
    <cfRule type="expression" dxfId="259" priority="141">
      <formula>AND($I$5&gt;=3000.5,$I$5&lt;3100.5)</formula>
    </cfRule>
  </conditionalFormatting>
  <conditionalFormatting sqref="L16">
    <cfRule type="expression" dxfId="258" priority="140">
      <formula>AND($I$5&gt;=3100.5,$I$5&lt;3200.5)</formula>
    </cfRule>
  </conditionalFormatting>
  <conditionalFormatting sqref="L17">
    <cfRule type="expression" dxfId="257" priority="139">
      <formula>AND($I$5&gt;=3200.5,$I$5&lt;3300.5)</formula>
    </cfRule>
  </conditionalFormatting>
  <conditionalFormatting sqref="L18">
    <cfRule type="expression" dxfId="256" priority="138">
      <formula>AND($I$5&gt;=3300.5,$I$5&lt;3400.5)</formula>
    </cfRule>
  </conditionalFormatting>
  <conditionalFormatting sqref="L19">
    <cfRule type="expression" dxfId="255" priority="137">
      <formula>AND($I$5&gt;=3400.5,$I$5&lt;3500.5)</formula>
    </cfRule>
  </conditionalFormatting>
  <conditionalFormatting sqref="L20">
    <cfRule type="expression" dxfId="254" priority="136">
      <formula>AND($I$5&gt;=3500.5,$I$5&lt;3600.5)</formula>
    </cfRule>
  </conditionalFormatting>
  <conditionalFormatting sqref="L22">
    <cfRule type="expression" dxfId="253" priority="135">
      <formula>AND($I$5&gt;=3700.5,$I$5&lt;3800.5)</formula>
    </cfRule>
  </conditionalFormatting>
  <conditionalFormatting sqref="L23">
    <cfRule type="expression" dxfId="252" priority="134">
      <formula>AND($I$5&gt;=3800.5,$I$5&lt;3900.5)</formula>
    </cfRule>
  </conditionalFormatting>
  <conditionalFormatting sqref="L24">
    <cfRule type="expression" dxfId="251" priority="133">
      <formula>AND($I$5&gt;=3900.5,$I$5&lt;4000.5)</formula>
    </cfRule>
  </conditionalFormatting>
  <conditionalFormatting sqref="F41">
    <cfRule type="expression" dxfId="250" priority="132">
      <formula>AND($I$5&gt;=2600.5,$I$5&lt;2700.5)</formula>
    </cfRule>
  </conditionalFormatting>
  <conditionalFormatting sqref="F42">
    <cfRule type="expression" dxfId="249" priority="131">
      <formula>AND($I$5&gt;=2700.5,$I$5&lt;2800.5)</formula>
    </cfRule>
  </conditionalFormatting>
  <conditionalFormatting sqref="F44">
    <cfRule type="expression" dxfId="248" priority="130">
      <formula>AND($I$5&gt;=2900.5,$I$5&lt;3000.5)</formula>
    </cfRule>
  </conditionalFormatting>
  <conditionalFormatting sqref="F43">
    <cfRule type="expression" dxfId="247" priority="129">
      <formula>AND($I$5&gt;=2800.5,$I$5&lt;2900.5)</formula>
    </cfRule>
  </conditionalFormatting>
  <conditionalFormatting sqref="I25">
    <cfRule type="expression" dxfId="246" priority="128">
      <formula>AND($I$5&gt;=4000.5,$I$5&lt;4100.5)</formula>
    </cfRule>
  </conditionalFormatting>
  <conditionalFormatting sqref="I26">
    <cfRule type="expression" dxfId="245" priority="127">
      <formula>AND($I$5&gt;=4100.5,$I$5&lt;4200.5)</formula>
    </cfRule>
  </conditionalFormatting>
  <conditionalFormatting sqref="I27">
    <cfRule type="expression" dxfId="244" priority="126">
      <formula>AND($I$5&gt;=4200.5,$I$5&lt;4300.5)</formula>
    </cfRule>
  </conditionalFormatting>
  <conditionalFormatting sqref="I28">
    <cfRule type="expression" dxfId="243" priority="125">
      <formula>AND($I$5&gt;=4300.5,$I$5&lt;4400.5)</formula>
    </cfRule>
  </conditionalFormatting>
  <conditionalFormatting sqref="I29">
    <cfRule type="expression" dxfId="242" priority="124">
      <formula>AND($I$5&gt;=4400.5,$I$5&lt;4500.5)</formula>
    </cfRule>
  </conditionalFormatting>
  <conditionalFormatting sqref="I30">
    <cfRule type="expression" dxfId="241" priority="123">
      <formula>AND($I$5&gt;=4500.5,$I$5&lt;4600.5)</formula>
    </cfRule>
  </conditionalFormatting>
  <conditionalFormatting sqref="I31">
    <cfRule type="expression" dxfId="240" priority="122">
      <formula>AND($I$5&gt;=4600.5,$I$5&lt;4700.5)</formula>
    </cfRule>
  </conditionalFormatting>
  <conditionalFormatting sqref="I32">
    <cfRule type="expression" dxfId="239" priority="121">
      <formula>AND($I$5&gt;=4700.5,$I$5&lt;4800.5)</formula>
    </cfRule>
  </conditionalFormatting>
  <conditionalFormatting sqref="I33">
    <cfRule type="expression" dxfId="238" priority="120">
      <formula>AND($I$5&gt;=4800.5,$I$5&lt;4900.5)</formula>
    </cfRule>
  </conditionalFormatting>
  <conditionalFormatting sqref="I34">
    <cfRule type="expression" dxfId="237" priority="119">
      <formula>AND($I$5&gt;=4900.5,$I$5&lt;5000.5)</formula>
    </cfRule>
  </conditionalFormatting>
  <conditionalFormatting sqref="I35">
    <cfRule type="expression" dxfId="236" priority="118">
      <formula>AND($I$5&gt;=5000.5,$I$5&lt;5100.5)</formula>
    </cfRule>
  </conditionalFormatting>
  <conditionalFormatting sqref="I36">
    <cfRule type="expression" dxfId="235" priority="117">
      <formula>AND($I$5&gt;=5100.5,$I$5&lt;5200.5)</formula>
    </cfRule>
  </conditionalFormatting>
  <conditionalFormatting sqref="I37">
    <cfRule type="expression" dxfId="234" priority="116">
      <formula>AND($I$5&gt;=5200.5,$I$5&lt;5300.5)</formula>
    </cfRule>
  </conditionalFormatting>
  <conditionalFormatting sqref="I38">
    <cfRule type="expression" dxfId="233" priority="115">
      <formula>AND($I$5&gt;=5300.5,$I$5&lt;5400.5)</formula>
    </cfRule>
  </conditionalFormatting>
  <conditionalFormatting sqref="I39">
    <cfRule type="expression" dxfId="232" priority="114">
      <formula>AND($I$5&gt;=5400.5,$I$5&lt;5500.5)</formula>
    </cfRule>
  </conditionalFormatting>
  <conditionalFormatting sqref="I40">
    <cfRule type="expression" dxfId="231" priority="113">
      <formula>AND($I$5&gt;=5500.5,$I$5&lt;5600.5)</formula>
    </cfRule>
  </conditionalFormatting>
  <conditionalFormatting sqref="I44">
    <cfRule type="expression" dxfId="230" priority="112">
      <formula>AND($I$5&gt;=5900.5,$I$5&lt;=6000)</formula>
    </cfRule>
  </conditionalFormatting>
  <conditionalFormatting sqref="I43">
    <cfRule type="expression" dxfId="229" priority="111">
      <formula>AND($I$5&gt;=5800.5,$I$5&lt;5900.5)</formula>
    </cfRule>
  </conditionalFormatting>
  <conditionalFormatting sqref="I42">
    <cfRule type="expression" dxfId="228" priority="110">
      <formula>AND($I$5&gt;=5700.5,$I$5&lt;5800.5)</formula>
    </cfRule>
  </conditionalFormatting>
  <conditionalFormatting sqref="I41">
    <cfRule type="expression" dxfId="227" priority="109">
      <formula>AND($I$5&gt;=5600.5,$I$5&lt;5700.5)</formula>
    </cfRule>
  </conditionalFormatting>
  <conditionalFormatting sqref="J25:K25">
    <cfRule type="expression" dxfId="226" priority="108">
      <formula>AND($I$5&gt;=4000.5,$I$5&lt;4100.5)</formula>
    </cfRule>
  </conditionalFormatting>
  <conditionalFormatting sqref="J26:K26">
    <cfRule type="expression" dxfId="225" priority="107">
      <formula>AND($I$5&gt;=4100.5,$I$5&lt;4200.5)</formula>
    </cfRule>
  </conditionalFormatting>
  <conditionalFormatting sqref="J27:K27">
    <cfRule type="expression" dxfId="224" priority="106">
      <formula>AND($I$5&gt;=4200.5,$I$5&lt;4300.5)</formula>
    </cfRule>
  </conditionalFormatting>
  <conditionalFormatting sqref="J28:K28">
    <cfRule type="expression" dxfId="223" priority="105">
      <formula>AND($I$5&gt;=4300.5,$I$5&lt;4400.5)</formula>
    </cfRule>
  </conditionalFormatting>
  <conditionalFormatting sqref="J29:K29">
    <cfRule type="expression" dxfId="222" priority="104">
      <formula>AND($I$5&gt;=4400.5,$I$5&lt;4500.5)</formula>
    </cfRule>
  </conditionalFormatting>
  <conditionalFormatting sqref="J40:K40">
    <cfRule type="expression" dxfId="221" priority="103">
      <formula>AND($I$5&gt;=5500.5,$I$5&lt;5600.5)</formula>
    </cfRule>
  </conditionalFormatting>
  <conditionalFormatting sqref="J39:K39">
    <cfRule type="expression" dxfId="220" priority="102">
      <formula>AND($I$5&gt;=5400.5,$I$5&lt;5500.5)</formula>
    </cfRule>
  </conditionalFormatting>
  <conditionalFormatting sqref="J38:K38">
    <cfRule type="expression" dxfId="219" priority="101">
      <formula>AND($I$5&gt;=5300.5,$I$5&lt;5400.5)</formula>
    </cfRule>
  </conditionalFormatting>
  <conditionalFormatting sqref="J37:K37">
    <cfRule type="expression" dxfId="218" priority="100">
      <formula>AND($I$5&gt;=5200.5,$I$5&lt;5300.5)</formula>
    </cfRule>
  </conditionalFormatting>
  <conditionalFormatting sqref="J36:K36">
    <cfRule type="expression" dxfId="217" priority="99">
      <formula>AND($I$5&gt;=5100.5,$I$5&lt;5200.5)</formula>
    </cfRule>
  </conditionalFormatting>
  <conditionalFormatting sqref="J35:K35">
    <cfRule type="expression" dxfId="216" priority="98">
      <formula>AND($I$5&gt;=5000.5,$I$5&lt;5100.5)</formula>
    </cfRule>
  </conditionalFormatting>
  <conditionalFormatting sqref="J34:K34">
    <cfRule type="expression" dxfId="215" priority="97">
      <formula>AND($I$5&gt;=4900.5,$I$5&lt;5000.5)</formula>
    </cfRule>
  </conditionalFormatting>
  <conditionalFormatting sqref="J33:K33">
    <cfRule type="expression" dxfId="214" priority="96">
      <formula>AND($I$5&gt;=4800.5,$I$5&lt;4900.5)</formula>
    </cfRule>
  </conditionalFormatting>
  <conditionalFormatting sqref="J30:K30">
    <cfRule type="expression" dxfId="213" priority="95">
      <formula>AND($I$5&gt;=4500.5,$I$5&lt;4600.5)</formula>
    </cfRule>
  </conditionalFormatting>
  <conditionalFormatting sqref="J31:K31">
    <cfRule type="expression" dxfId="212" priority="94">
      <formula>AND($I$5&gt;=4600.5,$I$5&lt;4700.5)</formula>
    </cfRule>
  </conditionalFormatting>
  <conditionalFormatting sqref="J32:K32">
    <cfRule type="expression" dxfId="211" priority="93">
      <formula>AND($I$5&gt;=4700.5,$I$5&lt;4800.5)</formula>
    </cfRule>
  </conditionalFormatting>
  <conditionalFormatting sqref="J44:K44">
    <cfRule type="expression" dxfId="210" priority="92">
      <formula>AND($I$5&gt;=5900.5,$I$5&lt;=6000)</formula>
    </cfRule>
  </conditionalFormatting>
  <conditionalFormatting sqref="J43:K43">
    <cfRule type="expression" dxfId="209" priority="91">
      <formula>AND($I$5&gt;=5800.5,$I$5&lt;5900.5)</formula>
    </cfRule>
  </conditionalFormatting>
  <conditionalFormatting sqref="J42:K42">
    <cfRule type="expression" dxfId="208" priority="90">
      <formula>AND($I$5&gt;=5700.5,$I$5&lt;5800.5)</formula>
    </cfRule>
  </conditionalFormatting>
  <conditionalFormatting sqref="J41:K41">
    <cfRule type="expression" dxfId="207" priority="89">
      <formula>AND($I$5&gt;=5600.5,$I$5&lt;5700.5)</formula>
    </cfRule>
  </conditionalFormatting>
  <conditionalFormatting sqref="L25">
    <cfRule type="expression" dxfId="206" priority="88">
      <formula>AND($I$5&gt;=4000.5,$I$5&lt;4100.5)</formula>
    </cfRule>
  </conditionalFormatting>
  <conditionalFormatting sqref="L26">
    <cfRule type="expression" dxfId="205" priority="87">
      <formula>AND($I$5&gt;=4100.5,$I$5&lt;4200.5)</formula>
    </cfRule>
  </conditionalFormatting>
  <conditionalFormatting sqref="L27">
    <cfRule type="expression" dxfId="204" priority="86">
      <formula>AND($I$5&gt;=4200.5,$I$5&lt;4300.5)</formula>
    </cfRule>
  </conditionalFormatting>
  <conditionalFormatting sqref="L28">
    <cfRule type="expression" dxfId="203" priority="85">
      <formula>AND($I$5&gt;=4300.5,$I$5&lt;4400.5)</formula>
    </cfRule>
  </conditionalFormatting>
  <conditionalFormatting sqref="L29">
    <cfRule type="expression" dxfId="202" priority="84">
      <formula>AND($I$5&gt;=4400.5,$I$5&lt;4500.5)</formula>
    </cfRule>
  </conditionalFormatting>
  <conditionalFormatting sqref="L30">
    <cfRule type="expression" dxfId="201" priority="83">
      <formula>AND($I$5&gt;=4500.5,$I$5&lt;4600.5)</formula>
    </cfRule>
  </conditionalFormatting>
  <conditionalFormatting sqref="L31">
    <cfRule type="expression" dxfId="200" priority="82">
      <formula>AND($I$5&gt;=4600.5,$I$5&lt;4700.5)</formula>
    </cfRule>
  </conditionalFormatting>
  <conditionalFormatting sqref="L32">
    <cfRule type="expression" dxfId="199" priority="81">
      <formula>AND($I$5&gt;=4700.5,$I$5&lt;4800.5)</formula>
    </cfRule>
  </conditionalFormatting>
  <conditionalFormatting sqref="L33">
    <cfRule type="expression" dxfId="198" priority="80">
      <formula>AND($I$5&gt;=4800.5,$I$5&lt;4900.5)</formula>
    </cfRule>
  </conditionalFormatting>
  <conditionalFormatting sqref="L34">
    <cfRule type="expression" dxfId="197" priority="79">
      <formula>AND($I$5&gt;=4900.5,$I$5&lt;5000.5)</formula>
    </cfRule>
  </conditionalFormatting>
  <conditionalFormatting sqref="L35">
    <cfRule type="expression" dxfId="196" priority="78">
      <formula>AND($I$5&gt;=5000.5,$I$5&lt;5100.5)</formula>
    </cfRule>
  </conditionalFormatting>
  <conditionalFormatting sqref="L36">
    <cfRule type="expression" dxfId="195" priority="77">
      <formula>AND($I$5&gt;=5100.5,$I$5&lt;5200.5)</formula>
    </cfRule>
  </conditionalFormatting>
  <conditionalFormatting sqref="L37">
    <cfRule type="expression" dxfId="194" priority="76">
      <formula>AND($I$5&gt;=5200.5,$I$5&lt;5300.5)</formula>
    </cfRule>
  </conditionalFormatting>
  <conditionalFormatting sqref="L38">
    <cfRule type="expression" dxfId="193" priority="75">
      <formula>AND($I$5&gt;=5300.5,$I$5&lt;5400.5)</formula>
    </cfRule>
  </conditionalFormatting>
  <conditionalFormatting sqref="L39">
    <cfRule type="expression" dxfId="192" priority="74">
      <formula>AND($I$5&gt;=5400.5,$I$5&lt;5500.5)</formula>
    </cfRule>
  </conditionalFormatting>
  <conditionalFormatting sqref="L40">
    <cfRule type="expression" dxfId="191" priority="73">
      <formula>AND($I$5&gt;=5500.5,$I$5&lt;5600.5)</formula>
    </cfRule>
  </conditionalFormatting>
  <conditionalFormatting sqref="L41">
    <cfRule type="expression" dxfId="190" priority="72">
      <formula>AND($I$5&gt;=5600.5,$I$5&lt;5700.5)</formula>
    </cfRule>
  </conditionalFormatting>
  <conditionalFormatting sqref="L44">
    <cfRule type="expression" dxfId="189" priority="71">
      <formula>AND($I$5&gt;=5900.5,$I$5&lt;=6000)</formula>
    </cfRule>
  </conditionalFormatting>
  <conditionalFormatting sqref="L43">
    <cfRule type="expression" dxfId="188" priority="70">
      <formula>AND($I$5&gt;=5800.5,$I$5&lt;5900.5)</formula>
    </cfRule>
  </conditionalFormatting>
  <conditionalFormatting sqref="L42">
    <cfRule type="expression" dxfId="187" priority="69">
      <formula>AND($I$5&gt;=5700.5,$I$5&lt;5800.5)</formula>
    </cfRule>
  </conditionalFormatting>
  <conditionalFormatting sqref="H7">
    <cfRule type="notContainsText" dxfId="186" priority="66" operator="notContains" text="None">
      <formula>ISERROR(SEARCH("None",H7))</formula>
    </cfRule>
  </conditionalFormatting>
  <conditionalFormatting sqref="D9">
    <cfRule type="expression" dxfId="185" priority="65">
      <formula>$D$9&gt;1</formula>
    </cfRule>
  </conditionalFormatting>
  <conditionalFormatting sqref="D8">
    <cfRule type="expression" dxfId="184" priority="64">
      <formula>$D$8&gt;0</formula>
    </cfRule>
  </conditionalFormatting>
  <conditionalFormatting sqref="F8">
    <cfRule type="expression" dxfId="183" priority="63">
      <formula>$F$8&gt;0</formula>
    </cfRule>
  </conditionalFormatting>
  <conditionalFormatting sqref="H8">
    <cfRule type="expression" dxfId="182" priority="62">
      <formula>$H$8&gt;0</formula>
    </cfRule>
  </conditionalFormatting>
  <conditionalFormatting sqref="G15">
    <cfRule type="expression" dxfId="60" priority="61">
      <formula>$I$5&lt;100.5</formula>
    </cfRule>
  </conditionalFormatting>
  <conditionalFormatting sqref="G16">
    <cfRule type="expression" dxfId="59" priority="60">
      <formula>AND($I$5&gt;=100.5,$I$5&lt;200.5)</formula>
    </cfRule>
  </conditionalFormatting>
  <conditionalFormatting sqref="G17">
    <cfRule type="expression" dxfId="58" priority="59">
      <formula>AND($I$5&gt;=200.5,$I$5&lt;300.5)</formula>
    </cfRule>
  </conditionalFormatting>
  <conditionalFormatting sqref="G18">
    <cfRule type="expression" dxfId="57" priority="58">
      <formula>AND($I$5&gt;=300.5,$I$5&lt;400.5)</formula>
    </cfRule>
  </conditionalFormatting>
  <conditionalFormatting sqref="G19">
    <cfRule type="expression" dxfId="56" priority="57">
      <formula>AND($I$5&gt;=400.5,$I$5&lt;500.5)</formula>
    </cfRule>
  </conditionalFormatting>
  <conditionalFormatting sqref="G20">
    <cfRule type="expression" dxfId="55" priority="56">
      <formula>AND($I$5&gt;=500.5,$I$5&lt;600.5)</formula>
    </cfRule>
  </conditionalFormatting>
  <conditionalFormatting sqref="G22">
    <cfRule type="expression" dxfId="54" priority="55">
      <formula>AND($I$5&gt;=700.5,$I$5&lt;800.5)</formula>
    </cfRule>
  </conditionalFormatting>
  <conditionalFormatting sqref="G23">
    <cfRule type="expression" dxfId="53" priority="54">
      <formula>AND($I$5&gt;=800.5,$I$5&lt;900.5)</formula>
    </cfRule>
  </conditionalFormatting>
  <conditionalFormatting sqref="G24">
    <cfRule type="expression" dxfId="52" priority="53">
      <formula>AND($I$5&gt;=900.5,$I$5&lt;1000.5)</formula>
    </cfRule>
  </conditionalFormatting>
  <conditionalFormatting sqref="G25">
    <cfRule type="expression" dxfId="51" priority="52">
      <formula>AND($I$5&gt;=1000.5,$I$5&lt;1100.5)</formula>
    </cfRule>
  </conditionalFormatting>
  <conditionalFormatting sqref="G26">
    <cfRule type="expression" dxfId="50" priority="51">
      <formula>AND($I$5&gt;=1100.5,$I$5&lt;1200.5)</formula>
    </cfRule>
  </conditionalFormatting>
  <conditionalFormatting sqref="G27">
    <cfRule type="expression" dxfId="49" priority="50">
      <formula>AND($I$5&gt;=1200.5,$I$5&lt;1300.5)</formula>
    </cfRule>
  </conditionalFormatting>
  <conditionalFormatting sqref="G28">
    <cfRule type="expression" dxfId="48" priority="49">
      <formula>AND($I$5&gt;=1300.5,$I$5&lt;1400.5)</formula>
    </cfRule>
  </conditionalFormatting>
  <conditionalFormatting sqref="G29">
    <cfRule type="expression" dxfId="47" priority="48">
      <formula>AND($I$5&gt;=1400.5,$I$5&lt;1500.5)</formula>
    </cfRule>
  </conditionalFormatting>
  <conditionalFormatting sqref="G30">
    <cfRule type="expression" dxfId="46" priority="47">
      <formula>AND($I$5&gt;=1500.5,$I$5&lt;1600.5)</formula>
    </cfRule>
  </conditionalFormatting>
  <conditionalFormatting sqref="G31">
    <cfRule type="expression" dxfId="45" priority="46">
      <formula>AND($I$5&gt;=1600.5,$I$5&lt;1700.5)</formula>
    </cfRule>
  </conditionalFormatting>
  <conditionalFormatting sqref="G32">
    <cfRule type="expression" dxfId="44" priority="45">
      <formula>AND($I$5&gt;=1700.5,$I$5&lt;1800.5)</formula>
    </cfRule>
  </conditionalFormatting>
  <conditionalFormatting sqref="G33">
    <cfRule type="expression" dxfId="43" priority="44">
      <formula>AND($I$5&gt;=1800.5,$I$5&lt;1900.5)</formula>
    </cfRule>
  </conditionalFormatting>
  <conditionalFormatting sqref="G34">
    <cfRule type="expression" dxfId="42" priority="43">
      <formula>AND($I$5&gt;=1900.5,$I$5&lt;2000.5)</formula>
    </cfRule>
  </conditionalFormatting>
  <conditionalFormatting sqref="G21">
    <cfRule type="expression" dxfId="41" priority="42">
      <formula>AND($I$5&gt;=600.5,$I$5&lt;700.5)</formula>
    </cfRule>
  </conditionalFormatting>
  <conditionalFormatting sqref="G35">
    <cfRule type="expression" dxfId="40" priority="41">
      <formula>AND($I$5&gt;=2000.5,$I$5&lt;2100.5)</formula>
    </cfRule>
  </conditionalFormatting>
  <conditionalFormatting sqref="G36">
    <cfRule type="expression" dxfId="39" priority="40">
      <formula>AND($I$5&gt;=2100.5,$I$5&lt;2200.5)</formula>
    </cfRule>
  </conditionalFormatting>
  <conditionalFormatting sqref="G37">
    <cfRule type="expression" dxfId="38" priority="39">
      <formula>AND($I$5&gt;=2200.5,$I$5&lt;2300.5)</formula>
    </cfRule>
  </conditionalFormatting>
  <conditionalFormatting sqref="G38">
    <cfRule type="expression" dxfId="37" priority="38">
      <formula>AND($I$5&gt;=2300.5,$I$5&lt;2400.5)</formula>
    </cfRule>
  </conditionalFormatting>
  <conditionalFormatting sqref="G39">
    <cfRule type="expression" dxfId="36" priority="37">
      <formula>AND($I$5&gt;=2400.5,$I$5&lt;2500.5)</formula>
    </cfRule>
  </conditionalFormatting>
  <conditionalFormatting sqref="G40">
    <cfRule type="expression" dxfId="35" priority="36">
      <formula>AND($I$5&gt;=2500.5,$I$5&lt;2600.5)</formula>
    </cfRule>
  </conditionalFormatting>
  <conditionalFormatting sqref="G41">
    <cfRule type="expression" dxfId="34" priority="35">
      <formula>AND($I$5&gt;=2600.5,$I$5&lt;2700.5)</formula>
    </cfRule>
  </conditionalFormatting>
  <conditionalFormatting sqref="G42">
    <cfRule type="expression" dxfId="33" priority="34">
      <formula>AND($I$5&gt;=2700.5,$I$5&lt;2800.5)</formula>
    </cfRule>
  </conditionalFormatting>
  <conditionalFormatting sqref="G44">
    <cfRule type="expression" dxfId="32" priority="33">
      <formula>AND($I$5&gt;=2900.5,$I$5&lt;3000.5)</formula>
    </cfRule>
  </conditionalFormatting>
  <conditionalFormatting sqref="G43">
    <cfRule type="expression" dxfId="31" priority="32">
      <formula>AND($I$5&gt;=2800.5,$I$5&lt;2900.5)</formula>
    </cfRule>
  </conditionalFormatting>
  <conditionalFormatting sqref="M44">
    <cfRule type="expression" dxfId="30" priority="31">
      <formula>$I$5&gt;6000</formula>
    </cfRule>
  </conditionalFormatting>
  <conditionalFormatting sqref="M21">
    <cfRule type="expression" dxfId="29" priority="30">
      <formula>AND($I$5&gt;=3600.5,$I$5&lt;3700.5)</formula>
    </cfRule>
  </conditionalFormatting>
  <conditionalFormatting sqref="M15">
    <cfRule type="expression" dxfId="28" priority="29">
      <formula>AND($I$5&gt;=3000.5,$I$5&lt;3100.5)</formula>
    </cfRule>
  </conditionalFormatting>
  <conditionalFormatting sqref="M16">
    <cfRule type="expression" dxfId="27" priority="28">
      <formula>AND($I$5&gt;=3100.5,$I$5&lt;3200.5)</formula>
    </cfRule>
  </conditionalFormatting>
  <conditionalFormatting sqref="M17">
    <cfRule type="expression" dxfId="26" priority="27">
      <formula>AND($I$5&gt;=3200.5,$I$5&lt;3300.5)</formula>
    </cfRule>
  </conditionalFormatting>
  <conditionalFormatting sqref="M18">
    <cfRule type="expression" dxfId="25" priority="26">
      <formula>AND($I$5&gt;=3300.5,$I$5&lt;3400.5)</formula>
    </cfRule>
  </conditionalFormatting>
  <conditionalFormatting sqref="M19">
    <cfRule type="expression" dxfId="24" priority="25">
      <formula>AND($I$5&gt;=3400.5,$I$5&lt;3500.5)</formula>
    </cfRule>
  </conditionalFormatting>
  <conditionalFormatting sqref="M20">
    <cfRule type="expression" dxfId="23" priority="24">
      <formula>AND($I$5&gt;=3500.5,$I$5&lt;3600.5)</formula>
    </cfRule>
  </conditionalFormatting>
  <conditionalFormatting sqref="M22">
    <cfRule type="expression" dxfId="22" priority="23">
      <formula>AND($I$5&gt;=3700.5,$I$5&lt;3800.5)</formula>
    </cfRule>
  </conditionalFormatting>
  <conditionalFormatting sqref="M23">
    <cfRule type="expression" dxfId="21" priority="22">
      <formula>AND($I$5&gt;=3800.5,$I$5&lt;3900.5)</formula>
    </cfRule>
  </conditionalFormatting>
  <conditionalFormatting sqref="M24">
    <cfRule type="expression" dxfId="20" priority="21">
      <formula>AND($I$5&gt;=3900.5,$I$5&lt;4000.5)</formula>
    </cfRule>
  </conditionalFormatting>
  <conditionalFormatting sqref="M25">
    <cfRule type="expression" dxfId="19" priority="20">
      <formula>AND($I$5&gt;=4000.5,$I$5&lt;4100.5)</formula>
    </cfRule>
  </conditionalFormatting>
  <conditionalFormatting sqref="M26">
    <cfRule type="expression" dxfId="18" priority="19">
      <formula>AND($I$5&gt;=4100.5,$I$5&lt;4200.5)</formula>
    </cfRule>
  </conditionalFormatting>
  <conditionalFormatting sqref="M27">
    <cfRule type="expression" dxfId="17" priority="18">
      <formula>AND($I$5&gt;=4200.5,$I$5&lt;4300.5)</formula>
    </cfRule>
  </conditionalFormatting>
  <conditionalFormatting sqref="M28">
    <cfRule type="expression" dxfId="16" priority="17">
      <formula>AND($I$5&gt;=4300.5,$I$5&lt;4400.5)</formula>
    </cfRule>
  </conditionalFormatting>
  <conditionalFormatting sqref="M29">
    <cfRule type="expression" dxfId="15" priority="16">
      <formula>AND($I$5&gt;=4400.5,$I$5&lt;4500.5)</formula>
    </cfRule>
  </conditionalFormatting>
  <conditionalFormatting sqref="M30">
    <cfRule type="expression" dxfId="14" priority="15">
      <formula>AND($I$5&gt;=4500.5,$I$5&lt;4600.5)</formula>
    </cfRule>
  </conditionalFormatting>
  <conditionalFormatting sqref="M31">
    <cfRule type="expression" dxfId="13" priority="14">
      <formula>AND($I$5&gt;=4600.5,$I$5&lt;4700.5)</formula>
    </cfRule>
  </conditionalFormatting>
  <conditionalFormatting sqref="M32">
    <cfRule type="expression" dxfId="12" priority="13">
      <formula>AND($I$5&gt;=4700.5,$I$5&lt;4800.5)</formula>
    </cfRule>
  </conditionalFormatting>
  <conditionalFormatting sqref="M33">
    <cfRule type="expression" dxfId="11" priority="12">
      <formula>AND($I$5&gt;=4800.5,$I$5&lt;4900.5)</formula>
    </cfRule>
  </conditionalFormatting>
  <conditionalFormatting sqref="M34">
    <cfRule type="expression" dxfId="10" priority="11">
      <formula>AND($I$5&gt;=4900.5,$I$5&lt;5000.5)</formula>
    </cfRule>
  </conditionalFormatting>
  <conditionalFormatting sqref="M35">
    <cfRule type="expression" dxfId="9" priority="10">
      <formula>AND($I$5&gt;=5000.5,$I$5&lt;5100.5)</formula>
    </cfRule>
  </conditionalFormatting>
  <conditionalFormatting sqref="M36">
    <cfRule type="expression" dxfId="8" priority="9">
      <formula>AND($I$5&gt;=5100.5,$I$5&lt;5200.5)</formula>
    </cfRule>
  </conditionalFormatting>
  <conditionalFormatting sqref="M37">
    <cfRule type="expression" dxfId="7" priority="8">
      <formula>AND($I$5&gt;=5200.5,$I$5&lt;5300.5)</formula>
    </cfRule>
  </conditionalFormatting>
  <conditionalFormatting sqref="M38">
    <cfRule type="expression" dxfId="6" priority="7">
      <formula>AND($I$5&gt;=5300.5,$I$5&lt;5400.5)</formula>
    </cfRule>
  </conditionalFormatting>
  <conditionalFormatting sqref="M39">
    <cfRule type="expression" dxfId="5" priority="6">
      <formula>AND($I$5&gt;=5400.5,$I$5&lt;5500.5)</formula>
    </cfRule>
  </conditionalFormatting>
  <conditionalFormatting sqref="M40">
    <cfRule type="expression" dxfId="4" priority="5">
      <formula>AND($I$5&gt;=5500.5,$I$5&lt;5600.5)</formula>
    </cfRule>
  </conditionalFormatting>
  <conditionalFormatting sqref="M41">
    <cfRule type="expression" dxfId="3" priority="4">
      <formula>AND($I$5&gt;=5600.5,$I$5&lt;5700.5)</formula>
    </cfRule>
  </conditionalFormatting>
  <conditionalFormatting sqref="M44">
    <cfRule type="expression" dxfId="2" priority="3">
      <formula>AND($I$5&gt;=5900.5,$I$5&lt;=6000)</formula>
    </cfRule>
  </conditionalFormatting>
  <conditionalFormatting sqref="M43">
    <cfRule type="expression" dxfId="1" priority="2">
      <formula>AND($I$5&gt;=5800.5,$I$5&lt;5900.5)</formula>
    </cfRule>
  </conditionalFormatting>
  <conditionalFormatting sqref="M42">
    <cfRule type="expression" dxfId="0" priority="1">
      <formula>AND($I$5&gt;=5700.5,$I$5&lt;5800.5)</formula>
    </cfRule>
  </conditionalFormatting>
  <dataValidations count="7">
    <dataValidation type="list" allowBlank="1" showInputMessage="1" showErrorMessage="1" sqref="D7" xr:uid="{00000000-0002-0000-0300-000000000000}">
      <formula1>Printed</formula1>
    </dataValidation>
    <dataValidation type="list" allowBlank="1" showInputMessage="1" showErrorMessage="1" sqref="F7" xr:uid="{00000000-0002-0000-0300-000001000000}">
      <formula1>Mounting</formula1>
    </dataValidation>
    <dataValidation type="decimal" operator="greaterThanOrEqual" allowBlank="1" showInputMessage="1" showErrorMessage="1" sqref="D8 H8 P16:P17" xr:uid="{00000000-0002-0000-0300-000002000000}">
      <formula1>0</formula1>
    </dataValidation>
    <dataValidation type="decimal" allowBlank="1" showInputMessage="1" showErrorMessage="1" sqref="F8" xr:uid="{00000000-0002-0000-0300-000003000000}">
      <formula1>0</formula1>
      <formula2>1</formula2>
    </dataValidation>
    <dataValidation type="list" allowBlank="1" showInputMessage="1" showErrorMessage="1" sqref="H7" xr:uid="{00000000-0002-0000-0300-000004000000}">
      <formula1>RigidCutting</formula1>
    </dataValidation>
    <dataValidation type="whole" operator="greaterThan" allowBlank="1" showInputMessage="1" showErrorMessage="1" sqref="D9" xr:uid="{00000000-0002-0000-0300-000005000000}">
      <formula1>0</formula1>
    </dataValidation>
    <dataValidation type="decimal" operator="greaterThan" allowBlank="1" showInputMessage="1" showErrorMessage="1" sqref="P12 D5:D6 F5:F6 H5:H6" xr:uid="{00000000-0002-0000-0300-000006000000}">
      <formula1>0</formula1>
    </dataValidation>
  </dataValidations>
  <hyperlinks>
    <hyperlink ref="I2:J3" location="'Main Menu'!C8" display="Back to Main Menu" xr:uid="{00000000-0004-0000-0300-000000000000}"/>
    <hyperlink ref="C15" location="Alpha!$C$15" display="Alpha!$C$15" xr:uid="{C7A0FC64-854F-4881-816C-A534E4C2FA45}"/>
    <hyperlink ref="D15" location="Alpha!$D$15" display="Alpha!$D$15" xr:uid="{837E1299-AD46-4231-9C0F-5B17E4DEB840}"/>
    <hyperlink ref="E15" location="Alpha!$E$15" display="Alpha!$E$15" xr:uid="{380E5E98-68A2-4D43-B0D5-9ABBB46447FC}"/>
    <hyperlink ref="F15" location="Alpha!$F$15" display="Alpha!$F$15" xr:uid="{F75FDAD1-CA63-44A6-AD87-C66739646901}"/>
    <hyperlink ref="C16" location="Alpha!$C$16" display="Alpha!$C$16" xr:uid="{AB521180-FC0E-4AC6-9544-4AA842B6EE01}"/>
    <hyperlink ref="D16" location="Alpha!$D$16" display="Alpha!$D$16" xr:uid="{66DF1DD0-3BE8-4331-A103-3B34E2AE1557}"/>
    <hyperlink ref="E16" location="Alpha!$E$16" display="Alpha!$E$16" xr:uid="{E27AC79F-E22E-482D-BCF3-D6F654D4B204}"/>
    <hyperlink ref="F16" location="Alpha!$F$16" display="Alpha!$F$16" xr:uid="{D15BA621-2077-4140-A384-A7336BC4B365}"/>
    <hyperlink ref="C17" location="Alpha!$C$17" display="Alpha!$C$17" xr:uid="{CB64E2CB-6176-4645-8F20-6FAD94B066F9}"/>
    <hyperlink ref="D17" location="Alpha!$D$17" display="Alpha!$D$17" xr:uid="{B0AA4C1B-707F-41D3-B2D7-9CAFCA887623}"/>
    <hyperlink ref="E17" location="Alpha!$E$17" display="Alpha!$E$17" xr:uid="{55A6C570-636F-4E21-B1B8-72A8EA32D566}"/>
    <hyperlink ref="F17" location="Alpha!$F$17" display="Alpha!$F$17" xr:uid="{5C8E8EFE-0E65-4211-9939-EEF87A416DEC}"/>
    <hyperlink ref="C18" location="Alpha!$C$18" display="Alpha!$C$18" xr:uid="{8CF48669-EC41-4CBB-A465-D7A02E1D0226}"/>
    <hyperlink ref="D18" location="Alpha!$D$18" display="Alpha!$D$18" xr:uid="{492BC6C8-68EE-42ED-B5DC-6A7A1063D040}"/>
    <hyperlink ref="E18" location="Alpha!$E$18" display="Alpha!$E$18" xr:uid="{C389A8A1-BAD5-442C-B6C0-E0717C016966}"/>
    <hyperlink ref="F18" location="Alpha!$F$18" display="Alpha!$F$18" xr:uid="{CC2BF956-56F7-422B-8D23-38ED3B21F394}"/>
    <hyperlink ref="C19" location="Alpha!$C$19" display="Alpha!$C$19" xr:uid="{5F3B3A83-5F67-468B-AB28-5C418EA79DB9}"/>
    <hyperlink ref="D19" location="Alpha!$D$19" display="Alpha!$D$19" xr:uid="{A673EC54-73A5-4F59-9E4E-B604B4A65107}"/>
    <hyperlink ref="E19" location="Alpha!$E$19" display="Alpha!$E$19" xr:uid="{0914728C-EA71-4BCA-8CE0-060256B679B9}"/>
    <hyperlink ref="F19" location="Alpha!$F$19" display="Alpha!$F$19" xr:uid="{A20598F1-1463-4F13-9F7F-09D799EF71BB}"/>
    <hyperlink ref="C20" location="Alpha!$C$20" display="Alpha!$C$20" xr:uid="{53281C31-55F8-4B80-AF00-4B20300B5019}"/>
    <hyperlink ref="D20" location="Alpha!$D$20" display="Alpha!$D$20" xr:uid="{76B3BBD6-2CC1-46BB-B257-6D515F8A3DC6}"/>
    <hyperlink ref="E20" location="Alpha!$E$20" display="Alpha!$E$20" xr:uid="{244819B9-3D6C-41DB-91DB-37F8722DB5B7}"/>
    <hyperlink ref="F20" location="Alpha!$F$20" display="Alpha!$F$20" xr:uid="{2574A6A2-DF7D-4D3C-A4C7-38CE8167FEEC}"/>
    <hyperlink ref="C21" location="Alpha!$C$21" display="Alpha!$C$21" xr:uid="{27739FD0-B7AD-4260-BA7B-4651EB536ECB}"/>
    <hyperlink ref="D21" location="Alpha!$D$21" display="Alpha!$D$21" xr:uid="{5A7FAE01-A951-4B3B-BC41-4FBF07516DBE}"/>
    <hyperlink ref="E21" location="Alpha!$E$21" display="Alpha!$E$21" xr:uid="{DD78B2D2-A696-457D-833C-7A7338D0614F}"/>
    <hyperlink ref="F21" location="Alpha!$F$21" display="Alpha!$F$21" xr:uid="{DF6B8F99-8902-4779-B861-D59DFFD76C67}"/>
    <hyperlink ref="C22" location="Alpha!$C$22" display="Alpha!$C$22" xr:uid="{DE892FAB-8C5D-463C-826D-EEA927A46380}"/>
    <hyperlink ref="D22" location="Alpha!$D$22" display="Alpha!$D$22" xr:uid="{3D611E0B-1539-4B92-AE45-CD008E25CA99}"/>
    <hyperlink ref="E22" location="Alpha!$E$22" display="Alpha!$E$22" xr:uid="{26B25493-5184-4C4E-8730-49FD046F0527}"/>
    <hyperlink ref="F22" location="Alpha!$F$22" display="Alpha!$F$22" xr:uid="{1DA24F08-4B41-4B00-90F5-79B0069A5F1F}"/>
    <hyperlink ref="C23" location="Alpha!$C$23" display="Alpha!$C$23" xr:uid="{0070CC09-B7C0-4769-8F25-05AB038A9838}"/>
    <hyperlink ref="D23" location="Alpha!$D$23" display="Alpha!$D$23" xr:uid="{8AE73A1F-602F-4681-BF46-C160909E7B66}"/>
    <hyperlink ref="E23" location="Alpha!$E$23" display="Alpha!$E$23" xr:uid="{DC5CC7EE-10E0-40FD-B16B-50D7EE076074}"/>
    <hyperlink ref="F23" location="Alpha!$F$23" display="Alpha!$F$23" xr:uid="{73C04146-390F-46FA-A9D3-32CD3798000C}"/>
    <hyperlink ref="C24" location="Alpha!$C$24" display="Alpha!$C$24" xr:uid="{19941DBC-DE6E-4CEB-A2A9-990D52B329F4}"/>
    <hyperlink ref="D24" location="Alpha!$D$24" display="Alpha!$D$24" xr:uid="{4037E23C-626C-4BF4-8851-11A19E0A8129}"/>
    <hyperlink ref="E24" location="Alpha!$E$24" display="Alpha!$E$24" xr:uid="{1773F81B-24FE-402A-B015-F8205ABB90B5}"/>
    <hyperlink ref="F24" location="Alpha!$F$24" display="Alpha!$F$24" xr:uid="{669462E2-28F6-417B-8FBE-6788A94491C1}"/>
    <hyperlink ref="C25" location="Alpha!$C$25" display="Alpha!$C$25" xr:uid="{8502C284-E18A-4F77-A9BC-F9E12F436CF9}"/>
    <hyperlink ref="D25" location="Alpha!$D$25" display="Alpha!$D$25" xr:uid="{30C650C3-C77E-49EC-AA50-8A295D91EE3E}"/>
    <hyperlink ref="E25" location="Alpha!$E$25" display="Alpha!$E$25" xr:uid="{1D8FEF6B-8EF5-4DDC-BE77-FC36A03903C9}"/>
    <hyperlink ref="F25" location="Alpha!$F$25" display="Alpha!$F$25" xr:uid="{9D04E897-4A09-42D1-A86C-1F25D80AFC5D}"/>
    <hyperlink ref="C26" location="Alpha!$C$26" display="Alpha!$C$26" xr:uid="{9A9D48C4-91AE-444B-8CAF-7A06B4106801}"/>
    <hyperlink ref="D26" location="Alpha!$D$26" display="Alpha!$D$26" xr:uid="{829608B7-E835-4278-802D-007E3B5F01A5}"/>
    <hyperlink ref="E26" location="Alpha!$E$26" display="Alpha!$E$26" xr:uid="{60BB1583-98C7-4CFC-9319-766B4A121B12}"/>
    <hyperlink ref="F26" location="Alpha!$F$26" display="Alpha!$F$26" xr:uid="{ACEFC63A-87EA-4B29-8AFA-F6EEB8BB1F55}"/>
    <hyperlink ref="C27" location="Alpha!$C$27" display="Alpha!$C$27" xr:uid="{7CCB06CC-A9D3-49EC-AAD0-0FC8693B8F27}"/>
    <hyperlink ref="D27" location="Alpha!$D$27" display="Alpha!$D$27" xr:uid="{E7889367-D49C-436A-9FD7-0AB4B1D4C064}"/>
    <hyperlink ref="E27" location="Alpha!$E$27" display="Alpha!$E$27" xr:uid="{4874F773-5BFE-4ECD-A0B0-6F718388EB94}"/>
    <hyperlink ref="F27" location="Alpha!$F$27" display="Alpha!$F$27" xr:uid="{20335BD7-1CD3-42FE-8085-EFCE84B06214}"/>
    <hyperlink ref="C28" location="Alpha!$C$28" display="Alpha!$C$28" xr:uid="{F3F58ECD-6F71-4EAF-816D-04F52C96E8E5}"/>
    <hyperlink ref="D28" location="Alpha!$D$28" display="Alpha!$D$28" xr:uid="{91F66BB0-E4EB-4FA6-A58A-BC3F963AB3B9}"/>
    <hyperlink ref="E28" location="Alpha!$E$28" display="Alpha!$E$28" xr:uid="{E2288560-BECA-4E9B-85DC-0E8E073AFFDD}"/>
    <hyperlink ref="F28" location="Alpha!$F$28" display="Alpha!$F$28" xr:uid="{95066F8D-97C5-46A9-BFC3-E6E82924F432}"/>
    <hyperlink ref="C29" location="Alpha!$C$29" display="Alpha!$C$29" xr:uid="{3C96BC20-D74A-429C-8B5C-9F2A3BB8D0C5}"/>
    <hyperlink ref="D29" location="Alpha!$D$29" display="Alpha!$D$29" xr:uid="{48C1241C-B401-4777-8860-25D6545F73C0}"/>
    <hyperlink ref="E29" location="Alpha!$E$29" display="Alpha!$E$29" xr:uid="{FE661BE3-4976-4811-8559-131C6B265FF8}"/>
    <hyperlink ref="F29" location="Alpha!$F$29" display="Alpha!$F$29" xr:uid="{F7244FA1-7327-493B-8AE3-8ADC9030B767}"/>
    <hyperlink ref="C30" location="Alpha!$C$30" display="Alpha!$C$30" xr:uid="{D1582AF7-907F-4B93-A9FA-4DC60580BC34}"/>
    <hyperlink ref="D30" location="Alpha!$D$30" display="Alpha!$D$30" xr:uid="{592DB508-A1B7-4058-B8DE-509A2A4560D9}"/>
    <hyperlink ref="E30" location="Alpha!$E$30" display="Alpha!$E$30" xr:uid="{11E6EAFD-CC4B-4A0E-B920-4A752D5D286E}"/>
    <hyperlink ref="F30" location="Alpha!$F$30" display="Alpha!$F$30" xr:uid="{34BF3BD6-234B-4F60-80D3-CA9FB27B12D0}"/>
    <hyperlink ref="C31" location="Alpha!$C$31" display="Alpha!$C$31" xr:uid="{04C49219-C930-4C89-8C98-9043C80FA7F6}"/>
    <hyperlink ref="D31" location="Alpha!$D$31" display="Alpha!$D$31" xr:uid="{4414898B-AF9D-43D7-8341-48001F7F6431}"/>
    <hyperlink ref="E31" location="Alpha!$E$31" display="Alpha!$E$31" xr:uid="{66797CC8-629B-4AE7-BBF3-F688E5F73836}"/>
    <hyperlink ref="F31" location="Alpha!$F$31" display="Alpha!$F$31" xr:uid="{D14D5F05-F48D-436B-8875-57556823A0F3}"/>
    <hyperlink ref="C32" location="Alpha!$C$32" display="Alpha!$C$32" xr:uid="{034F8067-FF9B-4743-A3D1-2545D82CBABA}"/>
    <hyperlink ref="D32" location="Alpha!$D$32" display="Alpha!$D$32" xr:uid="{5A7D690E-9D43-4FF7-A8DE-E5979F35D54F}"/>
    <hyperlink ref="E32" location="Alpha!$E$32" display="Alpha!$E$32" xr:uid="{74F87C26-D3A8-412C-AD97-4011165B9CB4}"/>
    <hyperlink ref="F32" location="Alpha!$F$32" display="Alpha!$F$32" xr:uid="{74B4F9D3-5438-49A4-A579-6FE73776F054}"/>
    <hyperlink ref="C33" location="Alpha!$C$33" display="Alpha!$C$33" xr:uid="{1D6338B3-2EAC-465F-A60A-D0E874F79454}"/>
    <hyperlink ref="D33" location="Alpha!$D$33" display="Alpha!$D$33" xr:uid="{93C96E3C-8F9F-4E0A-B528-4DDEE9E92BF0}"/>
    <hyperlink ref="E33" location="Alpha!$E$33" display="Alpha!$E$33" xr:uid="{152FCC3D-DBD8-4D4A-9BDD-D3E1DAA0A8A6}"/>
    <hyperlink ref="F33" location="Alpha!$F$33" display="Alpha!$F$33" xr:uid="{8CE4710F-B4EE-412F-8848-BA763168F065}"/>
    <hyperlink ref="C34" location="Alpha!$C$34" display="Alpha!$C$34" xr:uid="{9C0E40A2-E1C6-481E-B01B-A82D1359CF9B}"/>
    <hyperlink ref="D34" location="Alpha!$D$34" display="Alpha!$D$34" xr:uid="{6BCA2DF8-BDE0-46C1-9D72-7695F9832D2C}"/>
    <hyperlink ref="E34" location="Alpha!$E$34" display="Alpha!$E$34" xr:uid="{5DEADE31-B7CC-44C7-ADFB-9355AB5FF9AC}"/>
    <hyperlink ref="F34" location="Alpha!$F$34" display="Alpha!$F$34" xr:uid="{74DE4F1F-783A-4D64-85B2-71F66B792C7C}"/>
    <hyperlink ref="C35" location="Alpha!$C$35" display="Alpha!$C$35" xr:uid="{A0FB8716-CB89-4D13-A457-068E6DC8C537}"/>
    <hyperlink ref="D35" location="Alpha!$D$35" display="Alpha!$D$35" xr:uid="{DCA0DEC0-4EBB-43B3-8947-7E3D88024FE7}"/>
    <hyperlink ref="E35" location="Alpha!$E$35" display="Alpha!$E$35" xr:uid="{715088AF-07D2-4775-913E-E59DEA151CC2}"/>
    <hyperlink ref="F35" location="Alpha!$F$35" display="Alpha!$F$35" xr:uid="{7AA48BC2-2065-43C7-AD52-416D06C2F9D3}"/>
    <hyperlink ref="C36" location="Alpha!$C$36" display="Alpha!$C$36" xr:uid="{3DD914E1-D07B-44F7-B276-3F2F33955D33}"/>
    <hyperlink ref="D36" location="Alpha!$D$36" display="Alpha!$D$36" xr:uid="{B545EC6F-E28E-4DB8-9933-893607563BA6}"/>
    <hyperlink ref="E36" location="Alpha!$E$36" display="Alpha!$E$36" xr:uid="{0B42F697-E59A-42A0-A427-EC017A71D8D9}"/>
    <hyperlink ref="F36" location="Alpha!$F$36" display="Alpha!$F$36" xr:uid="{B13A6D1C-F894-4CAB-B205-43270C502BB6}"/>
    <hyperlink ref="C37" location="Alpha!$C$37" display="Alpha!$C$37" xr:uid="{7BBF27DA-D9A5-4001-A585-98104F47EA39}"/>
    <hyperlink ref="D37" location="Alpha!$D$37" display="Alpha!$D$37" xr:uid="{BA608D0A-13FD-4236-9BDE-5E8217F9AAD7}"/>
    <hyperlink ref="E37" location="Alpha!$E$37" display="Alpha!$E$37" xr:uid="{A1321BF9-D172-4A38-B200-008D19E5DAF0}"/>
    <hyperlink ref="F37" location="Alpha!$F$37" display="Alpha!$F$37" xr:uid="{752E5913-3CB8-4FA3-AE9F-0A9350515C18}"/>
    <hyperlink ref="C38" location="Alpha!$C$38" display="Alpha!$C$38" xr:uid="{0465B5AE-DCE1-458F-9292-4EAEDF88C44C}"/>
    <hyperlink ref="D38" location="Alpha!$D$38" display="Alpha!$D$38" xr:uid="{8E193F3B-7B41-42D1-B700-B190DB5B74E5}"/>
    <hyperlink ref="E38" location="Alpha!$E$38" display="Alpha!$E$38" xr:uid="{6DFE0422-5A29-4CB0-BEE4-9E67EC2325CB}"/>
    <hyperlink ref="F38" location="Alpha!$F$38" display="Alpha!$F$38" xr:uid="{3FED43F8-5394-4485-8C66-D5C32F4A9087}"/>
    <hyperlink ref="C39" location="Alpha!$C$39" display="Alpha!$C$39" xr:uid="{1CA12BB7-16E4-4BDA-A450-87A14AC8C76E}"/>
    <hyperlink ref="D39" location="Alpha!$D$39" display="Alpha!$D$39" xr:uid="{CC429FF3-A506-4E9D-8ACF-910E561A805F}"/>
    <hyperlink ref="E39" location="Alpha!$E$39" display="Alpha!$E$39" xr:uid="{80F6D1E0-002E-49E3-8ADA-FD06FAA91F0B}"/>
    <hyperlink ref="F39" location="Alpha!$F$39" display="Alpha!$F$39" xr:uid="{AB651DCA-ECF4-4BC3-911A-5710B691EC29}"/>
    <hyperlink ref="C40" location="Alpha!$C$40" display="Alpha!$C$40" xr:uid="{89F14906-458F-4D79-AE67-6F9686E23688}"/>
    <hyperlink ref="D40" location="Alpha!$D$40" display="Alpha!$D$40" xr:uid="{CBB525FD-3453-4C0F-8CAF-30C69D787087}"/>
    <hyperlink ref="E40" location="Alpha!$E$40" display="Alpha!$E$40" xr:uid="{AC2F1020-F30A-496E-ABB7-F05D38D3DFB7}"/>
    <hyperlink ref="F40" location="Alpha!$F$40" display="Alpha!$F$40" xr:uid="{0B5022FA-5EE3-481E-B2C7-85B5F0438F2B}"/>
    <hyperlink ref="C41" location="Alpha!$C$41" display="Alpha!$C$41" xr:uid="{76E5F62C-C173-462F-A2B5-BA6DA64AA13A}"/>
    <hyperlink ref="D41" location="Alpha!$D$41" display="Alpha!$D$41" xr:uid="{9A03A70F-12DE-4C6A-8477-B3D06A322D02}"/>
    <hyperlink ref="E41" location="Alpha!$E$41" display="Alpha!$E$41" xr:uid="{DE158C1C-D624-4749-99D0-DCE92448CE9F}"/>
    <hyperlink ref="F41" location="Alpha!$F$41" display="Alpha!$F$41" xr:uid="{8810DFD1-0740-4D15-8253-6BAB66F9C58E}"/>
    <hyperlink ref="C42" location="Alpha!$C$42" display="Alpha!$C$42" xr:uid="{13663E5D-C27A-4896-9B91-D6483ABE3BD0}"/>
    <hyperlink ref="D42" location="Alpha!$D$42" display="Alpha!$D$42" xr:uid="{44DDEF2A-79AC-4E33-B79D-E6D4030FE5F9}"/>
    <hyperlink ref="E42" location="Alpha!$E$42" display="Alpha!$E$42" xr:uid="{F58D2138-022E-4B8A-A828-93636F2C4514}"/>
    <hyperlink ref="F42" location="Alpha!$F$42" display="Alpha!$F$42" xr:uid="{321A0441-1676-45BA-AE8C-836C0289DE53}"/>
    <hyperlink ref="C43" location="Alpha!$C$43" display="Alpha!$C$43" xr:uid="{42E7FD6F-09A9-442A-B5D7-73E8A3B9EAE4}"/>
    <hyperlink ref="D43" location="Alpha!$D$43" display="Alpha!$D$43" xr:uid="{45AA45D1-D59F-41AE-9036-C073FF9C4DD4}"/>
    <hyperlink ref="E43" location="Alpha!$E$43" display="Alpha!$E$43" xr:uid="{A26A5A4E-822E-4A05-91A5-BF99CA225B29}"/>
    <hyperlink ref="F43" location="Alpha!$F$43" display="Alpha!$F$43" xr:uid="{E4B41075-3781-4FEF-AD5A-F143EB0955B0}"/>
    <hyperlink ref="C44" location="Alpha!$C$44" display="Alpha!$C$44" xr:uid="{B277E8E1-037D-48E5-A6EB-8ADB120AA2D1}"/>
    <hyperlink ref="D44" location="Alpha!$D$44" display="Alpha!$D$44" xr:uid="{89F5DBE2-65E7-4A43-A48D-63282E947B6E}"/>
    <hyperlink ref="E44" location="Alpha!$E$44" display="Alpha!$E$44" xr:uid="{C4AFA8EF-A8DB-4F3C-97A4-6C0CE405BDA1}"/>
    <hyperlink ref="F44" location="Alpha!$F$44" display="Alpha!$F$44" xr:uid="{8E6FBA52-FDBB-4401-BA1A-50C7CDDABFA1}"/>
    <hyperlink ref="I15" location="Alpha!$I$15" display="Alpha!$I$15" xr:uid="{24ED776E-E872-4296-B0B4-64D398BC841F}"/>
    <hyperlink ref="J15" location="Alpha!$J$15" display="Alpha!$J$15" xr:uid="{F978E193-C41D-4947-B7C2-28862569DAF2}"/>
    <hyperlink ref="K15" location="Alpha!$K$15" display="Alpha!$K$15" xr:uid="{96C8ED9B-2BCA-4BEF-9944-231715218335}"/>
    <hyperlink ref="L15" location="Alpha!$L$15" display="Alpha!$L$15" xr:uid="{4313322E-378C-464B-B257-9F84A4C1E2CF}"/>
    <hyperlink ref="I16" location="Alpha!$I$16" display="Alpha!$I$16" xr:uid="{B5AF3401-E69F-4CFC-8337-67D2EB22D5C0}"/>
    <hyperlink ref="J16" location="Alpha!$J$16" display="Alpha!$J$16" xr:uid="{E55BA4F6-1C70-43D5-B4E5-84F9822E4A4F}"/>
    <hyperlink ref="K16" location="Alpha!$K$16" display="Alpha!$K$16" xr:uid="{06C65C06-69FD-4D61-A5AF-F1C5EB055F22}"/>
    <hyperlink ref="L16" location="Alpha!$L$16" display="Alpha!$L$16" xr:uid="{AED90122-AB34-46F4-AD64-B61A88C0611F}"/>
    <hyperlink ref="I17" location="Alpha!$I$17" display="Alpha!$I$17" xr:uid="{A0557A38-C990-46F8-94D8-A12D591E1A29}"/>
    <hyperlink ref="J17" location="Alpha!$J$17" display="Alpha!$J$17" xr:uid="{7FD05E18-21D8-48CE-9C37-7EB1D37939C6}"/>
    <hyperlink ref="K17" location="Alpha!$K$17" display="Alpha!$K$17" xr:uid="{FA00D36F-3FDF-4EA6-8010-CCF04B530E54}"/>
    <hyperlink ref="L17" location="Alpha!$L$17" display="Alpha!$L$17" xr:uid="{C2ADE2D1-492D-43E7-9CEC-40F92A5D7E39}"/>
    <hyperlink ref="I18" location="Alpha!$I$18" display="Alpha!$I$18" xr:uid="{F2778E37-055C-4B5B-B76D-3D2CF5C4F14C}"/>
    <hyperlink ref="J18" location="Alpha!$J$18" display="Alpha!$J$18" xr:uid="{4F3B6446-ACC8-4902-A3B8-4BA00D872415}"/>
    <hyperlink ref="K18" location="Alpha!$K$18" display="Alpha!$K$18" xr:uid="{5CF6E45B-1F40-4B93-A15C-0A120C9D0850}"/>
    <hyperlink ref="L18" location="Alpha!$L$18" display="Alpha!$L$18" xr:uid="{035ECBA4-A244-4ED5-969C-4476E709FDDD}"/>
    <hyperlink ref="I19" location="Alpha!$I$19" display="Alpha!$I$19" xr:uid="{02E50E0B-DC3C-48C2-9965-25CEEFAE0476}"/>
    <hyperlink ref="J19" location="Alpha!$J$19" display="Alpha!$J$19" xr:uid="{938987A1-4DF1-41FE-A28C-46E13A3C43EF}"/>
    <hyperlink ref="K19" location="Alpha!$K$19" display="Alpha!$K$19" xr:uid="{BF383467-685D-402B-AD02-7261F378FCC9}"/>
    <hyperlink ref="L19" location="Alpha!$L$19" display="Alpha!$L$19" xr:uid="{5C93E44B-E2F4-40EC-9247-94B71920DE07}"/>
    <hyperlink ref="I20" location="Alpha!$I$20" display="Alpha!$I$20" xr:uid="{ECBECEFE-8B92-4509-B222-C7355990E79C}"/>
    <hyperlink ref="J20" location="Alpha!$J$20" display="Alpha!$J$20" xr:uid="{C5A7D1B5-B5B1-488C-B92C-B77AD6E24291}"/>
    <hyperlink ref="K20" location="Alpha!$K$20" display="Alpha!$K$20" xr:uid="{D98E28A7-BC20-4EE7-BAA8-1EDE1F835EC3}"/>
    <hyperlink ref="L20" location="Alpha!$L$20" display="Alpha!$L$20" xr:uid="{E06686BB-FC8E-4B9C-89D1-587DF71D503F}"/>
    <hyperlink ref="I21" location="Alpha!$I$21" display="Alpha!$I$21" xr:uid="{51B11807-0917-488E-859E-299A97722FB4}"/>
    <hyperlink ref="J21" location="Alpha!$J$21" display="Alpha!$J$21" xr:uid="{E08461B3-AF9A-4EB0-813F-92D05250C9D4}"/>
    <hyperlink ref="K21" location="Alpha!$K$21" display="Alpha!$K$21" xr:uid="{6BE13670-32BD-4D07-8E18-47DD062323A8}"/>
    <hyperlink ref="L21" location="Alpha!$L$21" display="Alpha!$L$21" xr:uid="{EC76CD55-0B8B-4CFA-AB7A-F71504A15CBD}"/>
    <hyperlink ref="I22" location="Alpha!$I$22" display="Alpha!$I$22" xr:uid="{F6ECD336-AD08-46AE-87CE-F59B3D62B8B0}"/>
    <hyperlink ref="J22" location="Alpha!$J$22" display="Alpha!$J$22" xr:uid="{815C6D89-EA18-4602-BDD0-5E74D20A4D98}"/>
    <hyperlink ref="K22" location="Alpha!$K$22" display="Alpha!$K$22" xr:uid="{A5C2EDD6-35A4-4C51-AE0E-5E4F153684C2}"/>
    <hyperlink ref="L22" location="Alpha!$L$22" display="Alpha!$L$22" xr:uid="{2BBBDFA8-629E-4855-BBAE-425A7FCDA2AE}"/>
    <hyperlink ref="I23" location="Alpha!$I$23" display="Alpha!$I$23" xr:uid="{A71FA9C8-6C34-4B12-B857-30564B74DC3F}"/>
    <hyperlink ref="J23" location="Alpha!$J$23" display="Alpha!$J$23" xr:uid="{115B5A84-7AE6-4F47-B40A-DF27EB1E9B97}"/>
    <hyperlink ref="K23" location="Alpha!$K$23" display="Alpha!$K$23" xr:uid="{37E9120E-35AC-4827-A388-12A158632A71}"/>
    <hyperlink ref="L23" location="Alpha!$L$23" display="Alpha!$L$23" xr:uid="{D0908546-4AE7-495B-B98A-1460273E8760}"/>
    <hyperlink ref="I24" location="Alpha!$I$24" display="Alpha!$I$24" xr:uid="{CA14B13D-70D5-41A2-9210-370CB8C8A2EF}"/>
    <hyperlink ref="J24" location="Alpha!$J$24" display="Alpha!$J$24" xr:uid="{4C3578F0-392A-45B7-9D3A-6AA5D396D678}"/>
    <hyperlink ref="K24" location="Alpha!$K$24" display="Alpha!$K$24" xr:uid="{64D810FC-6D2D-421D-B7BF-552CE9422E88}"/>
    <hyperlink ref="L24" location="Alpha!$L$24" display="Alpha!$L$24" xr:uid="{3DE58D81-6723-4C0C-BF53-53901C44F36E}"/>
    <hyperlink ref="I25" location="Alpha!$I$25" display="Alpha!$I$25" xr:uid="{BE18DE5B-4A4E-46BC-BF9F-1D170B1DAA32}"/>
    <hyperlink ref="J25" location="Alpha!$J$25" display="Alpha!$J$25" xr:uid="{5A6AE535-58EB-42B9-A8F0-FB582D46740B}"/>
    <hyperlink ref="K25" location="Alpha!$K$25" display="Alpha!$K$25" xr:uid="{680BF138-3E56-4F2E-98A1-4F73D3C177A6}"/>
    <hyperlink ref="L25" location="Alpha!$L$25" display="Alpha!$L$25" xr:uid="{E3CDD1B1-72A0-4B20-BAD1-A748DBF0C2DB}"/>
    <hyperlink ref="I26" location="Alpha!$I$26" display="Alpha!$I$26" xr:uid="{FE876510-DD2C-44E5-B3BB-7428D34D8E34}"/>
    <hyperlink ref="J26" location="Alpha!$J$26" display="Alpha!$J$26" xr:uid="{DC32A934-5618-4AF2-BCA1-BB6F2B131E1C}"/>
    <hyperlink ref="K26" location="Alpha!$K$26" display="Alpha!$K$26" xr:uid="{0E515521-819E-4FDC-B902-E21263B06BB8}"/>
    <hyperlink ref="L26" location="Alpha!$L$26" display="Alpha!$L$26" xr:uid="{86B0598C-4569-4080-A53B-1FD0861EDF31}"/>
    <hyperlink ref="I27" location="Alpha!$I$27" display="Alpha!$I$27" xr:uid="{E0EA1A98-ED4D-4742-9011-598D8F547E90}"/>
    <hyperlink ref="J27" location="Alpha!$J$27" display="Alpha!$J$27" xr:uid="{6FEA9BB3-0E8F-4717-8EB5-5ACF1D832545}"/>
    <hyperlink ref="K27" location="Alpha!$K$27" display="Alpha!$K$27" xr:uid="{81AB02C3-0F6E-4516-986D-6302D9421745}"/>
    <hyperlink ref="L27" location="Alpha!$L$27" display="Alpha!$L$27" xr:uid="{D3B38A00-6D3D-420A-B1A3-BFDB543600A4}"/>
    <hyperlink ref="I28" location="Alpha!$I$28" display="Alpha!$I$28" xr:uid="{6CFAA5DD-263E-435B-8E02-FC95749ADC3B}"/>
    <hyperlink ref="J28" location="Alpha!$J$28" display="Alpha!$J$28" xr:uid="{2680260D-4567-4247-AA1F-1A0F84566E1E}"/>
    <hyperlink ref="K28" location="Alpha!$K$28" display="Alpha!$K$28" xr:uid="{466CF6BE-9F39-4793-BC38-96F4A3767165}"/>
    <hyperlink ref="L28" location="Alpha!$L$28" display="Alpha!$L$28" xr:uid="{7DEFC2F1-BD4C-42C2-A309-21427EC553A3}"/>
    <hyperlink ref="I29" location="Alpha!$I$29" display="Alpha!$I$29" xr:uid="{4B6096FA-CFDC-470B-A3CF-05C8D75A80F3}"/>
    <hyperlink ref="J29" location="Alpha!$J$29" display="Alpha!$J$29" xr:uid="{2647B4E1-3ADA-429C-8543-AB7BFB4AF876}"/>
    <hyperlink ref="K29" location="Alpha!$K$29" display="Alpha!$K$29" xr:uid="{5382AEDC-8607-4E30-8FE1-A303B7183C49}"/>
    <hyperlink ref="L29" location="Alpha!$L$29" display="Alpha!$L$29" xr:uid="{1CBF1B4B-7A30-40EC-AD6C-C81BE8E41C96}"/>
    <hyperlink ref="I30" location="Alpha!$I$30" display="Alpha!$I$30" xr:uid="{3E0B57C7-C219-44ED-A33E-B20DB6B36B5D}"/>
    <hyperlink ref="J30" location="Alpha!$J$30" display="Alpha!$J$30" xr:uid="{4A313C09-8F82-429D-B1AD-462B284B0BEF}"/>
    <hyperlink ref="K30" location="Alpha!$K$30" display="Alpha!$K$30" xr:uid="{BA21C84E-7A97-4B27-AFEF-06615C71BCC2}"/>
    <hyperlink ref="L30" location="Alpha!$L$30" display="Alpha!$L$30" xr:uid="{6123285A-3D3B-4DB7-84A5-89F001B1C141}"/>
    <hyperlink ref="I31" location="Alpha!$I$31" display="Alpha!$I$31" xr:uid="{9A459FC2-418B-4024-A7A0-6E0B76E1A242}"/>
    <hyperlink ref="J31" location="Alpha!$J$31" display="Alpha!$J$31" xr:uid="{F6E93E96-1E81-4F00-982B-25F9E2CE849A}"/>
    <hyperlink ref="K31" location="Alpha!$K$31" display="Alpha!$K$31" xr:uid="{891F7B8A-248A-4CD1-8865-D582337DEA8B}"/>
    <hyperlink ref="L31" location="Alpha!$L$31" display="Alpha!$L$31" xr:uid="{1292CC1E-8B39-4D85-BF8A-61790420B3FD}"/>
    <hyperlink ref="I32" location="Alpha!$I$32" display="Alpha!$I$32" xr:uid="{AF891E1A-14C0-4FC1-A542-B2C34DC4CC62}"/>
    <hyperlink ref="J32" location="Alpha!$J$32" display="Alpha!$J$32" xr:uid="{B48D2FB9-593F-443D-95F3-92680EE84173}"/>
    <hyperlink ref="K32" location="Alpha!$K$32" display="Alpha!$K$32" xr:uid="{977A8F0F-981E-4894-B896-71FB96D57B8C}"/>
    <hyperlink ref="L32" location="Alpha!$L$32" display="Alpha!$L$32" xr:uid="{E3517C6B-762C-4711-B94E-7DE6B0A60C80}"/>
    <hyperlink ref="I33" location="Alpha!$I$33" display="Alpha!$I$33" xr:uid="{AD9E89E5-41CA-4B37-BD8C-EE12BE544B2B}"/>
    <hyperlink ref="J33" location="Alpha!$J$33" display="Alpha!$J$33" xr:uid="{D45A9C65-8607-4E18-9712-CE89116815B7}"/>
    <hyperlink ref="K33" location="Alpha!$K$33" display="Alpha!$K$33" xr:uid="{9D414BBC-3CBD-48F2-AC09-8D9D78338B8F}"/>
    <hyperlink ref="L33" location="Alpha!$L$33" display="Alpha!$L$33" xr:uid="{449C697A-3D17-4D58-8429-618766DCF3D8}"/>
    <hyperlink ref="I34" location="Alpha!$I$34" display="Alpha!$I$34" xr:uid="{7DDA1A9B-FD42-4AC2-9541-B4ABE68F99A8}"/>
    <hyperlink ref="J34" location="Alpha!$J$34" display="Alpha!$J$34" xr:uid="{1A31ABE5-C52F-4015-8F8A-2293AE89A6E0}"/>
    <hyperlink ref="K34" location="Alpha!$K$34" display="Alpha!$K$34" xr:uid="{36290BA9-3567-43D8-A7D0-F21BA41F161D}"/>
    <hyperlink ref="L34" location="Alpha!$L$34" display="Alpha!$L$34" xr:uid="{924B84CC-7396-4495-A9CD-03BFCF0550EA}"/>
    <hyperlink ref="I35" location="Alpha!$I$35" display="Alpha!$I$35" xr:uid="{11C6C4AB-A3B2-407B-84FF-B108CC9B84BD}"/>
    <hyperlink ref="J35" location="Alpha!$J$35" display="Alpha!$J$35" xr:uid="{2D456D7E-EA5C-4189-A3AE-78BB4D3958CE}"/>
    <hyperlink ref="K35" location="Alpha!$K$35" display="Alpha!$K$35" xr:uid="{BE85C087-BDA3-48A8-90A9-053AA5360770}"/>
    <hyperlink ref="L35" location="Alpha!$L$35" display="Alpha!$L$35" xr:uid="{5202C240-1E52-416C-9E37-9F0086F3B1DB}"/>
    <hyperlink ref="I36" location="Alpha!$I$36" display="Alpha!$I$36" xr:uid="{61EE9E78-4429-429B-BB4C-67E8DD704B9A}"/>
    <hyperlink ref="J36" location="Alpha!$J$36" display="Alpha!$J$36" xr:uid="{68C192E9-E213-4D61-8F14-F70CD2E1A513}"/>
    <hyperlink ref="K36" location="Alpha!$K$36" display="Alpha!$K$36" xr:uid="{684FBA7B-A701-4445-B31D-9EF3F9E3DFC1}"/>
    <hyperlink ref="L36" location="Alpha!$L$36" display="Alpha!$L$36" xr:uid="{7B704E58-2691-43DB-A1F7-97E3E5B8D36F}"/>
    <hyperlink ref="I37" location="Alpha!$I$37" display="Alpha!$I$37" xr:uid="{9CEEFEE5-E6F9-4323-9A20-0B9325FDE0B8}"/>
    <hyperlink ref="J37" location="Alpha!$J$37" display="Alpha!$J$37" xr:uid="{4CDC57BD-6A9E-4D22-B738-CAE140E319D1}"/>
    <hyperlink ref="K37" location="Alpha!$K$37" display="Alpha!$K$37" xr:uid="{D11B5CA1-EFD9-4EF7-8571-D8B9A3DBE3E0}"/>
    <hyperlink ref="L37" location="Alpha!$L$37" display="Alpha!$L$37" xr:uid="{88B640A2-EE17-4CBA-B744-46FDA7D0DD9A}"/>
    <hyperlink ref="I38" location="Alpha!$I$38" display="Alpha!$I$38" xr:uid="{29FCA711-2DDE-458C-9865-1CDBF89FF8E6}"/>
    <hyperlink ref="J38" location="Alpha!$J$38" display="Alpha!$J$38" xr:uid="{C315E4EE-8140-4375-90D9-1AA9FCAD14F6}"/>
    <hyperlink ref="K38" location="Alpha!$K$38" display="Alpha!$K$38" xr:uid="{F0AABD55-AB1F-43B0-A6B6-60A2D3B42EFB}"/>
    <hyperlink ref="L38" location="Alpha!$L$38" display="Alpha!$L$38" xr:uid="{FB716CD3-BB94-424B-8AC8-38D1B91BFD5B}"/>
    <hyperlink ref="I39" location="Alpha!$I$39" display="Alpha!$I$39" xr:uid="{9BC1C9F2-ED9D-476C-AC26-5FC9B67BBB4F}"/>
    <hyperlink ref="J39" location="Alpha!$J$39" display="Alpha!$J$39" xr:uid="{084EDB45-957E-4DE1-A911-F004B01B5B98}"/>
    <hyperlink ref="K39" location="Alpha!$K$39" display="Alpha!$K$39" xr:uid="{73D26905-8DEA-40BD-BAF0-0D5A0851D207}"/>
    <hyperlink ref="L39" location="Alpha!$L$39" display="Alpha!$L$39" xr:uid="{C5E4D266-418B-4F7C-A132-A994CEE84208}"/>
    <hyperlink ref="I40" location="Alpha!$I$40" display="Alpha!$I$40" xr:uid="{46F13225-1928-45E7-8AA6-0D6C975F7441}"/>
    <hyperlink ref="J40" location="Alpha!$J$40" display="Alpha!$J$40" xr:uid="{593B580E-C940-4ED6-B434-A39E6415EF2D}"/>
    <hyperlink ref="K40" location="Alpha!$K$40" display="Alpha!$K$40" xr:uid="{361EF707-F673-4A1B-A2AB-525A1006C50C}"/>
    <hyperlink ref="L40" location="Alpha!$L$40" display="Alpha!$L$40" xr:uid="{DC6822C3-1CF1-4C0F-9914-E71B4ED6FFCE}"/>
    <hyperlink ref="I41" location="Alpha!$I$41" display="Alpha!$I$41" xr:uid="{2512189D-7FAA-4330-BD94-A062D10D402E}"/>
    <hyperlink ref="J41" location="Alpha!$J$41" display="Alpha!$J$41" xr:uid="{608D6EDD-8D77-4206-A5A8-8E1B53523A2E}"/>
    <hyperlink ref="K41" location="Alpha!$K$41" display="Alpha!$K$41" xr:uid="{8DEE0A47-19B4-40B1-9DCF-0E250F6A1971}"/>
    <hyperlink ref="L41" location="Alpha!$L$41" display="Alpha!$L$41" xr:uid="{FA6D1F77-3DF2-4BD6-B225-836478E05BE6}"/>
    <hyperlink ref="I42" location="Alpha!$I$42" display="Alpha!$I$42" xr:uid="{CC88561C-B1DD-40B4-9183-9B2979121D15}"/>
    <hyperlink ref="J42" location="Alpha!$J$42" display="Alpha!$J$42" xr:uid="{92666C79-EC4E-4A8A-8DD2-009F63FAA198}"/>
    <hyperlink ref="K42" location="Alpha!$K$42" display="Alpha!$K$42" xr:uid="{E39F9183-1EC2-4071-9DA2-CFF99AACF119}"/>
    <hyperlink ref="L42" location="Alpha!$L$42" display="Alpha!$L$42" xr:uid="{6873F669-2FF7-45A1-AE08-5734AD357646}"/>
    <hyperlink ref="I43" location="Alpha!$I$43" display="Alpha!$I$43" xr:uid="{C68C9832-A017-4B12-902E-E25486EF96C3}"/>
    <hyperlink ref="J43" location="Alpha!$J$43" display="Alpha!$J$43" xr:uid="{C84E372F-1902-4562-AB64-FCA08D2276CC}"/>
    <hyperlink ref="K43" location="Alpha!$K$43" display="Alpha!$K$43" xr:uid="{F566EECF-DC57-4CCC-813F-F1288DAEB866}"/>
    <hyperlink ref="L43" location="Alpha!$L$43" display="Alpha!$L$43" xr:uid="{5E4DEC3F-A494-4353-829A-0D1DC01D4E61}"/>
    <hyperlink ref="I44" location="Alpha!$I$44" display="Alpha!$I$44" xr:uid="{72896E1B-3E1D-43B4-98E7-732BEE305FFF}"/>
    <hyperlink ref="J44" location="Alpha!$J$44" display="Alpha!$J$44" xr:uid="{D3670194-D338-4A40-9A26-308B8357F37D}"/>
    <hyperlink ref="K44" location="Alpha!$K$44" display="Alpha!$K$44" xr:uid="{319CFF27-8885-4BAC-9DBB-1B9E8D29C663}"/>
    <hyperlink ref="L44" location="Alpha!$L$44" display="Alpha!$L$44" xr:uid="{7D015C47-D384-4480-ABFE-4CE81DA32166}"/>
    <hyperlink ref="E9:F9" location="Quote!B7" display="Go to Quote" xr:uid="{4745DBC1-697B-40E9-9F70-B88C47338A3A}"/>
    <hyperlink ref="G9:H9" location="alpha_reset_sheet" display="Reset Sheet" xr:uid="{0982CAF8-39FF-40B8-A593-373971D47993}"/>
    <hyperlink ref="P13" location="alpha_custom_price" display="alpha_custom_price" xr:uid="{363800EE-7ADB-4562-B964-45E6E74E4563}"/>
    <hyperlink ref="G15" location="Alpha!$G$15" display="Alpha!$G$15" xr:uid="{AD1F65E6-7A80-4E32-BB7B-6A920C711A3D}"/>
    <hyperlink ref="G16" location="Alpha!$G$16" display="Alpha!$G$16" xr:uid="{D2E8C1F0-9341-4AB2-AEC8-30894B1F1BBA}"/>
    <hyperlink ref="G17" location="Alpha!$G$17" display="Alpha!$G$17" xr:uid="{9DF48B0B-2DFE-425E-9429-7A704BB87D12}"/>
    <hyperlink ref="G18" location="Alpha!$G$18" display="Alpha!$G$18" xr:uid="{2E3C12D6-C736-4E88-BA26-39D4143FF494}"/>
    <hyperlink ref="G19" location="Alpha!$G$19" display="Alpha!$G$19" xr:uid="{FC6AC508-EDFF-4403-842C-8D70FE65EC62}"/>
    <hyperlink ref="G20" location="Alpha!$G$20" display="Alpha!$G$20" xr:uid="{AF412E0B-056C-4324-81B5-237F5B66BE22}"/>
    <hyperlink ref="G21" location="Alpha!$G$21" display="Alpha!$G$21" xr:uid="{D7B86EE2-413C-42A7-8A91-065BFD4C0BD8}"/>
    <hyperlink ref="G22" location="Alpha!$G$22" display="Alpha!$G$22" xr:uid="{33B06346-0D74-436D-A9CD-3FBF04F03425}"/>
    <hyperlink ref="G23" location="Alpha!$G$23" display="Alpha!$G$23" xr:uid="{5622F523-DB3C-4D81-A16B-8793E777F8DE}"/>
    <hyperlink ref="G24" location="Alpha!$G$24" display="Alpha!$G$24" xr:uid="{FAE6D2ED-F133-40DE-A20D-16F1810835CC}"/>
    <hyperlink ref="G25" location="Alpha!$G$25" display="Alpha!$G$25" xr:uid="{E5E3928D-4E8A-46F9-9853-69ACDD8EAE46}"/>
    <hyperlink ref="G26" location="Alpha!$G$26" display="Alpha!$G$26" xr:uid="{11D915A3-2FCD-4F65-9494-B687E99AEA65}"/>
    <hyperlink ref="G27" location="Alpha!$G$27" display="Alpha!$G$27" xr:uid="{B6F3FBFA-BD41-4A70-9218-614B8445D81E}"/>
    <hyperlink ref="G28" location="Alpha!$G$28" display="Alpha!$G$28" xr:uid="{9243BB8A-672B-46DE-9948-0C6F4D62188B}"/>
    <hyperlink ref="G29" location="Alpha!$G$29" display="Alpha!$G$29" xr:uid="{29A1DC27-5C67-4251-A3AC-555D64330BFC}"/>
    <hyperlink ref="G30" location="Alpha!$G$30" display="Alpha!$G$30" xr:uid="{C9315BA7-128C-4948-9668-4D9EE847B4B2}"/>
    <hyperlink ref="G31" location="Alpha!$G$31" display="Alpha!$G$31" xr:uid="{B237B9AD-B2A3-4F34-8B92-C255E5507531}"/>
    <hyperlink ref="G32" location="Alpha!$G$32" display="Alpha!$G$32" xr:uid="{F212386D-C40C-4D63-A2BE-EF1992487463}"/>
    <hyperlink ref="G33" location="Alpha!$G$33" display="Alpha!$G$33" xr:uid="{8CEB2692-AE84-4DBA-9D44-5C17CDC847B6}"/>
    <hyperlink ref="G34" location="Alpha!$G$34" display="Alpha!$G$34" xr:uid="{9EF347CC-73ED-4F76-924D-2E9466029666}"/>
    <hyperlink ref="G35" location="Alpha!$G$35" display="Alpha!$G$35" xr:uid="{0482F3D1-1DED-4D3E-8894-E9501AC4719B}"/>
    <hyperlink ref="G36" location="Alpha!$G$36" display="Alpha!$G$36" xr:uid="{46E6632E-8EAE-4E51-A9A4-C026E11B7E08}"/>
    <hyperlink ref="G37" location="Alpha!$G$37" display="Alpha!$G$37" xr:uid="{83DBCFF7-CC70-425B-91A2-FCA6677E4C77}"/>
    <hyperlink ref="G38" location="Alpha!$G$38" display="Alpha!$G$38" xr:uid="{3E152F3F-316C-4E83-8361-5CCB7B346D77}"/>
    <hyperlink ref="G39" location="Alpha!$G$39" display="Alpha!$G$39" xr:uid="{FB673A66-8678-4130-BC1C-3CA7D449756B}"/>
    <hyperlink ref="G40" location="Alpha!$G$40" display="Alpha!$G$40" xr:uid="{A1413133-C131-422D-9978-C1AA6EB81680}"/>
    <hyperlink ref="G41" location="Alpha!$G$41" display="Alpha!$G$41" xr:uid="{D0BDB4C2-399B-49A4-81A8-C7DC17D634CF}"/>
    <hyperlink ref="G42" location="Alpha!$G$42" display="Alpha!$G$42" xr:uid="{A7888C99-45BF-4F40-BA67-00AC314C725A}"/>
    <hyperlink ref="G43" location="Alpha!$G$43" display="Alpha!$G$43" xr:uid="{1E142B55-E737-49D3-A7A4-70443BB77FF9}"/>
    <hyperlink ref="G44" location="Alpha!$G$44" display="Alpha!$G$44" xr:uid="{94870A6A-8619-47C2-9180-5BDAB90AE3A4}"/>
    <hyperlink ref="M15" location="Alpha!$K$15" display="Alpha!$K$15" xr:uid="{7F036455-2671-46BB-870E-967307AB8473}"/>
    <hyperlink ref="M16" location="Alpha!$K$16" display="Alpha!$K$16" xr:uid="{3D369BC2-3AD5-4DDC-8307-0E90876453FB}"/>
    <hyperlink ref="M17" location="Alpha!$K$17" display="Alpha!$K$17" xr:uid="{4C51DB45-900A-4996-97B2-20ECC5183256}"/>
    <hyperlink ref="M18" location="Alpha!$K$18" display="Alpha!$K$18" xr:uid="{A2631197-2231-4897-A65D-512B7B3F8A10}"/>
    <hyperlink ref="M19" location="Alpha!$K$19" display="Alpha!$K$19" xr:uid="{1D682D37-E354-4E00-8488-132727F75CE3}"/>
    <hyperlink ref="M20" location="Alpha!$K$20" display="Alpha!$K$20" xr:uid="{368A01FD-410C-4615-85B9-23A10CBFC783}"/>
    <hyperlink ref="M21" location="Alpha!$K$21" display="Alpha!$K$21" xr:uid="{7C5D9332-1A69-4064-BCDF-6FE2041FBED2}"/>
    <hyperlink ref="M22" location="Alpha!$K$22" display="Alpha!$K$22" xr:uid="{1ED956F7-B093-47AA-ACF0-19A08B672F08}"/>
    <hyperlink ref="M23" location="Alpha!$K$23" display="Alpha!$K$23" xr:uid="{7573996A-FBB8-4C7C-871E-B6E0E65A026F}"/>
    <hyperlink ref="M24" location="Alpha!$K$24" display="Alpha!$K$24" xr:uid="{07C271C2-0B32-41F4-849F-2175484E5BAC}"/>
    <hyperlink ref="M25" location="Alpha!$K$25" display="Alpha!$K$25" xr:uid="{FA94BD32-327A-475D-9A36-C9D92AF6F15C}"/>
    <hyperlink ref="M26" location="Alpha!$K$26" display="Alpha!$K$26" xr:uid="{394EF4CB-CB8C-4E57-B5C8-24E4290A9029}"/>
    <hyperlink ref="M27" location="Alpha!$K$27" display="Alpha!$K$27" xr:uid="{5D4233EC-B5EA-4F2A-B6B3-2FDE440442A3}"/>
    <hyperlink ref="M28" location="Alpha!$K$28" display="Alpha!$K$28" xr:uid="{5110F36A-3162-48F8-AC87-C74B80294EFF}"/>
    <hyperlink ref="M29" location="Alpha!$K$29" display="Alpha!$K$29" xr:uid="{14DAE6C5-C7C0-48A0-95D2-58BCEBB08E35}"/>
    <hyperlink ref="M30" location="Alpha!$K$30" display="Alpha!$K$30" xr:uid="{069F7238-782A-481D-A055-4D8ACB638A4E}"/>
    <hyperlink ref="M31" location="Alpha!$K$31" display="Alpha!$K$31" xr:uid="{9AF15D44-DD1A-4485-8297-B120F212AA42}"/>
    <hyperlink ref="M32" location="Alpha!$K$32" display="Alpha!$K$32" xr:uid="{7F822EBF-1572-4EBB-85D6-C2DF6CE0F8E9}"/>
    <hyperlink ref="M33" location="Alpha!$K$33" display="Alpha!$K$33" xr:uid="{79BDD2BF-67B6-448D-86B6-FE6E9FF61C28}"/>
    <hyperlink ref="M34" location="Alpha!$K$34" display="Alpha!$K$34" xr:uid="{B8B2872A-6D0F-4CCB-A3D0-2A9E7CBCE891}"/>
    <hyperlink ref="M35" location="Alpha!$K$35" display="Alpha!$K$35" xr:uid="{2A826040-04CC-4B8A-AB17-D577313E1511}"/>
    <hyperlink ref="M36" location="Alpha!$K$36" display="Alpha!$K$36" xr:uid="{BD34761D-602F-453A-B700-DC733F4B9206}"/>
    <hyperlink ref="M37" location="Alpha!$K$37" display="Alpha!$K$37" xr:uid="{36FCB0A2-C37D-494C-9D4F-01EC3B174AD4}"/>
    <hyperlink ref="M38" location="Alpha!$K$38" display="Alpha!$K$38" xr:uid="{5F27CBED-9FCE-432A-8D3D-D95A4333F710}"/>
    <hyperlink ref="M39" location="Alpha!$K$39" display="Alpha!$K$39" xr:uid="{431B34C3-9E85-40EC-96AB-A544795F4E20}"/>
    <hyperlink ref="M40" location="Alpha!$K$40" display="Alpha!$K$40" xr:uid="{D9F07716-5A11-4850-ACAA-417C9B45DC89}"/>
    <hyperlink ref="M41" location="Alpha!$K$41" display="Alpha!$K$41" xr:uid="{D047A40A-C286-467E-B86F-F34922A0A9CB}"/>
    <hyperlink ref="M42" location="Alpha!$K$42" display="Alpha!$K$42" xr:uid="{5CF68927-FB8B-437F-90C4-1784B3810B8E}"/>
    <hyperlink ref="M43" location="Alpha!$K$43" display="Alpha!$K$43" xr:uid="{A140756D-2925-490D-8A6C-3C0B0C63FA22}"/>
    <hyperlink ref="M44" location="Alpha!$K$44" display="Alpha!$K$44" xr:uid="{73E6C5C4-052A-492A-990F-5802014707D6}"/>
  </hyperlinks>
  <pageMargins left="0.7" right="0.7" top="0.75" bottom="0.75" header="0.3" footer="0.3"/>
  <pageSetup orientation="portrait" r:id="rId1"/>
  <ignoredErrors>
    <ignoredError sqref="I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8" operator="containsText" id="{47B331B0-66DF-4CE6-90A2-23727BBC4D00}">
            <xm:f>NOT(ISERROR(SEARCH("Unprinted",D7)))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67" operator="notContains" id="{1A800C8D-F40F-4DB0-9787-E4951A6DFA99}">
            <xm:f>ISERROR(SEARCH("None",F7))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theme="0" tint="-0.499984740745262"/>
  </sheetPr>
  <dimension ref="B1:Q206"/>
  <sheetViews>
    <sheetView workbookViewId="0">
      <selection activeCell="B7" sqref="B7"/>
    </sheetView>
  </sheetViews>
  <sheetFormatPr defaultColWidth="9.21875" defaultRowHeight="14.4" x14ac:dyDescent="0.3"/>
  <cols>
    <col min="2" max="4" width="9.21875" style="729" customWidth="1"/>
    <col min="5" max="5" width="13.5546875" style="757" bestFit="1" customWidth="1"/>
    <col min="6" max="6" width="9.109375" style="738" bestFit="1" customWidth="1"/>
    <col min="7" max="7" width="9.6640625" style="735" bestFit="1" customWidth="1"/>
    <col min="8" max="8" width="13.5546875" style="738" bestFit="1" customWidth="1"/>
    <col min="9" max="9" width="9.6640625" style="738" bestFit="1" customWidth="1"/>
    <col min="10" max="10" width="11.33203125" style="729" bestFit="1" customWidth="1"/>
    <col min="11" max="12" width="9.21875" style="729" customWidth="1"/>
    <col min="13" max="17" width="9.21875" style="729"/>
  </cols>
  <sheetData>
    <row r="1" spans="2:17" x14ac:dyDescent="0.3">
      <c r="B1" s="736"/>
      <c r="C1" s="736"/>
      <c r="D1" s="736"/>
      <c r="E1" s="736"/>
      <c r="F1" s="736"/>
      <c r="G1" s="736"/>
      <c r="H1" s="736"/>
      <c r="I1" s="736"/>
    </row>
    <row r="2" spans="2:17" ht="15" customHeight="1" x14ac:dyDescent="0.3">
      <c r="B2" s="841" t="s">
        <v>534</v>
      </c>
      <c r="C2" s="841"/>
      <c r="D2" s="841"/>
      <c r="E2" s="841"/>
      <c r="F2" s="742"/>
      <c r="G2" s="746" t="s">
        <v>540</v>
      </c>
      <c r="H2" s="747">
        <f>Formulas!C543</f>
        <v>0</v>
      </c>
      <c r="J2" s="842" t="s">
        <v>543</v>
      </c>
      <c r="K2" s="843">
        <f>Formulas!C572</f>
        <v>0</v>
      </c>
      <c r="L2" s="743"/>
      <c r="O2" s="743"/>
      <c r="P2" s="743"/>
      <c r="Q2" s="743"/>
    </row>
    <row r="3" spans="2:17" ht="15" customHeight="1" x14ac:dyDescent="0.3">
      <c r="B3" s="841"/>
      <c r="C3" s="841"/>
      <c r="D3" s="841"/>
      <c r="E3" s="841"/>
      <c r="F3" s="742"/>
      <c r="G3" s="746" t="s">
        <v>541</v>
      </c>
      <c r="H3" s="748">
        <f>Formulas!C570</f>
        <v>0</v>
      </c>
      <c r="J3" s="842"/>
      <c r="K3" s="844"/>
      <c r="L3" s="743"/>
      <c r="O3" s="743"/>
      <c r="P3" s="743"/>
      <c r="Q3" s="743"/>
    </row>
    <row r="4" spans="2:17" ht="15" customHeight="1" x14ac:dyDescent="0.3">
      <c r="B4" s="752"/>
      <c r="C4" s="752"/>
      <c r="D4" s="752"/>
      <c r="E4" s="737"/>
      <c r="F4" s="737"/>
      <c r="G4" s="737"/>
      <c r="H4" s="736"/>
      <c r="I4" s="736"/>
    </row>
    <row r="5" spans="2:17" x14ac:dyDescent="0.3">
      <c r="B5" s="853" t="s">
        <v>465</v>
      </c>
      <c r="C5" s="853" t="s">
        <v>268</v>
      </c>
      <c r="D5" s="853" t="s">
        <v>4</v>
      </c>
      <c r="E5" s="855" t="s">
        <v>535</v>
      </c>
      <c r="F5" s="851" t="s">
        <v>538</v>
      </c>
      <c r="G5" s="852"/>
      <c r="H5" s="851" t="s">
        <v>536</v>
      </c>
      <c r="I5" s="852"/>
      <c r="J5" s="845" t="s">
        <v>539</v>
      </c>
      <c r="K5" s="846"/>
      <c r="L5" s="846"/>
      <c r="M5" s="846"/>
      <c r="N5" s="846"/>
      <c r="O5" s="846"/>
      <c r="P5" s="846"/>
      <c r="Q5" s="847"/>
    </row>
    <row r="6" spans="2:17" x14ac:dyDescent="0.3">
      <c r="B6" s="854"/>
      <c r="C6" s="854"/>
      <c r="D6" s="854"/>
      <c r="E6" s="856"/>
      <c r="F6" s="739" t="s">
        <v>267</v>
      </c>
      <c r="G6" s="740" t="s">
        <v>240</v>
      </c>
      <c r="H6" s="739" t="s">
        <v>535</v>
      </c>
      <c r="I6" s="740" t="s">
        <v>537</v>
      </c>
      <c r="J6" s="848"/>
      <c r="K6" s="849"/>
      <c r="L6" s="849"/>
      <c r="M6" s="849"/>
      <c r="N6" s="849"/>
      <c r="O6" s="849"/>
      <c r="P6" s="849"/>
      <c r="Q6" s="850"/>
    </row>
    <row r="7" spans="2:17" s="729" customFormat="1" x14ac:dyDescent="0.3">
      <c r="B7" s="749"/>
      <c r="C7" s="750"/>
      <c r="D7" s="750"/>
      <c r="E7" s="750"/>
      <c r="F7" s="750"/>
      <c r="G7" s="750"/>
      <c r="H7" s="750"/>
      <c r="I7" s="750"/>
      <c r="J7" s="750"/>
      <c r="K7" s="750"/>
      <c r="L7" s="750"/>
      <c r="M7" s="750"/>
      <c r="N7" s="750"/>
      <c r="O7" s="750"/>
      <c r="P7" s="750"/>
      <c r="Q7" s="751"/>
    </row>
    <row r="8" spans="2:17" s="729" customFormat="1" x14ac:dyDescent="0.3">
      <c r="B8" s="741"/>
      <c r="C8" s="741"/>
      <c r="D8" s="741"/>
      <c r="E8" s="741"/>
      <c r="F8" s="741"/>
      <c r="G8" s="741"/>
      <c r="H8" s="741"/>
      <c r="I8" s="741"/>
      <c r="J8" s="741"/>
      <c r="K8" s="741"/>
      <c r="L8" s="741"/>
      <c r="M8" s="741"/>
      <c r="N8" s="741"/>
      <c r="O8" s="741"/>
      <c r="P8" s="741"/>
      <c r="Q8" s="741"/>
    </row>
    <row r="9" spans="2:17" s="729" customFormat="1" x14ac:dyDescent="0.3">
      <c r="B9" s="741"/>
      <c r="C9" s="741"/>
      <c r="D9" s="741"/>
      <c r="E9" s="741"/>
      <c r="F9" s="741"/>
      <c r="G9" s="741"/>
      <c r="H9" s="741"/>
      <c r="I9" s="741"/>
      <c r="J9" s="741"/>
      <c r="K9" s="741"/>
      <c r="L9" s="741"/>
      <c r="M9" s="741"/>
      <c r="N9" s="741"/>
      <c r="O9" s="741"/>
      <c r="P9" s="741"/>
      <c r="Q9" s="741"/>
    </row>
    <row r="10" spans="2:17" s="729" customFormat="1" x14ac:dyDescent="0.3">
      <c r="B10" s="741"/>
      <c r="C10" s="741"/>
      <c r="D10" s="741"/>
      <c r="E10" s="741"/>
      <c r="F10" s="741"/>
      <c r="G10" s="741"/>
      <c r="H10" s="741"/>
      <c r="I10" s="741"/>
      <c r="J10" s="741"/>
      <c r="K10" s="741"/>
      <c r="L10" s="741"/>
      <c r="M10" s="741"/>
      <c r="N10" s="741"/>
      <c r="O10" s="741"/>
      <c r="P10" s="741"/>
      <c r="Q10" s="741"/>
    </row>
    <row r="11" spans="2:17" x14ac:dyDescent="0.3">
      <c r="B11" s="741"/>
      <c r="C11" s="741"/>
      <c r="D11" s="741"/>
      <c r="E11" s="741"/>
      <c r="F11" s="741"/>
      <c r="G11" s="741"/>
      <c r="H11" s="741"/>
      <c r="I11" s="741"/>
      <c r="J11" s="741"/>
      <c r="K11" s="741"/>
      <c r="L11" s="741"/>
      <c r="M11" s="741"/>
      <c r="N11" s="741"/>
      <c r="O11" s="741"/>
      <c r="P11" s="741"/>
      <c r="Q11" s="741"/>
    </row>
    <row r="12" spans="2:17" x14ac:dyDescent="0.3"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41"/>
      <c r="O12" s="741"/>
      <c r="P12" s="741"/>
      <c r="Q12" s="741"/>
    </row>
    <row r="13" spans="2:17" x14ac:dyDescent="0.3"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41"/>
      <c r="O13" s="741"/>
      <c r="P13" s="741"/>
      <c r="Q13" s="741"/>
    </row>
    <row r="14" spans="2:17" x14ac:dyDescent="0.3"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41"/>
      <c r="O14" s="741"/>
      <c r="P14" s="741"/>
      <c r="Q14" s="741"/>
    </row>
    <row r="15" spans="2:17" x14ac:dyDescent="0.3">
      <c r="B15" s="741"/>
      <c r="C15" s="741"/>
      <c r="D15" s="741"/>
      <c r="E15" s="741"/>
      <c r="F15" s="741"/>
      <c r="G15" s="741"/>
      <c r="H15" s="741"/>
      <c r="I15" s="741"/>
      <c r="J15" s="741"/>
      <c r="K15" s="741"/>
      <c r="L15" s="741"/>
      <c r="M15" s="741"/>
      <c r="N15" s="741"/>
      <c r="O15" s="741"/>
      <c r="P15" s="741"/>
      <c r="Q15" s="741"/>
    </row>
    <row r="16" spans="2:17" x14ac:dyDescent="0.3">
      <c r="B16" s="741"/>
      <c r="C16" s="741"/>
      <c r="D16" s="741"/>
      <c r="E16" s="741"/>
      <c r="F16" s="741"/>
      <c r="G16" s="741"/>
      <c r="H16" s="741"/>
      <c r="I16" s="741"/>
      <c r="J16" s="741"/>
      <c r="K16" s="741"/>
      <c r="L16" s="741"/>
      <c r="M16" s="741"/>
      <c r="N16" s="741"/>
      <c r="O16" s="741"/>
      <c r="P16" s="741"/>
      <c r="Q16" s="741"/>
    </row>
    <row r="17" spans="2:17" x14ac:dyDescent="0.3">
      <c r="B17" s="741"/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</row>
    <row r="18" spans="2:17" x14ac:dyDescent="0.3">
      <c r="B18" s="741"/>
      <c r="C18" s="741"/>
      <c r="D18" s="741"/>
      <c r="E18" s="741"/>
      <c r="F18" s="741"/>
      <c r="G18" s="741"/>
      <c r="H18" s="741"/>
      <c r="I18" s="741"/>
      <c r="J18" s="741"/>
      <c r="K18" s="741"/>
      <c r="L18" s="741"/>
      <c r="M18" s="741"/>
      <c r="N18" s="741"/>
      <c r="O18" s="741"/>
      <c r="P18" s="741"/>
      <c r="Q18" s="741"/>
    </row>
    <row r="19" spans="2:17" x14ac:dyDescent="0.3">
      <c r="B19" s="741"/>
      <c r="C19" s="741"/>
      <c r="D19" s="741"/>
      <c r="E19" s="741"/>
      <c r="F19" s="741"/>
      <c r="G19" s="741"/>
      <c r="H19" s="741"/>
      <c r="I19" s="741"/>
      <c r="J19" s="741"/>
      <c r="K19" s="741"/>
      <c r="L19" s="741"/>
      <c r="M19" s="741"/>
      <c r="N19" s="741"/>
      <c r="O19" s="741"/>
      <c r="P19" s="741"/>
      <c r="Q19" s="741"/>
    </row>
    <row r="20" spans="2:17" x14ac:dyDescent="0.3">
      <c r="B20" s="741"/>
      <c r="C20" s="741"/>
      <c r="D20" s="741"/>
      <c r="E20" s="741"/>
      <c r="F20" s="741"/>
      <c r="G20" s="741"/>
      <c r="H20" s="741"/>
      <c r="I20" s="741"/>
      <c r="J20" s="741"/>
      <c r="K20" s="741"/>
      <c r="L20" s="741"/>
      <c r="M20" s="741"/>
      <c r="N20" s="741"/>
      <c r="O20" s="741"/>
      <c r="P20" s="741"/>
      <c r="Q20" s="741"/>
    </row>
    <row r="21" spans="2:17" x14ac:dyDescent="0.3">
      <c r="B21" s="741"/>
      <c r="C21" s="741"/>
      <c r="D21" s="741"/>
      <c r="E21" s="741"/>
      <c r="F21" s="741"/>
      <c r="G21" s="741"/>
      <c r="H21" s="741"/>
      <c r="I21" s="741"/>
      <c r="J21" s="741"/>
      <c r="K21" s="741"/>
      <c r="L21" s="741"/>
      <c r="M21" s="741"/>
      <c r="N21" s="741"/>
      <c r="O21" s="741"/>
      <c r="P21" s="741"/>
      <c r="Q21" s="741"/>
    </row>
    <row r="22" spans="2:17" x14ac:dyDescent="0.3">
      <c r="B22" s="741"/>
      <c r="C22" s="741"/>
      <c r="D22" s="741"/>
      <c r="E22" s="741"/>
      <c r="F22" s="741"/>
      <c r="G22" s="741"/>
      <c r="H22" s="741"/>
      <c r="I22" s="741"/>
      <c r="J22" s="741"/>
      <c r="K22" s="741"/>
      <c r="L22" s="741"/>
      <c r="M22" s="741"/>
      <c r="N22" s="741"/>
      <c r="O22" s="741"/>
      <c r="P22" s="741"/>
      <c r="Q22" s="741"/>
    </row>
    <row r="23" spans="2:17" x14ac:dyDescent="0.3">
      <c r="B23" s="741"/>
      <c r="C23" s="741"/>
      <c r="D23" s="741"/>
      <c r="E23" s="741"/>
      <c r="F23" s="741"/>
      <c r="G23" s="741"/>
      <c r="H23" s="741"/>
      <c r="I23" s="741"/>
      <c r="J23" s="741"/>
      <c r="K23" s="741"/>
      <c r="L23" s="741"/>
      <c r="M23" s="741"/>
      <c r="N23" s="741"/>
      <c r="O23" s="741"/>
      <c r="P23" s="741"/>
      <c r="Q23" s="741"/>
    </row>
    <row r="24" spans="2:17" x14ac:dyDescent="0.3">
      <c r="B24" s="741"/>
      <c r="C24" s="741"/>
      <c r="D24" s="741"/>
      <c r="E24" s="741"/>
      <c r="F24" s="741"/>
      <c r="G24" s="741"/>
      <c r="H24" s="741"/>
      <c r="I24" s="741"/>
      <c r="J24" s="741"/>
      <c r="K24" s="741"/>
      <c r="L24" s="741"/>
      <c r="M24" s="741"/>
      <c r="N24" s="741"/>
      <c r="O24" s="741"/>
      <c r="P24" s="741"/>
      <c r="Q24" s="741"/>
    </row>
    <row r="25" spans="2:17" x14ac:dyDescent="0.3">
      <c r="B25" s="741"/>
      <c r="C25" s="741"/>
      <c r="D25" s="741"/>
      <c r="E25" s="741"/>
      <c r="F25" s="741"/>
      <c r="G25" s="741"/>
      <c r="H25" s="741"/>
      <c r="I25" s="741"/>
      <c r="J25" s="741"/>
      <c r="K25" s="741"/>
      <c r="L25" s="741"/>
      <c r="M25" s="741"/>
      <c r="N25" s="741"/>
      <c r="O25" s="741"/>
      <c r="P25" s="741"/>
      <c r="Q25" s="741"/>
    </row>
    <row r="26" spans="2:17" x14ac:dyDescent="0.3">
      <c r="B26" s="741"/>
      <c r="C26" s="741"/>
      <c r="D26" s="741"/>
      <c r="E26" s="741"/>
      <c r="F26" s="741"/>
      <c r="G26" s="741"/>
      <c r="H26" s="741"/>
      <c r="I26" s="741"/>
      <c r="J26" s="741"/>
      <c r="K26" s="741"/>
      <c r="L26" s="741"/>
      <c r="M26" s="741"/>
      <c r="N26" s="741"/>
      <c r="O26" s="741"/>
      <c r="P26" s="741"/>
      <c r="Q26" s="741"/>
    </row>
    <row r="27" spans="2:17" x14ac:dyDescent="0.3">
      <c r="B27" s="741"/>
      <c r="C27" s="741"/>
      <c r="D27" s="741"/>
      <c r="E27" s="741"/>
      <c r="F27" s="741"/>
      <c r="G27" s="741"/>
      <c r="H27" s="741"/>
      <c r="I27" s="741"/>
      <c r="J27" s="741"/>
      <c r="K27" s="741"/>
      <c r="L27" s="741"/>
      <c r="M27" s="741"/>
      <c r="N27" s="741"/>
      <c r="O27" s="741"/>
      <c r="P27" s="741"/>
      <c r="Q27" s="741"/>
    </row>
    <row r="28" spans="2:17" x14ac:dyDescent="0.3">
      <c r="B28" s="741"/>
      <c r="C28" s="741"/>
      <c r="D28" s="741"/>
      <c r="E28" s="741"/>
      <c r="F28" s="741"/>
      <c r="G28" s="741"/>
      <c r="H28" s="741"/>
      <c r="I28" s="741"/>
      <c r="J28" s="741"/>
      <c r="K28" s="741"/>
      <c r="L28" s="741"/>
      <c r="M28" s="741"/>
      <c r="N28" s="741"/>
      <c r="O28" s="741"/>
      <c r="P28" s="741"/>
      <c r="Q28" s="741"/>
    </row>
    <row r="29" spans="2:17" x14ac:dyDescent="0.3">
      <c r="B29" s="741"/>
      <c r="C29" s="741"/>
      <c r="D29" s="741"/>
      <c r="E29" s="741"/>
      <c r="F29" s="741"/>
      <c r="G29" s="741"/>
      <c r="H29" s="741"/>
      <c r="I29" s="741"/>
      <c r="J29" s="741"/>
      <c r="K29" s="741"/>
      <c r="L29" s="741"/>
      <c r="M29" s="741"/>
      <c r="N29" s="741"/>
      <c r="O29" s="741"/>
      <c r="P29" s="741"/>
      <c r="Q29" s="741"/>
    </row>
    <row r="30" spans="2:17" x14ac:dyDescent="0.3">
      <c r="B30" s="741"/>
      <c r="C30" s="741"/>
      <c r="D30" s="741"/>
      <c r="E30" s="741"/>
      <c r="F30" s="741"/>
      <c r="G30" s="741"/>
      <c r="H30" s="741"/>
      <c r="I30" s="741"/>
      <c r="J30" s="741"/>
      <c r="K30" s="741"/>
      <c r="L30" s="741"/>
      <c r="M30" s="741"/>
      <c r="N30" s="741"/>
      <c r="O30" s="741"/>
      <c r="P30" s="741"/>
      <c r="Q30" s="741"/>
    </row>
    <row r="31" spans="2:17" x14ac:dyDescent="0.3">
      <c r="B31" s="741"/>
      <c r="C31" s="741"/>
      <c r="D31" s="741"/>
      <c r="E31" s="741"/>
      <c r="F31" s="741"/>
      <c r="G31" s="741"/>
      <c r="H31" s="741"/>
      <c r="I31" s="741"/>
      <c r="J31" s="741"/>
      <c r="K31" s="741"/>
      <c r="L31" s="741"/>
      <c r="M31" s="741"/>
      <c r="N31" s="741"/>
      <c r="O31" s="741"/>
      <c r="P31" s="741"/>
      <c r="Q31" s="741"/>
    </row>
    <row r="32" spans="2:17" x14ac:dyDescent="0.3">
      <c r="B32" s="741"/>
      <c r="C32" s="741"/>
      <c r="D32" s="741"/>
      <c r="E32" s="741"/>
      <c r="F32" s="741"/>
      <c r="G32" s="741"/>
      <c r="H32" s="741"/>
      <c r="I32" s="741"/>
      <c r="J32" s="741"/>
      <c r="K32" s="741"/>
      <c r="L32" s="741"/>
      <c r="M32" s="741"/>
      <c r="N32" s="741"/>
      <c r="O32" s="741"/>
      <c r="P32" s="741"/>
      <c r="Q32" s="741"/>
    </row>
    <row r="33" spans="2:17" x14ac:dyDescent="0.3">
      <c r="B33" s="741"/>
      <c r="C33" s="741"/>
      <c r="D33" s="741"/>
      <c r="E33" s="741"/>
      <c r="F33" s="741"/>
      <c r="G33" s="741"/>
      <c r="H33" s="741"/>
      <c r="I33" s="741"/>
      <c r="J33" s="741"/>
      <c r="K33" s="741"/>
      <c r="L33" s="741"/>
      <c r="M33" s="741"/>
      <c r="N33" s="741"/>
      <c r="O33" s="741"/>
      <c r="P33" s="741"/>
      <c r="Q33" s="741"/>
    </row>
    <row r="34" spans="2:17" x14ac:dyDescent="0.3">
      <c r="B34" s="741"/>
      <c r="C34" s="741"/>
      <c r="D34" s="741"/>
      <c r="E34" s="741"/>
      <c r="F34" s="741"/>
      <c r="G34" s="741"/>
      <c r="H34" s="741"/>
      <c r="I34" s="741"/>
      <c r="J34" s="741"/>
      <c r="K34" s="741"/>
      <c r="L34" s="741"/>
      <c r="M34" s="741"/>
      <c r="N34" s="741"/>
      <c r="O34" s="741"/>
      <c r="P34" s="741"/>
      <c r="Q34" s="741"/>
    </row>
    <row r="35" spans="2:17" x14ac:dyDescent="0.3">
      <c r="B35" s="741"/>
      <c r="C35" s="741"/>
      <c r="D35" s="741"/>
      <c r="E35" s="741"/>
      <c r="F35" s="741"/>
      <c r="G35" s="741"/>
      <c r="H35" s="741"/>
      <c r="I35" s="741"/>
      <c r="J35" s="741"/>
      <c r="K35" s="741"/>
      <c r="L35" s="741"/>
      <c r="M35" s="741"/>
      <c r="N35" s="741"/>
      <c r="O35" s="741"/>
      <c r="P35" s="741"/>
      <c r="Q35" s="741"/>
    </row>
    <row r="36" spans="2:17" x14ac:dyDescent="0.3">
      <c r="B36" s="741"/>
      <c r="C36" s="741"/>
      <c r="D36" s="741"/>
      <c r="E36" s="741"/>
      <c r="F36" s="741"/>
      <c r="G36" s="741"/>
      <c r="H36" s="741"/>
      <c r="I36" s="741"/>
      <c r="J36" s="741"/>
      <c r="K36" s="741"/>
      <c r="L36" s="741"/>
      <c r="M36" s="741"/>
      <c r="N36" s="741"/>
      <c r="O36" s="741"/>
      <c r="P36" s="741"/>
      <c r="Q36" s="741"/>
    </row>
    <row r="37" spans="2:17" x14ac:dyDescent="0.3">
      <c r="B37" s="741"/>
      <c r="C37" s="741"/>
      <c r="D37" s="741"/>
      <c r="E37" s="741"/>
      <c r="F37" s="741"/>
      <c r="G37" s="741"/>
      <c r="H37" s="741"/>
      <c r="I37" s="741"/>
      <c r="J37" s="741"/>
      <c r="K37" s="741"/>
      <c r="L37" s="741"/>
      <c r="M37" s="741"/>
      <c r="N37" s="741"/>
      <c r="O37" s="741"/>
      <c r="P37" s="741"/>
      <c r="Q37" s="741"/>
    </row>
    <row r="38" spans="2:17" x14ac:dyDescent="0.3">
      <c r="B38" s="741"/>
      <c r="C38" s="741"/>
      <c r="D38" s="741"/>
      <c r="E38" s="741"/>
      <c r="F38" s="741"/>
      <c r="G38" s="741"/>
      <c r="H38" s="741"/>
      <c r="I38" s="741"/>
      <c r="J38" s="741"/>
      <c r="K38" s="741"/>
      <c r="L38" s="741"/>
      <c r="M38" s="741"/>
      <c r="N38" s="741"/>
      <c r="O38" s="741"/>
      <c r="P38" s="741"/>
      <c r="Q38" s="741"/>
    </row>
    <row r="39" spans="2:17" x14ac:dyDescent="0.3">
      <c r="B39" s="741"/>
      <c r="C39" s="741"/>
      <c r="D39" s="741"/>
      <c r="E39" s="741"/>
      <c r="F39" s="741"/>
      <c r="G39" s="741"/>
      <c r="H39" s="741"/>
      <c r="I39" s="741"/>
      <c r="J39" s="741"/>
      <c r="K39" s="741"/>
      <c r="L39" s="741"/>
      <c r="M39" s="741"/>
      <c r="N39" s="741"/>
      <c r="O39" s="741"/>
      <c r="P39" s="741"/>
      <c r="Q39" s="741"/>
    </row>
    <row r="40" spans="2:17" x14ac:dyDescent="0.3">
      <c r="B40" s="741"/>
      <c r="C40" s="741"/>
      <c r="D40" s="741"/>
      <c r="E40" s="741"/>
      <c r="F40" s="741"/>
      <c r="G40" s="741"/>
      <c r="H40" s="741"/>
      <c r="I40" s="741"/>
      <c r="J40" s="741"/>
      <c r="K40" s="741"/>
      <c r="L40" s="741"/>
      <c r="M40" s="741"/>
      <c r="N40" s="741"/>
      <c r="O40" s="741"/>
      <c r="P40" s="741"/>
      <c r="Q40" s="741"/>
    </row>
    <row r="41" spans="2:17" x14ac:dyDescent="0.3">
      <c r="B41" s="741"/>
      <c r="C41" s="741"/>
      <c r="D41" s="741"/>
      <c r="E41" s="741"/>
      <c r="F41" s="741"/>
      <c r="G41" s="741"/>
      <c r="H41" s="741"/>
      <c r="I41" s="741"/>
      <c r="J41" s="741"/>
      <c r="K41" s="741"/>
      <c r="L41" s="741"/>
      <c r="M41" s="741"/>
      <c r="N41" s="741"/>
      <c r="O41" s="741"/>
      <c r="P41" s="741"/>
      <c r="Q41" s="741"/>
    </row>
    <row r="42" spans="2:17" x14ac:dyDescent="0.3">
      <c r="B42" s="741"/>
      <c r="C42" s="741"/>
      <c r="D42" s="741"/>
      <c r="E42" s="741"/>
      <c r="F42" s="741"/>
      <c r="G42" s="741"/>
      <c r="H42" s="741"/>
      <c r="I42" s="741"/>
      <c r="J42" s="741"/>
      <c r="K42" s="741"/>
      <c r="L42" s="741"/>
      <c r="M42" s="741"/>
      <c r="N42" s="741"/>
      <c r="O42" s="741"/>
      <c r="P42" s="741"/>
      <c r="Q42" s="741"/>
    </row>
    <row r="43" spans="2:17" x14ac:dyDescent="0.3">
      <c r="B43" s="741"/>
      <c r="C43" s="741"/>
      <c r="D43" s="741"/>
      <c r="E43" s="741"/>
      <c r="F43" s="741"/>
      <c r="G43" s="741"/>
      <c r="H43" s="741"/>
      <c r="I43" s="741"/>
      <c r="J43" s="741"/>
      <c r="K43" s="741"/>
      <c r="L43" s="741"/>
      <c r="M43" s="741"/>
      <c r="N43" s="741"/>
      <c r="O43" s="741"/>
      <c r="P43" s="741"/>
      <c r="Q43" s="741"/>
    </row>
    <row r="44" spans="2:17" x14ac:dyDescent="0.3">
      <c r="B44" s="741"/>
      <c r="C44" s="741"/>
      <c r="D44" s="741"/>
      <c r="E44" s="741"/>
      <c r="F44" s="741"/>
      <c r="G44" s="741"/>
      <c r="H44" s="741"/>
      <c r="I44" s="741"/>
      <c r="J44" s="741"/>
      <c r="K44" s="741"/>
      <c r="L44" s="741"/>
      <c r="M44" s="741"/>
      <c r="N44" s="741"/>
      <c r="O44" s="741"/>
      <c r="P44" s="741"/>
      <c r="Q44" s="741"/>
    </row>
    <row r="45" spans="2:17" x14ac:dyDescent="0.3">
      <c r="B45" s="741"/>
      <c r="C45" s="741"/>
      <c r="D45" s="741"/>
      <c r="E45" s="741"/>
      <c r="F45" s="741"/>
      <c r="G45" s="741"/>
      <c r="H45" s="741"/>
      <c r="I45" s="741"/>
      <c r="J45" s="741"/>
      <c r="K45" s="741"/>
      <c r="L45" s="741"/>
      <c r="M45" s="741"/>
      <c r="N45" s="741"/>
      <c r="O45" s="741"/>
      <c r="P45" s="741"/>
      <c r="Q45" s="741"/>
    </row>
    <row r="46" spans="2:17" x14ac:dyDescent="0.3">
      <c r="B46" s="741"/>
      <c r="C46" s="741"/>
      <c r="D46" s="741"/>
      <c r="E46" s="741"/>
      <c r="F46" s="741"/>
      <c r="G46" s="741"/>
      <c r="H46" s="741"/>
      <c r="I46" s="741"/>
      <c r="J46" s="741"/>
      <c r="K46" s="741"/>
      <c r="L46" s="741"/>
      <c r="M46" s="741"/>
      <c r="N46" s="741"/>
      <c r="O46" s="741"/>
      <c r="P46" s="741"/>
      <c r="Q46" s="741"/>
    </row>
    <row r="47" spans="2:17" x14ac:dyDescent="0.3">
      <c r="B47" s="741"/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  <c r="O47" s="741"/>
      <c r="P47" s="741"/>
      <c r="Q47" s="741"/>
    </row>
    <row r="48" spans="2:17" x14ac:dyDescent="0.3">
      <c r="B48" s="741"/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  <c r="O48" s="741"/>
      <c r="P48" s="741"/>
      <c r="Q48" s="741"/>
    </row>
    <row r="49" spans="2:17" x14ac:dyDescent="0.3">
      <c r="B49" s="741"/>
      <c r="C49" s="741"/>
      <c r="D49" s="741"/>
      <c r="E49" s="741"/>
      <c r="F49" s="741"/>
      <c r="G49" s="741"/>
      <c r="H49" s="741"/>
      <c r="I49" s="741"/>
      <c r="J49" s="741"/>
      <c r="K49" s="741"/>
      <c r="L49" s="741"/>
      <c r="M49" s="741"/>
      <c r="N49" s="741"/>
      <c r="O49" s="741"/>
      <c r="P49" s="741"/>
      <c r="Q49" s="741"/>
    </row>
    <row r="50" spans="2:17" x14ac:dyDescent="0.3">
      <c r="B50" s="741"/>
      <c r="C50" s="741"/>
      <c r="D50" s="741"/>
      <c r="E50" s="741"/>
      <c r="F50" s="741"/>
      <c r="G50" s="741"/>
      <c r="H50" s="741"/>
      <c r="I50" s="741"/>
      <c r="J50" s="741"/>
      <c r="K50" s="741"/>
      <c r="L50" s="741"/>
      <c r="M50" s="741"/>
      <c r="N50" s="741"/>
      <c r="O50" s="741"/>
      <c r="P50" s="741"/>
      <c r="Q50" s="741"/>
    </row>
    <row r="51" spans="2:17" x14ac:dyDescent="0.3">
      <c r="B51" s="741"/>
      <c r="C51" s="741"/>
      <c r="D51" s="741"/>
      <c r="E51" s="741"/>
      <c r="F51" s="741"/>
      <c r="G51" s="741"/>
      <c r="H51" s="741"/>
      <c r="I51" s="741"/>
      <c r="J51" s="741"/>
      <c r="K51" s="741"/>
      <c r="L51" s="741"/>
      <c r="M51" s="741"/>
      <c r="N51" s="741"/>
      <c r="O51" s="741"/>
      <c r="P51" s="741"/>
      <c r="Q51" s="741"/>
    </row>
    <row r="52" spans="2:17" x14ac:dyDescent="0.3">
      <c r="B52" s="741"/>
      <c r="C52" s="741"/>
      <c r="D52" s="741"/>
      <c r="E52" s="741"/>
      <c r="F52" s="741"/>
      <c r="G52" s="741"/>
      <c r="H52" s="741"/>
      <c r="I52" s="741"/>
      <c r="J52" s="741"/>
      <c r="K52" s="741"/>
      <c r="L52" s="741"/>
      <c r="M52" s="741"/>
      <c r="N52" s="741"/>
      <c r="O52" s="741"/>
      <c r="P52" s="741"/>
      <c r="Q52" s="741"/>
    </row>
    <row r="53" spans="2:17" x14ac:dyDescent="0.3">
      <c r="B53" s="741"/>
      <c r="C53" s="741"/>
      <c r="D53" s="741"/>
      <c r="E53" s="741"/>
      <c r="F53" s="741"/>
      <c r="G53" s="741"/>
      <c r="H53" s="741"/>
      <c r="I53" s="741"/>
      <c r="J53" s="741"/>
      <c r="K53" s="741"/>
      <c r="L53" s="741"/>
      <c r="M53" s="741"/>
      <c r="N53" s="741"/>
      <c r="O53" s="741"/>
      <c r="P53" s="741"/>
      <c r="Q53" s="741"/>
    </row>
    <row r="54" spans="2:17" x14ac:dyDescent="0.3">
      <c r="B54" s="741"/>
      <c r="C54" s="741"/>
      <c r="D54" s="741"/>
      <c r="E54" s="741"/>
      <c r="F54" s="741"/>
      <c r="G54" s="741"/>
      <c r="H54" s="741"/>
      <c r="I54" s="741"/>
      <c r="J54" s="741"/>
      <c r="K54" s="741"/>
      <c r="L54" s="741"/>
      <c r="M54" s="741"/>
      <c r="N54" s="741"/>
      <c r="O54" s="741"/>
      <c r="P54" s="741"/>
      <c r="Q54" s="741"/>
    </row>
    <row r="55" spans="2:17" x14ac:dyDescent="0.3">
      <c r="B55" s="741"/>
      <c r="C55" s="741"/>
      <c r="D55" s="741"/>
      <c r="E55" s="741"/>
      <c r="F55" s="741"/>
      <c r="G55" s="741"/>
      <c r="H55" s="741"/>
      <c r="I55" s="741"/>
      <c r="J55" s="741"/>
      <c r="K55" s="741"/>
      <c r="L55" s="741"/>
      <c r="M55" s="741"/>
      <c r="N55" s="741"/>
      <c r="O55" s="741"/>
      <c r="P55" s="741"/>
      <c r="Q55" s="741"/>
    </row>
    <row r="56" spans="2:17" x14ac:dyDescent="0.3">
      <c r="B56" s="741"/>
      <c r="C56" s="741"/>
      <c r="D56" s="741"/>
      <c r="E56" s="741"/>
      <c r="F56" s="741"/>
      <c r="G56" s="741"/>
      <c r="H56" s="741"/>
      <c r="I56" s="741"/>
      <c r="J56" s="741"/>
      <c r="K56" s="741"/>
      <c r="L56" s="741"/>
      <c r="M56" s="741"/>
      <c r="N56" s="741"/>
      <c r="O56" s="741"/>
      <c r="P56" s="741"/>
      <c r="Q56" s="741"/>
    </row>
    <row r="57" spans="2:17" x14ac:dyDescent="0.3">
      <c r="B57" s="741"/>
      <c r="C57" s="741"/>
      <c r="D57" s="741"/>
      <c r="E57" s="741"/>
      <c r="F57" s="741"/>
      <c r="G57" s="741"/>
      <c r="H57" s="741"/>
      <c r="I57" s="741"/>
      <c r="J57" s="741"/>
      <c r="K57" s="741"/>
      <c r="L57" s="741"/>
      <c r="M57" s="741"/>
      <c r="N57" s="741"/>
      <c r="O57" s="741"/>
      <c r="P57" s="741"/>
      <c r="Q57" s="741"/>
    </row>
    <row r="58" spans="2:17" x14ac:dyDescent="0.3">
      <c r="B58" s="741"/>
      <c r="C58" s="741"/>
      <c r="D58" s="741"/>
      <c r="E58" s="741"/>
      <c r="F58" s="741"/>
      <c r="G58" s="741"/>
      <c r="H58" s="741"/>
      <c r="I58" s="741"/>
      <c r="J58" s="741"/>
      <c r="K58" s="741"/>
      <c r="L58" s="741"/>
      <c r="M58" s="741"/>
      <c r="N58" s="741"/>
      <c r="O58" s="741"/>
      <c r="P58" s="741"/>
      <c r="Q58" s="741"/>
    </row>
    <row r="59" spans="2:17" x14ac:dyDescent="0.3">
      <c r="B59" s="741"/>
      <c r="C59" s="741"/>
      <c r="D59" s="741"/>
      <c r="E59" s="741"/>
      <c r="F59" s="741"/>
      <c r="G59" s="741"/>
      <c r="H59" s="741"/>
      <c r="I59" s="741"/>
      <c r="J59" s="741"/>
      <c r="K59" s="741"/>
      <c r="L59" s="741"/>
      <c r="M59" s="741"/>
      <c r="N59" s="741"/>
      <c r="O59" s="741"/>
      <c r="P59" s="741"/>
      <c r="Q59" s="741"/>
    </row>
    <row r="60" spans="2:17" x14ac:dyDescent="0.3">
      <c r="B60" s="741"/>
      <c r="C60" s="741"/>
      <c r="D60" s="741"/>
      <c r="E60" s="741"/>
      <c r="F60" s="741"/>
      <c r="G60" s="741"/>
      <c r="H60" s="741"/>
      <c r="I60" s="741"/>
      <c r="J60" s="741"/>
      <c r="K60" s="741"/>
      <c r="L60" s="741"/>
      <c r="M60" s="741"/>
      <c r="N60" s="741"/>
      <c r="O60" s="741"/>
      <c r="P60" s="741"/>
      <c r="Q60" s="741"/>
    </row>
    <row r="61" spans="2:17" x14ac:dyDescent="0.3">
      <c r="B61" s="741"/>
      <c r="C61" s="741"/>
      <c r="D61" s="741"/>
      <c r="E61" s="741"/>
      <c r="F61" s="741"/>
      <c r="G61" s="741"/>
      <c r="H61" s="741"/>
      <c r="I61" s="741"/>
      <c r="J61" s="741"/>
      <c r="K61" s="741"/>
      <c r="L61" s="741"/>
      <c r="M61" s="741"/>
      <c r="N61" s="741"/>
      <c r="O61" s="741"/>
      <c r="P61" s="741"/>
      <c r="Q61" s="741"/>
    </row>
    <row r="62" spans="2:17" x14ac:dyDescent="0.3">
      <c r="B62" s="741"/>
      <c r="C62" s="741"/>
      <c r="D62" s="741"/>
      <c r="E62" s="741"/>
      <c r="F62" s="741"/>
      <c r="G62" s="741"/>
      <c r="H62" s="741"/>
      <c r="I62" s="741"/>
      <c r="J62" s="741"/>
      <c r="K62" s="741"/>
      <c r="L62" s="741"/>
      <c r="M62" s="741"/>
      <c r="N62" s="741"/>
      <c r="O62" s="741"/>
      <c r="P62" s="741"/>
      <c r="Q62" s="741"/>
    </row>
    <row r="63" spans="2:17" x14ac:dyDescent="0.3">
      <c r="B63" s="741"/>
      <c r="C63" s="741"/>
      <c r="D63" s="741"/>
      <c r="E63" s="741"/>
      <c r="F63" s="741"/>
      <c r="G63" s="741"/>
      <c r="H63" s="741"/>
      <c r="I63" s="741"/>
      <c r="J63" s="741"/>
      <c r="K63" s="741"/>
      <c r="L63" s="741"/>
      <c r="M63" s="741"/>
      <c r="N63" s="741"/>
      <c r="O63" s="741"/>
      <c r="P63" s="741"/>
      <c r="Q63" s="741"/>
    </row>
    <row r="64" spans="2:17" x14ac:dyDescent="0.3">
      <c r="B64" s="741"/>
      <c r="C64" s="741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</row>
    <row r="65" spans="2:17" x14ac:dyDescent="0.3">
      <c r="B65" s="741"/>
      <c r="C65" s="741"/>
      <c r="D65" s="741"/>
      <c r="E65" s="741"/>
      <c r="F65" s="741"/>
      <c r="G65" s="741"/>
      <c r="H65" s="741"/>
      <c r="I65" s="741"/>
      <c r="J65" s="741"/>
      <c r="K65" s="741"/>
      <c r="L65" s="741"/>
      <c r="M65" s="741"/>
      <c r="N65" s="741"/>
      <c r="O65" s="741"/>
      <c r="P65" s="741"/>
      <c r="Q65" s="741"/>
    </row>
    <row r="66" spans="2:17" x14ac:dyDescent="0.3"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741"/>
      <c r="Q66" s="741"/>
    </row>
    <row r="67" spans="2:17" x14ac:dyDescent="0.3">
      <c r="B67" s="741"/>
      <c r="C67" s="741"/>
      <c r="D67" s="741"/>
      <c r="E67" s="741"/>
      <c r="F67" s="741"/>
      <c r="G67" s="741"/>
      <c r="H67" s="741"/>
      <c r="I67" s="741"/>
      <c r="J67" s="741"/>
      <c r="K67" s="741"/>
      <c r="L67" s="741"/>
      <c r="M67" s="741"/>
      <c r="N67" s="741"/>
      <c r="O67" s="741"/>
      <c r="P67" s="741"/>
      <c r="Q67" s="741"/>
    </row>
    <row r="68" spans="2:17" x14ac:dyDescent="0.3">
      <c r="B68" s="741"/>
      <c r="C68" s="741"/>
      <c r="D68" s="741"/>
      <c r="E68" s="741"/>
      <c r="F68" s="741"/>
      <c r="G68" s="741"/>
      <c r="H68" s="741"/>
      <c r="I68" s="741"/>
      <c r="J68" s="741"/>
      <c r="K68" s="741"/>
      <c r="L68" s="741"/>
      <c r="M68" s="741"/>
      <c r="N68" s="741"/>
      <c r="O68" s="741"/>
      <c r="P68" s="741"/>
      <c r="Q68" s="741"/>
    </row>
    <row r="69" spans="2:17" x14ac:dyDescent="0.3">
      <c r="B69" s="741"/>
      <c r="C69" s="741"/>
      <c r="D69" s="741"/>
      <c r="E69" s="741"/>
      <c r="F69" s="741"/>
      <c r="G69" s="741"/>
      <c r="H69" s="741"/>
      <c r="I69" s="741"/>
      <c r="J69" s="741"/>
      <c r="K69" s="741"/>
      <c r="L69" s="741"/>
      <c r="M69" s="741"/>
      <c r="N69" s="741"/>
      <c r="O69" s="741"/>
      <c r="P69" s="741"/>
      <c r="Q69" s="741"/>
    </row>
    <row r="70" spans="2:17" x14ac:dyDescent="0.3">
      <c r="B70" s="741"/>
      <c r="C70" s="741"/>
      <c r="D70" s="741"/>
      <c r="E70" s="741"/>
      <c r="F70" s="741"/>
      <c r="G70" s="741"/>
      <c r="H70" s="741"/>
      <c r="I70" s="741"/>
      <c r="J70" s="741"/>
      <c r="K70" s="741"/>
      <c r="L70" s="741"/>
      <c r="M70" s="741"/>
      <c r="N70" s="741"/>
      <c r="O70" s="741"/>
      <c r="P70" s="741"/>
      <c r="Q70" s="741"/>
    </row>
    <row r="71" spans="2:17" x14ac:dyDescent="0.3">
      <c r="B71" s="741"/>
      <c r="C71" s="741"/>
      <c r="D71" s="741"/>
      <c r="E71" s="741"/>
      <c r="F71" s="741"/>
      <c r="G71" s="741"/>
      <c r="H71" s="741"/>
      <c r="I71" s="741"/>
      <c r="J71" s="741"/>
      <c r="K71" s="741"/>
      <c r="L71" s="741"/>
      <c r="M71" s="741"/>
      <c r="N71" s="741"/>
      <c r="O71" s="741"/>
      <c r="P71" s="741"/>
      <c r="Q71" s="741"/>
    </row>
    <row r="72" spans="2:17" x14ac:dyDescent="0.3">
      <c r="B72" s="741"/>
      <c r="C72" s="741"/>
      <c r="D72" s="741"/>
      <c r="E72" s="741"/>
      <c r="F72" s="741"/>
      <c r="G72" s="741"/>
      <c r="H72" s="741"/>
      <c r="I72" s="741"/>
      <c r="J72" s="741"/>
      <c r="K72" s="741"/>
      <c r="L72" s="741"/>
      <c r="M72" s="741"/>
      <c r="N72" s="741"/>
      <c r="O72" s="741"/>
      <c r="P72" s="741"/>
      <c r="Q72" s="741"/>
    </row>
    <row r="73" spans="2:17" x14ac:dyDescent="0.3">
      <c r="B73" s="741"/>
      <c r="C73" s="741"/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  <c r="P73" s="741"/>
      <c r="Q73" s="741"/>
    </row>
    <row r="74" spans="2:17" x14ac:dyDescent="0.3">
      <c r="B74" s="741"/>
      <c r="C74" s="741"/>
      <c r="D74" s="741"/>
      <c r="E74" s="741"/>
      <c r="F74" s="741"/>
      <c r="G74" s="741"/>
      <c r="H74" s="741"/>
      <c r="I74" s="741"/>
      <c r="J74" s="741"/>
      <c r="K74" s="741"/>
      <c r="L74" s="741"/>
      <c r="M74" s="741"/>
      <c r="N74" s="741"/>
      <c r="O74" s="741"/>
      <c r="P74" s="741"/>
      <c r="Q74" s="741"/>
    </row>
    <row r="75" spans="2:17" x14ac:dyDescent="0.3">
      <c r="B75" s="741"/>
      <c r="C75" s="741"/>
      <c r="D75" s="741"/>
      <c r="E75" s="741"/>
      <c r="F75" s="741"/>
      <c r="G75" s="741"/>
      <c r="H75" s="741"/>
      <c r="I75" s="741"/>
      <c r="J75" s="741"/>
      <c r="K75" s="741"/>
      <c r="L75" s="741"/>
      <c r="M75" s="741"/>
      <c r="N75" s="741"/>
      <c r="O75" s="741"/>
      <c r="P75" s="741"/>
      <c r="Q75" s="741"/>
    </row>
    <row r="76" spans="2:17" x14ac:dyDescent="0.3">
      <c r="B76" s="741"/>
      <c r="C76" s="741"/>
      <c r="D76" s="741"/>
      <c r="E76" s="741"/>
      <c r="F76" s="741"/>
      <c r="G76" s="741"/>
      <c r="H76" s="741"/>
      <c r="I76" s="741"/>
      <c r="J76" s="741"/>
      <c r="K76" s="741"/>
      <c r="L76" s="741"/>
      <c r="M76" s="741"/>
      <c r="N76" s="741"/>
      <c r="O76" s="741"/>
      <c r="P76" s="741"/>
      <c r="Q76" s="741"/>
    </row>
    <row r="77" spans="2:17" x14ac:dyDescent="0.3">
      <c r="B77" s="741"/>
      <c r="C77" s="741"/>
      <c r="D77" s="741"/>
      <c r="E77" s="741"/>
      <c r="F77" s="741"/>
      <c r="G77" s="741"/>
      <c r="H77" s="741"/>
      <c r="I77" s="741"/>
      <c r="J77" s="741"/>
      <c r="K77" s="741"/>
      <c r="L77" s="741"/>
      <c r="M77" s="741"/>
      <c r="N77" s="741"/>
      <c r="O77" s="741"/>
      <c r="P77" s="741"/>
      <c r="Q77" s="741"/>
    </row>
    <row r="78" spans="2:17" x14ac:dyDescent="0.3">
      <c r="B78" s="741"/>
      <c r="C78" s="741"/>
      <c r="D78" s="741"/>
      <c r="E78" s="741"/>
      <c r="F78" s="741"/>
      <c r="G78" s="741"/>
      <c r="H78" s="741"/>
      <c r="I78" s="741"/>
      <c r="J78" s="741"/>
      <c r="K78" s="741"/>
      <c r="L78" s="741"/>
      <c r="M78" s="741"/>
      <c r="N78" s="741"/>
      <c r="O78" s="741"/>
      <c r="P78" s="741"/>
      <c r="Q78" s="741"/>
    </row>
    <row r="79" spans="2:17" x14ac:dyDescent="0.3">
      <c r="B79" s="741"/>
      <c r="C79" s="741"/>
      <c r="D79" s="741"/>
      <c r="E79" s="741"/>
      <c r="F79" s="741"/>
      <c r="G79" s="741"/>
      <c r="H79" s="741"/>
      <c r="I79" s="741"/>
      <c r="J79" s="741"/>
      <c r="K79" s="741"/>
      <c r="L79" s="741"/>
      <c r="M79" s="741"/>
      <c r="N79" s="741"/>
      <c r="O79" s="741"/>
      <c r="P79" s="741"/>
      <c r="Q79" s="741"/>
    </row>
    <row r="80" spans="2:17" x14ac:dyDescent="0.3">
      <c r="B80" s="741"/>
      <c r="C80" s="741"/>
      <c r="D80" s="741"/>
      <c r="E80" s="741"/>
      <c r="F80" s="741"/>
      <c r="G80" s="741"/>
      <c r="H80" s="741"/>
      <c r="I80" s="741"/>
      <c r="J80" s="741"/>
      <c r="K80" s="741"/>
      <c r="L80" s="741"/>
      <c r="M80" s="741"/>
      <c r="N80" s="741"/>
      <c r="O80" s="741"/>
      <c r="P80" s="741"/>
      <c r="Q80" s="741"/>
    </row>
    <row r="81" spans="2:17" x14ac:dyDescent="0.3">
      <c r="B81" s="741"/>
      <c r="C81" s="741"/>
      <c r="D81" s="741"/>
      <c r="E81" s="741"/>
      <c r="F81" s="741"/>
      <c r="G81" s="741"/>
      <c r="H81" s="741"/>
      <c r="I81" s="741"/>
      <c r="J81" s="741"/>
      <c r="K81" s="741"/>
      <c r="L81" s="741"/>
      <c r="M81" s="741"/>
      <c r="N81" s="741"/>
      <c r="O81" s="741"/>
      <c r="P81" s="741"/>
      <c r="Q81" s="741"/>
    </row>
    <row r="82" spans="2:17" x14ac:dyDescent="0.3">
      <c r="B82" s="741"/>
      <c r="C82" s="741"/>
      <c r="D82" s="741"/>
      <c r="E82" s="741"/>
      <c r="F82" s="741"/>
      <c r="G82" s="741"/>
      <c r="H82" s="741"/>
      <c r="I82" s="741"/>
      <c r="J82" s="741"/>
      <c r="K82" s="741"/>
      <c r="L82" s="741"/>
      <c r="M82" s="741"/>
      <c r="N82" s="741"/>
      <c r="O82" s="741"/>
      <c r="P82" s="741"/>
      <c r="Q82" s="741"/>
    </row>
    <row r="83" spans="2:17" x14ac:dyDescent="0.3">
      <c r="B83" s="741"/>
      <c r="C83" s="741"/>
      <c r="D83" s="741"/>
      <c r="E83" s="741"/>
      <c r="F83" s="741"/>
      <c r="G83" s="741"/>
      <c r="H83" s="741"/>
      <c r="I83" s="741"/>
      <c r="J83" s="741"/>
      <c r="K83" s="741"/>
      <c r="L83" s="741"/>
      <c r="M83" s="741"/>
      <c r="N83" s="741"/>
      <c r="O83" s="741"/>
      <c r="P83" s="741"/>
      <c r="Q83" s="741"/>
    </row>
    <row r="84" spans="2:17" x14ac:dyDescent="0.3">
      <c r="B84" s="741"/>
      <c r="C84" s="741"/>
      <c r="D84" s="741"/>
      <c r="E84" s="741"/>
      <c r="F84" s="741"/>
      <c r="G84" s="741"/>
      <c r="H84" s="741"/>
      <c r="I84" s="741"/>
      <c r="J84" s="741"/>
      <c r="K84" s="741"/>
      <c r="L84" s="741"/>
      <c r="M84" s="741"/>
      <c r="N84" s="741"/>
      <c r="O84" s="741"/>
      <c r="P84" s="741"/>
      <c r="Q84" s="741"/>
    </row>
    <row r="85" spans="2:17" x14ac:dyDescent="0.3">
      <c r="B85" s="741"/>
      <c r="C85" s="741"/>
      <c r="D85" s="741"/>
      <c r="E85" s="741"/>
      <c r="F85" s="741"/>
      <c r="G85" s="741"/>
      <c r="H85" s="741"/>
      <c r="I85" s="741"/>
      <c r="J85" s="741"/>
      <c r="K85" s="741"/>
      <c r="L85" s="741"/>
      <c r="M85" s="741"/>
      <c r="N85" s="741"/>
      <c r="O85" s="741"/>
      <c r="P85" s="741"/>
      <c r="Q85" s="741"/>
    </row>
    <row r="86" spans="2:17" x14ac:dyDescent="0.3">
      <c r="B86" s="741"/>
      <c r="C86" s="741"/>
      <c r="D86" s="741"/>
      <c r="E86" s="741"/>
      <c r="F86" s="741"/>
      <c r="G86" s="741"/>
      <c r="H86" s="741"/>
      <c r="I86" s="741"/>
      <c r="J86" s="741"/>
      <c r="K86" s="741"/>
      <c r="L86" s="741"/>
      <c r="M86" s="741"/>
      <c r="N86" s="741"/>
      <c r="O86" s="741"/>
      <c r="P86" s="741"/>
      <c r="Q86" s="741"/>
    </row>
    <row r="87" spans="2:17" x14ac:dyDescent="0.3">
      <c r="B87" s="741"/>
      <c r="C87" s="741"/>
      <c r="D87" s="741"/>
      <c r="E87" s="741"/>
      <c r="F87" s="741"/>
      <c r="G87" s="741"/>
      <c r="H87" s="741"/>
      <c r="I87" s="741"/>
      <c r="J87" s="741"/>
      <c r="K87" s="741"/>
      <c r="L87" s="741"/>
      <c r="M87" s="741"/>
      <c r="N87" s="741"/>
      <c r="O87" s="741"/>
      <c r="P87" s="741"/>
      <c r="Q87" s="741"/>
    </row>
    <row r="88" spans="2:17" x14ac:dyDescent="0.3">
      <c r="B88" s="741"/>
      <c r="C88" s="741"/>
      <c r="D88" s="741"/>
      <c r="E88" s="741"/>
      <c r="F88" s="741"/>
      <c r="G88" s="741"/>
      <c r="H88" s="741"/>
      <c r="I88" s="741"/>
      <c r="J88" s="741"/>
      <c r="K88" s="741"/>
      <c r="L88" s="741"/>
      <c r="M88" s="741"/>
      <c r="N88" s="741"/>
      <c r="O88" s="741"/>
      <c r="P88" s="741"/>
      <c r="Q88" s="741"/>
    </row>
    <row r="89" spans="2:17" x14ac:dyDescent="0.3">
      <c r="B89" s="741"/>
      <c r="C89" s="741"/>
      <c r="D89" s="741"/>
      <c r="E89" s="741"/>
      <c r="F89" s="741"/>
      <c r="G89" s="741"/>
      <c r="H89" s="741"/>
      <c r="I89" s="741"/>
      <c r="J89" s="741"/>
      <c r="K89" s="741"/>
      <c r="L89" s="741"/>
      <c r="M89" s="741"/>
      <c r="N89" s="741"/>
      <c r="O89" s="741"/>
      <c r="P89" s="741"/>
      <c r="Q89" s="741"/>
    </row>
    <row r="90" spans="2:17" x14ac:dyDescent="0.3">
      <c r="B90" s="741"/>
      <c r="C90" s="741"/>
      <c r="D90" s="741"/>
      <c r="E90" s="741"/>
      <c r="F90" s="741"/>
      <c r="G90" s="741"/>
      <c r="H90" s="741"/>
      <c r="I90" s="741"/>
      <c r="J90" s="741"/>
      <c r="K90" s="741"/>
      <c r="L90" s="741"/>
      <c r="M90" s="741"/>
      <c r="N90" s="741"/>
      <c r="O90" s="741"/>
      <c r="P90" s="741"/>
      <c r="Q90" s="741"/>
    </row>
    <row r="91" spans="2:17" x14ac:dyDescent="0.3">
      <c r="B91" s="741"/>
      <c r="C91" s="741"/>
      <c r="D91" s="741"/>
      <c r="E91" s="741"/>
      <c r="F91" s="741"/>
      <c r="G91" s="741"/>
      <c r="H91" s="741"/>
      <c r="I91" s="741"/>
      <c r="J91" s="741"/>
      <c r="K91" s="741"/>
      <c r="L91" s="741"/>
      <c r="M91" s="741"/>
      <c r="N91" s="741"/>
      <c r="O91" s="741"/>
      <c r="P91" s="741"/>
      <c r="Q91" s="741"/>
    </row>
    <row r="92" spans="2:17" x14ac:dyDescent="0.3">
      <c r="B92" s="741"/>
      <c r="C92" s="741"/>
      <c r="D92" s="741"/>
      <c r="E92" s="741"/>
      <c r="F92" s="741"/>
      <c r="G92" s="741"/>
      <c r="H92" s="741"/>
      <c r="I92" s="741"/>
      <c r="J92" s="741"/>
      <c r="K92" s="741"/>
      <c r="L92" s="741"/>
      <c r="M92" s="741"/>
      <c r="N92" s="741"/>
      <c r="O92" s="741"/>
      <c r="P92" s="741"/>
      <c r="Q92" s="741"/>
    </row>
    <row r="93" spans="2:17" x14ac:dyDescent="0.3">
      <c r="B93" s="741"/>
      <c r="C93" s="741"/>
      <c r="D93" s="741"/>
      <c r="E93" s="741"/>
      <c r="F93" s="741"/>
      <c r="G93" s="741"/>
      <c r="H93" s="741"/>
      <c r="I93" s="741"/>
      <c r="J93" s="741"/>
      <c r="K93" s="741"/>
      <c r="L93" s="741"/>
      <c r="M93" s="741"/>
      <c r="N93" s="741"/>
      <c r="O93" s="741"/>
      <c r="P93" s="741"/>
      <c r="Q93" s="741"/>
    </row>
    <row r="94" spans="2:17" x14ac:dyDescent="0.3">
      <c r="B94" s="741"/>
      <c r="C94" s="741"/>
      <c r="D94" s="741"/>
      <c r="E94" s="741"/>
      <c r="F94" s="741"/>
      <c r="G94" s="741"/>
      <c r="H94" s="741"/>
      <c r="I94" s="741"/>
      <c r="J94" s="741"/>
      <c r="K94" s="741"/>
      <c r="L94" s="741"/>
      <c r="M94" s="741"/>
      <c r="N94" s="741"/>
      <c r="O94" s="741"/>
      <c r="P94" s="741"/>
      <c r="Q94" s="741"/>
    </row>
    <row r="95" spans="2:17" x14ac:dyDescent="0.3">
      <c r="B95" s="741"/>
      <c r="C95" s="741"/>
      <c r="D95" s="741"/>
      <c r="E95" s="741"/>
      <c r="F95" s="741"/>
      <c r="G95" s="741"/>
      <c r="H95" s="741"/>
      <c r="I95" s="741"/>
      <c r="J95" s="741"/>
      <c r="K95" s="741"/>
      <c r="L95" s="741"/>
      <c r="M95" s="741"/>
      <c r="N95" s="741"/>
      <c r="O95" s="741"/>
      <c r="P95" s="741"/>
      <c r="Q95" s="741"/>
    </row>
    <row r="96" spans="2:17" x14ac:dyDescent="0.3">
      <c r="B96" s="741"/>
      <c r="C96" s="741"/>
      <c r="D96" s="741"/>
      <c r="E96" s="741"/>
      <c r="F96" s="741"/>
      <c r="G96" s="741"/>
      <c r="H96" s="741"/>
      <c r="I96" s="741"/>
      <c r="J96" s="741"/>
      <c r="K96" s="741"/>
      <c r="L96" s="741"/>
      <c r="M96" s="741"/>
      <c r="N96" s="741"/>
      <c r="O96" s="741"/>
      <c r="P96" s="741"/>
      <c r="Q96" s="741"/>
    </row>
    <row r="97" spans="2:17" x14ac:dyDescent="0.3">
      <c r="B97" s="741"/>
      <c r="C97" s="741"/>
      <c r="D97" s="741"/>
      <c r="E97" s="741"/>
      <c r="F97" s="741"/>
      <c r="G97" s="741"/>
      <c r="H97" s="741"/>
      <c r="I97" s="741"/>
      <c r="J97" s="741"/>
      <c r="K97" s="741"/>
      <c r="L97" s="741"/>
      <c r="M97" s="741"/>
      <c r="N97" s="741"/>
      <c r="O97" s="741"/>
      <c r="P97" s="741"/>
      <c r="Q97" s="741"/>
    </row>
    <row r="98" spans="2:17" x14ac:dyDescent="0.3">
      <c r="B98" s="741"/>
      <c r="C98" s="741"/>
      <c r="D98" s="741"/>
      <c r="E98" s="741"/>
      <c r="F98" s="741"/>
      <c r="G98" s="741"/>
      <c r="H98" s="741"/>
      <c r="I98" s="741"/>
      <c r="J98" s="741"/>
      <c r="K98" s="741"/>
      <c r="L98" s="741"/>
      <c r="M98" s="741"/>
      <c r="N98" s="741"/>
      <c r="O98" s="741"/>
      <c r="P98" s="741"/>
      <c r="Q98" s="741"/>
    </row>
    <row r="99" spans="2:17" x14ac:dyDescent="0.3">
      <c r="B99" s="741"/>
      <c r="C99" s="741"/>
      <c r="D99" s="741"/>
      <c r="E99" s="741"/>
      <c r="F99" s="741"/>
      <c r="G99" s="741"/>
      <c r="H99" s="741"/>
      <c r="I99" s="741"/>
      <c r="J99" s="741"/>
      <c r="K99" s="741"/>
      <c r="L99" s="741"/>
      <c r="M99" s="741"/>
      <c r="N99" s="741"/>
      <c r="O99" s="741"/>
      <c r="P99" s="741"/>
      <c r="Q99" s="741"/>
    </row>
    <row r="100" spans="2:17" x14ac:dyDescent="0.3">
      <c r="B100" s="741"/>
      <c r="C100" s="741"/>
      <c r="D100" s="741"/>
      <c r="E100" s="741"/>
      <c r="F100" s="741"/>
      <c r="G100" s="741"/>
      <c r="H100" s="741"/>
      <c r="I100" s="741"/>
      <c r="J100" s="741"/>
      <c r="K100" s="741"/>
      <c r="L100" s="741"/>
      <c r="M100" s="741"/>
      <c r="N100" s="741"/>
      <c r="O100" s="741"/>
      <c r="P100" s="741"/>
      <c r="Q100" s="741"/>
    </row>
    <row r="101" spans="2:17" x14ac:dyDescent="0.3">
      <c r="B101" s="741"/>
      <c r="C101" s="741"/>
      <c r="D101" s="741"/>
      <c r="E101" s="741"/>
      <c r="F101" s="741"/>
      <c r="G101" s="741"/>
      <c r="H101" s="741"/>
      <c r="I101" s="741"/>
      <c r="J101" s="741"/>
      <c r="K101" s="741"/>
      <c r="L101" s="741"/>
      <c r="M101" s="741"/>
      <c r="N101" s="741"/>
      <c r="O101" s="741"/>
      <c r="P101" s="741"/>
      <c r="Q101" s="741"/>
    </row>
    <row r="102" spans="2:17" x14ac:dyDescent="0.3">
      <c r="B102" s="741"/>
      <c r="C102" s="741"/>
      <c r="D102" s="741"/>
      <c r="E102" s="741"/>
      <c r="F102" s="741"/>
      <c r="G102" s="741"/>
      <c r="H102" s="741"/>
      <c r="I102" s="741"/>
      <c r="J102" s="741"/>
      <c r="K102" s="741"/>
      <c r="L102" s="741"/>
      <c r="M102" s="741"/>
      <c r="N102" s="741"/>
      <c r="O102" s="741"/>
      <c r="P102" s="741"/>
      <c r="Q102" s="741"/>
    </row>
    <row r="103" spans="2:17" x14ac:dyDescent="0.3">
      <c r="B103" s="741"/>
      <c r="C103" s="741"/>
      <c r="D103" s="741"/>
      <c r="E103" s="741"/>
      <c r="F103" s="741"/>
      <c r="G103" s="741"/>
      <c r="H103" s="741"/>
      <c r="I103" s="741"/>
      <c r="J103" s="741"/>
      <c r="K103" s="741"/>
      <c r="L103" s="741"/>
      <c r="M103" s="741"/>
      <c r="N103" s="741"/>
      <c r="O103" s="741"/>
      <c r="P103" s="741"/>
      <c r="Q103" s="741"/>
    </row>
    <row r="104" spans="2:17" x14ac:dyDescent="0.3">
      <c r="B104" s="741"/>
      <c r="C104" s="741"/>
      <c r="D104" s="741"/>
      <c r="E104" s="741"/>
      <c r="F104" s="741"/>
      <c r="G104" s="741"/>
      <c r="H104" s="741"/>
      <c r="I104" s="741"/>
      <c r="J104" s="741"/>
      <c r="K104" s="741"/>
      <c r="L104" s="741"/>
      <c r="M104" s="741"/>
      <c r="N104" s="741"/>
      <c r="O104" s="741"/>
      <c r="P104" s="741"/>
      <c r="Q104" s="741"/>
    </row>
    <row r="105" spans="2:17" x14ac:dyDescent="0.3">
      <c r="B105" s="741"/>
      <c r="C105" s="741"/>
      <c r="D105" s="741"/>
      <c r="E105" s="741"/>
      <c r="F105" s="741"/>
      <c r="G105" s="741"/>
      <c r="H105" s="741"/>
      <c r="I105" s="741"/>
      <c r="J105" s="741"/>
      <c r="K105" s="741"/>
      <c r="L105" s="741"/>
      <c r="M105" s="741"/>
      <c r="N105" s="741"/>
      <c r="O105" s="741"/>
      <c r="P105" s="741"/>
      <c r="Q105" s="741"/>
    </row>
    <row r="106" spans="2:17" x14ac:dyDescent="0.3">
      <c r="B106" s="741"/>
      <c r="C106" s="741"/>
      <c r="D106" s="741"/>
      <c r="E106" s="741"/>
      <c r="F106" s="741"/>
      <c r="G106" s="741"/>
      <c r="H106" s="741"/>
      <c r="I106" s="741"/>
      <c r="J106" s="741"/>
      <c r="K106" s="741"/>
      <c r="L106" s="741"/>
      <c r="M106" s="741"/>
      <c r="N106" s="741"/>
      <c r="O106" s="741"/>
      <c r="P106" s="741"/>
      <c r="Q106" s="741"/>
    </row>
    <row r="107" spans="2:17" x14ac:dyDescent="0.3">
      <c r="B107" s="741"/>
      <c r="C107" s="741"/>
      <c r="D107" s="741"/>
      <c r="E107" s="741"/>
      <c r="F107" s="741"/>
      <c r="G107" s="741"/>
      <c r="H107" s="741"/>
      <c r="I107" s="741"/>
      <c r="J107" s="741"/>
      <c r="K107" s="741"/>
      <c r="L107" s="741"/>
      <c r="M107" s="741"/>
      <c r="N107" s="741"/>
      <c r="O107" s="741"/>
      <c r="P107" s="741"/>
      <c r="Q107" s="741"/>
    </row>
    <row r="108" spans="2:17" x14ac:dyDescent="0.3">
      <c r="B108" s="741"/>
      <c r="C108" s="741"/>
      <c r="D108" s="741"/>
      <c r="E108" s="741"/>
      <c r="F108" s="741"/>
      <c r="G108" s="741"/>
      <c r="H108" s="741"/>
      <c r="I108" s="741"/>
      <c r="J108" s="741"/>
      <c r="K108" s="741"/>
      <c r="L108" s="741"/>
      <c r="M108" s="741"/>
      <c r="N108" s="741"/>
      <c r="O108" s="741"/>
      <c r="P108" s="741"/>
      <c r="Q108" s="741"/>
    </row>
    <row r="109" spans="2:17" x14ac:dyDescent="0.3">
      <c r="B109" s="741"/>
      <c r="C109" s="741"/>
      <c r="D109" s="741"/>
      <c r="E109" s="741"/>
      <c r="F109" s="741"/>
      <c r="G109" s="741"/>
      <c r="H109" s="741"/>
      <c r="I109" s="741"/>
      <c r="J109" s="741"/>
      <c r="K109" s="741"/>
      <c r="L109" s="741"/>
      <c r="M109" s="741"/>
      <c r="N109" s="741"/>
      <c r="O109" s="741"/>
      <c r="P109" s="741"/>
      <c r="Q109" s="741"/>
    </row>
    <row r="110" spans="2:17" x14ac:dyDescent="0.3">
      <c r="B110" s="741"/>
      <c r="C110" s="741"/>
      <c r="D110" s="741"/>
      <c r="E110" s="741"/>
      <c r="F110" s="741"/>
      <c r="G110" s="741"/>
      <c r="H110" s="741"/>
      <c r="I110" s="741"/>
      <c r="J110" s="741"/>
      <c r="K110" s="741"/>
      <c r="L110" s="741"/>
      <c r="M110" s="741"/>
      <c r="N110" s="741"/>
      <c r="O110" s="741"/>
      <c r="P110" s="741"/>
      <c r="Q110" s="741"/>
    </row>
    <row r="111" spans="2:17" x14ac:dyDescent="0.3">
      <c r="B111" s="741"/>
      <c r="C111" s="741"/>
      <c r="D111" s="741"/>
      <c r="E111" s="741"/>
      <c r="F111" s="741"/>
      <c r="G111" s="741"/>
      <c r="H111" s="741"/>
      <c r="I111" s="741"/>
      <c r="J111" s="741"/>
      <c r="K111" s="741"/>
      <c r="L111" s="741"/>
      <c r="M111" s="741"/>
      <c r="N111" s="741"/>
      <c r="O111" s="741"/>
      <c r="P111" s="741"/>
      <c r="Q111" s="741"/>
    </row>
    <row r="112" spans="2:17" x14ac:dyDescent="0.3">
      <c r="B112" s="741"/>
      <c r="C112" s="741"/>
      <c r="D112" s="741"/>
      <c r="E112" s="741"/>
      <c r="F112" s="741"/>
      <c r="G112" s="741"/>
      <c r="H112" s="741"/>
      <c r="I112" s="741"/>
      <c r="J112" s="741"/>
      <c r="K112" s="741"/>
      <c r="L112" s="741"/>
      <c r="M112" s="741"/>
      <c r="N112" s="741"/>
      <c r="O112" s="741"/>
      <c r="P112" s="741"/>
      <c r="Q112" s="741"/>
    </row>
    <row r="113" spans="2:17" x14ac:dyDescent="0.3">
      <c r="B113" s="741"/>
      <c r="C113" s="741"/>
      <c r="D113" s="741"/>
      <c r="E113" s="741"/>
      <c r="F113" s="741"/>
      <c r="G113" s="741"/>
      <c r="H113" s="741"/>
      <c r="I113" s="741"/>
      <c r="J113" s="741"/>
      <c r="K113" s="741"/>
      <c r="L113" s="741"/>
      <c r="M113" s="741"/>
      <c r="N113" s="741"/>
      <c r="O113" s="741"/>
      <c r="P113" s="741"/>
      <c r="Q113" s="741"/>
    </row>
    <row r="114" spans="2:17" x14ac:dyDescent="0.3">
      <c r="B114" s="741"/>
      <c r="C114" s="741"/>
      <c r="D114" s="741"/>
      <c r="E114" s="741"/>
      <c r="F114" s="741"/>
      <c r="G114" s="741"/>
      <c r="H114" s="741"/>
      <c r="I114" s="741"/>
      <c r="J114" s="741"/>
      <c r="K114" s="741"/>
      <c r="L114" s="741"/>
      <c r="M114" s="741"/>
      <c r="N114" s="741"/>
      <c r="O114" s="741"/>
      <c r="P114" s="741"/>
      <c r="Q114" s="741"/>
    </row>
    <row r="115" spans="2:17" x14ac:dyDescent="0.3">
      <c r="B115" s="741"/>
      <c r="C115" s="741"/>
      <c r="D115" s="741"/>
      <c r="E115" s="741"/>
      <c r="F115" s="741"/>
      <c r="G115" s="741"/>
      <c r="H115" s="741"/>
      <c r="I115" s="741"/>
      <c r="J115" s="741"/>
      <c r="K115" s="741"/>
      <c r="L115" s="741"/>
      <c r="M115" s="741"/>
      <c r="N115" s="741"/>
      <c r="O115" s="741"/>
      <c r="P115" s="741"/>
      <c r="Q115" s="741"/>
    </row>
    <row r="116" spans="2:17" x14ac:dyDescent="0.3">
      <c r="B116" s="741"/>
      <c r="C116" s="741"/>
      <c r="D116" s="741"/>
      <c r="E116" s="741"/>
      <c r="F116" s="741"/>
      <c r="G116" s="741"/>
      <c r="H116" s="741"/>
      <c r="I116" s="741"/>
      <c r="J116" s="741"/>
      <c r="K116" s="741"/>
      <c r="L116" s="741"/>
      <c r="M116" s="741"/>
      <c r="N116" s="741"/>
      <c r="O116" s="741"/>
      <c r="P116" s="741"/>
      <c r="Q116" s="741"/>
    </row>
    <row r="117" spans="2:17" x14ac:dyDescent="0.3">
      <c r="B117" s="741"/>
      <c r="C117" s="741"/>
      <c r="D117" s="741"/>
      <c r="E117" s="741"/>
      <c r="F117" s="741"/>
      <c r="G117" s="741"/>
      <c r="H117" s="741"/>
      <c r="I117" s="741"/>
      <c r="J117" s="741"/>
      <c r="K117" s="741"/>
      <c r="L117" s="741"/>
      <c r="M117" s="741"/>
      <c r="N117" s="741"/>
      <c r="O117" s="741"/>
      <c r="P117" s="741"/>
      <c r="Q117" s="741"/>
    </row>
    <row r="118" spans="2:17" x14ac:dyDescent="0.3">
      <c r="B118" s="741"/>
      <c r="C118" s="741"/>
      <c r="D118" s="741"/>
      <c r="E118" s="741"/>
      <c r="F118" s="741"/>
      <c r="G118" s="741"/>
      <c r="H118" s="741"/>
      <c r="I118" s="741"/>
      <c r="J118" s="741"/>
      <c r="K118" s="741"/>
      <c r="L118" s="741"/>
      <c r="M118" s="741"/>
      <c r="N118" s="741"/>
      <c r="O118" s="741"/>
      <c r="P118" s="741"/>
      <c r="Q118" s="741"/>
    </row>
    <row r="119" spans="2:17" x14ac:dyDescent="0.3">
      <c r="B119" s="741"/>
      <c r="C119" s="741"/>
      <c r="D119" s="741"/>
      <c r="E119" s="741"/>
      <c r="F119" s="741"/>
      <c r="G119" s="741"/>
      <c r="H119" s="741"/>
      <c r="I119" s="741"/>
      <c r="J119" s="741"/>
      <c r="K119" s="741"/>
      <c r="L119" s="741"/>
      <c r="M119" s="741"/>
      <c r="N119" s="741"/>
      <c r="O119" s="741"/>
      <c r="P119" s="741"/>
      <c r="Q119" s="741"/>
    </row>
    <row r="120" spans="2:17" x14ac:dyDescent="0.3">
      <c r="B120" s="741"/>
      <c r="C120" s="741"/>
      <c r="D120" s="741"/>
      <c r="E120" s="741"/>
      <c r="F120" s="741"/>
      <c r="G120" s="741"/>
      <c r="H120" s="741"/>
      <c r="I120" s="741"/>
      <c r="J120" s="741"/>
      <c r="K120" s="741"/>
      <c r="L120" s="741"/>
      <c r="M120" s="741"/>
      <c r="N120" s="741"/>
      <c r="O120" s="741"/>
      <c r="P120" s="741"/>
      <c r="Q120" s="741"/>
    </row>
    <row r="121" spans="2:17" x14ac:dyDescent="0.3">
      <c r="B121" s="741"/>
      <c r="C121" s="741"/>
      <c r="D121" s="741"/>
      <c r="E121" s="741"/>
      <c r="F121" s="741"/>
      <c r="G121" s="741"/>
      <c r="H121" s="741"/>
      <c r="I121" s="741"/>
      <c r="J121" s="741"/>
      <c r="K121" s="741"/>
      <c r="L121" s="741"/>
      <c r="M121" s="741"/>
      <c r="N121" s="741"/>
      <c r="O121" s="741"/>
      <c r="P121" s="741"/>
      <c r="Q121" s="741"/>
    </row>
    <row r="122" spans="2:17" x14ac:dyDescent="0.3">
      <c r="B122" s="741"/>
      <c r="C122" s="741"/>
      <c r="D122" s="741"/>
      <c r="E122" s="741"/>
      <c r="F122" s="741"/>
      <c r="G122" s="741"/>
      <c r="H122" s="741"/>
      <c r="I122" s="741"/>
      <c r="J122" s="741"/>
      <c r="K122" s="741"/>
      <c r="L122" s="741"/>
      <c r="M122" s="741"/>
      <c r="N122" s="741"/>
      <c r="O122" s="741"/>
      <c r="P122" s="741"/>
      <c r="Q122" s="741"/>
    </row>
    <row r="123" spans="2:17" x14ac:dyDescent="0.3">
      <c r="B123" s="741"/>
      <c r="C123" s="741"/>
      <c r="D123" s="741"/>
      <c r="E123" s="741"/>
      <c r="F123" s="741"/>
      <c r="G123" s="741"/>
      <c r="H123" s="741"/>
      <c r="I123" s="741"/>
      <c r="J123" s="741"/>
      <c r="K123" s="741"/>
      <c r="L123" s="741"/>
      <c r="M123" s="741"/>
      <c r="N123" s="741"/>
      <c r="O123" s="741"/>
      <c r="P123" s="741"/>
      <c r="Q123" s="741"/>
    </row>
    <row r="124" spans="2:17" x14ac:dyDescent="0.3">
      <c r="B124" s="741"/>
      <c r="C124" s="741"/>
      <c r="D124" s="741"/>
      <c r="E124" s="741"/>
      <c r="F124" s="741"/>
      <c r="G124" s="741"/>
      <c r="H124" s="741"/>
      <c r="I124" s="741"/>
      <c r="J124" s="741"/>
      <c r="K124" s="741"/>
      <c r="L124" s="741"/>
      <c r="M124" s="741"/>
      <c r="N124" s="741"/>
      <c r="O124" s="741"/>
      <c r="P124" s="741"/>
      <c r="Q124" s="741"/>
    </row>
    <row r="125" spans="2:17" x14ac:dyDescent="0.3">
      <c r="B125" s="741"/>
      <c r="C125" s="741"/>
      <c r="D125" s="741"/>
      <c r="E125" s="741"/>
      <c r="F125" s="741"/>
      <c r="G125" s="741"/>
      <c r="H125" s="741"/>
      <c r="I125" s="741"/>
      <c r="J125" s="741"/>
      <c r="K125" s="741"/>
      <c r="L125" s="741"/>
      <c r="M125" s="741"/>
      <c r="N125" s="741"/>
      <c r="O125" s="741"/>
      <c r="P125" s="741"/>
      <c r="Q125" s="741"/>
    </row>
    <row r="126" spans="2:17" x14ac:dyDescent="0.3">
      <c r="B126" s="741"/>
      <c r="C126" s="741"/>
      <c r="D126" s="741"/>
      <c r="E126" s="741"/>
      <c r="F126" s="741"/>
      <c r="G126" s="741"/>
      <c r="H126" s="741"/>
      <c r="I126" s="741"/>
      <c r="J126" s="741"/>
      <c r="K126" s="741"/>
      <c r="L126" s="741"/>
      <c r="M126" s="741"/>
      <c r="N126" s="741"/>
      <c r="O126" s="741"/>
      <c r="P126" s="741"/>
      <c r="Q126" s="741"/>
    </row>
    <row r="127" spans="2:17" x14ac:dyDescent="0.3">
      <c r="B127" s="741"/>
      <c r="C127" s="741"/>
      <c r="D127" s="741"/>
      <c r="E127" s="741"/>
      <c r="F127" s="741"/>
      <c r="G127" s="741"/>
      <c r="H127" s="741"/>
      <c r="I127" s="741"/>
      <c r="J127" s="741"/>
      <c r="K127" s="741"/>
      <c r="L127" s="741"/>
      <c r="M127" s="741"/>
      <c r="N127" s="741"/>
      <c r="O127" s="741"/>
      <c r="P127" s="741"/>
      <c r="Q127" s="741"/>
    </row>
    <row r="128" spans="2:17" x14ac:dyDescent="0.3">
      <c r="B128" s="741"/>
      <c r="C128" s="741"/>
      <c r="D128" s="741"/>
      <c r="E128" s="741"/>
      <c r="F128" s="741"/>
      <c r="G128" s="741"/>
      <c r="H128" s="741"/>
      <c r="I128" s="741"/>
      <c r="J128" s="741"/>
      <c r="K128" s="741"/>
      <c r="L128" s="741"/>
      <c r="M128" s="741"/>
      <c r="N128" s="741"/>
      <c r="O128" s="741"/>
      <c r="P128" s="741"/>
      <c r="Q128" s="741"/>
    </row>
    <row r="129" spans="2:17" x14ac:dyDescent="0.3">
      <c r="B129" s="741"/>
      <c r="C129" s="741"/>
      <c r="D129" s="741"/>
      <c r="E129" s="741"/>
      <c r="F129" s="741"/>
      <c r="G129" s="741"/>
      <c r="H129" s="741"/>
      <c r="I129" s="741"/>
      <c r="J129" s="741"/>
      <c r="K129" s="741"/>
      <c r="L129" s="741"/>
      <c r="M129" s="741"/>
      <c r="N129" s="741"/>
      <c r="O129" s="741"/>
      <c r="P129" s="741"/>
      <c r="Q129" s="741"/>
    </row>
    <row r="130" spans="2:17" x14ac:dyDescent="0.3">
      <c r="B130" s="741"/>
      <c r="C130" s="741"/>
      <c r="D130" s="741"/>
      <c r="E130" s="741"/>
      <c r="F130" s="741"/>
      <c r="G130" s="741"/>
      <c r="H130" s="741"/>
      <c r="I130" s="741"/>
      <c r="J130" s="741"/>
      <c r="K130" s="741"/>
      <c r="L130" s="741"/>
      <c r="M130" s="741"/>
      <c r="N130" s="741"/>
      <c r="O130" s="741"/>
      <c r="P130" s="741"/>
      <c r="Q130" s="741"/>
    </row>
    <row r="131" spans="2:17" x14ac:dyDescent="0.3">
      <c r="B131" s="741"/>
      <c r="C131" s="741"/>
      <c r="D131" s="741"/>
      <c r="E131" s="741"/>
      <c r="F131" s="741"/>
      <c r="G131" s="741"/>
      <c r="H131" s="741"/>
      <c r="I131" s="741"/>
      <c r="J131" s="741"/>
      <c r="K131" s="741"/>
      <c r="L131" s="741"/>
      <c r="M131" s="741"/>
      <c r="N131" s="741"/>
      <c r="O131" s="741"/>
      <c r="P131" s="741"/>
      <c r="Q131" s="741"/>
    </row>
    <row r="132" spans="2:17" x14ac:dyDescent="0.3">
      <c r="B132" s="741"/>
      <c r="C132" s="741"/>
      <c r="D132" s="741"/>
      <c r="E132" s="741"/>
      <c r="F132" s="741"/>
      <c r="G132" s="741"/>
      <c r="H132" s="741"/>
      <c r="I132" s="741"/>
      <c r="J132" s="741"/>
      <c r="K132" s="741"/>
      <c r="L132" s="741"/>
      <c r="M132" s="741"/>
      <c r="N132" s="741"/>
      <c r="O132" s="741"/>
      <c r="P132" s="741"/>
      <c r="Q132" s="741"/>
    </row>
    <row r="133" spans="2:17" x14ac:dyDescent="0.3">
      <c r="B133" s="741"/>
      <c r="C133" s="741"/>
      <c r="D133" s="741"/>
      <c r="E133" s="741"/>
      <c r="F133" s="741"/>
      <c r="G133" s="741"/>
      <c r="H133" s="741"/>
      <c r="I133" s="741"/>
      <c r="J133" s="741"/>
      <c r="K133" s="741"/>
      <c r="L133" s="741"/>
      <c r="M133" s="741"/>
      <c r="N133" s="741"/>
      <c r="O133" s="741"/>
      <c r="P133" s="741"/>
      <c r="Q133" s="741"/>
    </row>
    <row r="134" spans="2:17" x14ac:dyDescent="0.3">
      <c r="B134" s="741"/>
      <c r="C134" s="741"/>
      <c r="D134" s="741"/>
      <c r="E134" s="741"/>
      <c r="F134" s="741"/>
      <c r="G134" s="741"/>
      <c r="H134" s="741"/>
      <c r="I134" s="741"/>
      <c r="J134" s="741"/>
      <c r="K134" s="741"/>
      <c r="L134" s="741"/>
      <c r="M134" s="741"/>
      <c r="N134" s="741"/>
      <c r="O134" s="741"/>
      <c r="P134" s="741"/>
      <c r="Q134" s="741"/>
    </row>
    <row r="135" spans="2:17" x14ac:dyDescent="0.3">
      <c r="B135" s="741"/>
      <c r="C135" s="741"/>
      <c r="D135" s="741"/>
      <c r="E135" s="741"/>
      <c r="F135" s="741"/>
      <c r="G135" s="741"/>
      <c r="H135" s="741"/>
      <c r="I135" s="741"/>
      <c r="J135" s="741"/>
      <c r="K135" s="741"/>
      <c r="L135" s="741"/>
      <c r="M135" s="741"/>
      <c r="N135" s="741"/>
      <c r="O135" s="741"/>
      <c r="P135" s="741"/>
      <c r="Q135" s="741"/>
    </row>
    <row r="136" spans="2:17" x14ac:dyDescent="0.3">
      <c r="B136" s="741"/>
      <c r="C136" s="741"/>
      <c r="D136" s="741"/>
      <c r="E136" s="741"/>
      <c r="F136" s="741"/>
      <c r="G136" s="741"/>
      <c r="H136" s="741"/>
      <c r="I136" s="741"/>
      <c r="J136" s="741"/>
      <c r="K136" s="741"/>
      <c r="L136" s="741"/>
      <c r="M136" s="741"/>
      <c r="N136" s="741"/>
      <c r="O136" s="741"/>
      <c r="P136" s="741"/>
      <c r="Q136" s="741"/>
    </row>
    <row r="137" spans="2:17" x14ac:dyDescent="0.3">
      <c r="B137" s="741"/>
      <c r="C137" s="741"/>
      <c r="D137" s="741"/>
      <c r="E137" s="741"/>
      <c r="F137" s="741"/>
      <c r="G137" s="741"/>
      <c r="H137" s="741"/>
      <c r="I137" s="741"/>
      <c r="J137" s="741"/>
      <c r="K137" s="741"/>
      <c r="L137" s="741"/>
      <c r="M137" s="741"/>
      <c r="N137" s="741"/>
      <c r="O137" s="741"/>
      <c r="P137" s="741"/>
      <c r="Q137" s="741"/>
    </row>
    <row r="138" spans="2:17" x14ac:dyDescent="0.3">
      <c r="B138" s="741"/>
      <c r="C138" s="741"/>
      <c r="D138" s="741"/>
      <c r="E138" s="741"/>
      <c r="F138" s="741"/>
      <c r="G138" s="741"/>
      <c r="H138" s="741"/>
      <c r="I138" s="741"/>
      <c r="J138" s="741"/>
      <c r="K138" s="741"/>
      <c r="L138" s="741"/>
      <c r="M138" s="741"/>
      <c r="N138" s="741"/>
      <c r="O138" s="741"/>
      <c r="P138" s="741"/>
      <c r="Q138" s="741"/>
    </row>
    <row r="139" spans="2:17" x14ac:dyDescent="0.3">
      <c r="B139" s="741"/>
      <c r="C139" s="741"/>
      <c r="D139" s="741"/>
      <c r="E139" s="741"/>
      <c r="F139" s="741"/>
      <c r="G139" s="741"/>
      <c r="H139" s="741"/>
      <c r="I139" s="741"/>
      <c r="J139" s="741"/>
      <c r="K139" s="741"/>
      <c r="L139" s="741"/>
      <c r="M139" s="741"/>
      <c r="N139" s="741"/>
      <c r="O139" s="741"/>
      <c r="P139" s="741"/>
      <c r="Q139" s="741"/>
    </row>
    <row r="140" spans="2:17" x14ac:dyDescent="0.3">
      <c r="B140" s="741"/>
      <c r="C140" s="741"/>
      <c r="D140" s="741"/>
      <c r="E140" s="741"/>
      <c r="F140" s="741"/>
      <c r="G140" s="741"/>
      <c r="H140" s="741"/>
      <c r="I140" s="741"/>
      <c r="J140" s="741"/>
      <c r="K140" s="741"/>
      <c r="L140" s="741"/>
      <c r="M140" s="741"/>
      <c r="N140" s="741"/>
      <c r="O140" s="741"/>
      <c r="P140" s="741"/>
      <c r="Q140" s="741"/>
    </row>
    <row r="141" spans="2:17" x14ac:dyDescent="0.3">
      <c r="B141" s="741"/>
      <c r="C141" s="741"/>
      <c r="D141" s="741"/>
      <c r="E141" s="741"/>
      <c r="F141" s="741"/>
      <c r="G141" s="741"/>
      <c r="H141" s="741"/>
      <c r="I141" s="741"/>
      <c r="J141" s="741"/>
      <c r="K141" s="741"/>
      <c r="L141" s="741"/>
      <c r="M141" s="741"/>
      <c r="N141" s="741"/>
      <c r="O141" s="741"/>
      <c r="P141" s="741"/>
      <c r="Q141" s="741"/>
    </row>
    <row r="142" spans="2:17" x14ac:dyDescent="0.3">
      <c r="B142" s="741"/>
      <c r="C142" s="741"/>
      <c r="D142" s="741"/>
      <c r="E142" s="741"/>
      <c r="F142" s="741"/>
      <c r="G142" s="741"/>
      <c r="H142" s="741"/>
      <c r="I142" s="741"/>
      <c r="J142" s="741"/>
      <c r="K142" s="741"/>
      <c r="L142" s="741"/>
      <c r="M142" s="741"/>
      <c r="N142" s="741"/>
      <c r="O142" s="741"/>
      <c r="P142" s="741"/>
      <c r="Q142" s="741"/>
    </row>
    <row r="143" spans="2:17" x14ac:dyDescent="0.3">
      <c r="B143" s="741"/>
      <c r="C143" s="741"/>
      <c r="D143" s="741"/>
      <c r="E143" s="741"/>
      <c r="F143" s="741"/>
      <c r="G143" s="741"/>
      <c r="H143" s="741"/>
      <c r="I143" s="741"/>
      <c r="J143" s="741"/>
      <c r="K143" s="741"/>
      <c r="L143" s="741"/>
      <c r="M143" s="741"/>
      <c r="N143" s="741"/>
      <c r="O143" s="741"/>
      <c r="P143" s="741"/>
      <c r="Q143" s="741"/>
    </row>
    <row r="144" spans="2:17" x14ac:dyDescent="0.3">
      <c r="B144" s="741"/>
      <c r="C144" s="741"/>
      <c r="D144" s="741"/>
      <c r="E144" s="741"/>
      <c r="F144" s="741"/>
      <c r="G144" s="741"/>
      <c r="H144" s="741"/>
      <c r="I144" s="741"/>
      <c r="J144" s="741"/>
      <c r="K144" s="741"/>
      <c r="L144" s="741"/>
      <c r="M144" s="741"/>
      <c r="N144" s="741"/>
      <c r="O144" s="741"/>
      <c r="P144" s="741"/>
      <c r="Q144" s="741"/>
    </row>
    <row r="145" spans="2:17" x14ac:dyDescent="0.3">
      <c r="B145" s="741"/>
      <c r="C145" s="741"/>
      <c r="D145" s="741"/>
      <c r="E145" s="741"/>
      <c r="F145" s="741"/>
      <c r="G145" s="741"/>
      <c r="H145" s="741"/>
      <c r="I145" s="741"/>
      <c r="J145" s="741"/>
      <c r="K145" s="741"/>
      <c r="L145" s="741"/>
      <c r="M145" s="741"/>
      <c r="N145" s="741"/>
      <c r="O145" s="741"/>
      <c r="P145" s="741"/>
      <c r="Q145" s="741"/>
    </row>
    <row r="146" spans="2:17" x14ac:dyDescent="0.3">
      <c r="B146" s="741"/>
      <c r="C146" s="741"/>
      <c r="D146" s="741"/>
      <c r="E146" s="741"/>
      <c r="F146" s="741"/>
      <c r="G146" s="741"/>
      <c r="H146" s="741"/>
      <c r="I146" s="741"/>
      <c r="J146" s="741"/>
      <c r="K146" s="741"/>
      <c r="L146" s="741"/>
      <c r="M146" s="741"/>
      <c r="N146" s="741"/>
      <c r="O146" s="741"/>
      <c r="P146" s="741"/>
      <c r="Q146" s="741"/>
    </row>
    <row r="147" spans="2:17" x14ac:dyDescent="0.3">
      <c r="B147" s="741"/>
      <c r="C147" s="741"/>
      <c r="D147" s="741"/>
      <c r="E147" s="741"/>
      <c r="F147" s="741"/>
      <c r="G147" s="741"/>
      <c r="H147" s="741"/>
      <c r="I147" s="741"/>
      <c r="J147" s="741"/>
      <c r="K147" s="741"/>
      <c r="L147" s="741"/>
      <c r="M147" s="741"/>
      <c r="N147" s="741"/>
      <c r="O147" s="741"/>
      <c r="P147" s="741"/>
      <c r="Q147" s="741"/>
    </row>
    <row r="148" spans="2:17" x14ac:dyDescent="0.3">
      <c r="B148" s="741"/>
      <c r="C148" s="741"/>
      <c r="D148" s="741"/>
      <c r="E148" s="741"/>
      <c r="F148" s="741"/>
      <c r="G148" s="741"/>
      <c r="H148" s="741"/>
      <c r="I148" s="741"/>
      <c r="J148" s="741"/>
      <c r="K148" s="741"/>
      <c r="L148" s="741"/>
      <c r="M148" s="741"/>
      <c r="N148" s="741"/>
      <c r="O148" s="741"/>
      <c r="P148" s="741"/>
      <c r="Q148" s="741"/>
    </row>
    <row r="149" spans="2:17" x14ac:dyDescent="0.3">
      <c r="B149" s="741"/>
      <c r="C149" s="741"/>
      <c r="D149" s="741"/>
      <c r="E149" s="741"/>
      <c r="F149" s="741"/>
      <c r="G149" s="741"/>
      <c r="H149" s="741"/>
      <c r="I149" s="741"/>
      <c r="J149" s="741"/>
      <c r="K149" s="741"/>
      <c r="L149" s="741"/>
      <c r="M149" s="741"/>
      <c r="N149" s="741"/>
      <c r="O149" s="741"/>
      <c r="P149" s="741"/>
      <c r="Q149" s="741"/>
    </row>
    <row r="150" spans="2:17" x14ac:dyDescent="0.3">
      <c r="B150" s="741"/>
      <c r="C150" s="741"/>
      <c r="D150" s="741"/>
      <c r="E150" s="741"/>
      <c r="F150" s="741"/>
      <c r="G150" s="741"/>
      <c r="H150" s="741"/>
      <c r="I150" s="741"/>
      <c r="J150" s="741"/>
      <c r="K150" s="741"/>
      <c r="L150" s="741"/>
      <c r="M150" s="741"/>
      <c r="N150" s="741"/>
      <c r="O150" s="741"/>
      <c r="P150" s="741"/>
      <c r="Q150" s="741"/>
    </row>
    <row r="151" spans="2:17" x14ac:dyDescent="0.3">
      <c r="B151" s="741"/>
      <c r="C151" s="741"/>
      <c r="D151" s="741"/>
      <c r="E151" s="741"/>
      <c r="F151" s="741"/>
      <c r="G151" s="741"/>
      <c r="H151" s="741"/>
      <c r="I151" s="741"/>
      <c r="J151" s="741"/>
      <c r="K151" s="741"/>
      <c r="L151" s="741"/>
      <c r="M151" s="741"/>
      <c r="N151" s="741"/>
      <c r="O151" s="741"/>
      <c r="P151" s="741"/>
      <c r="Q151" s="741"/>
    </row>
    <row r="152" spans="2:17" x14ac:dyDescent="0.3">
      <c r="B152" s="741"/>
      <c r="C152" s="741"/>
      <c r="D152" s="741"/>
      <c r="E152" s="741"/>
      <c r="F152" s="741"/>
      <c r="G152" s="741"/>
      <c r="H152" s="741"/>
      <c r="I152" s="741"/>
      <c r="J152" s="741"/>
      <c r="K152" s="741"/>
      <c r="L152" s="741"/>
      <c r="M152" s="741"/>
      <c r="N152" s="741"/>
      <c r="O152" s="741"/>
      <c r="P152" s="741"/>
      <c r="Q152" s="741"/>
    </row>
    <row r="153" spans="2:17" x14ac:dyDescent="0.3">
      <c r="B153" s="741"/>
      <c r="C153" s="741"/>
      <c r="D153" s="741"/>
      <c r="E153" s="741"/>
      <c r="F153" s="741"/>
      <c r="G153" s="741"/>
      <c r="H153" s="741"/>
      <c r="I153" s="741"/>
      <c r="J153" s="741"/>
      <c r="K153" s="741"/>
      <c r="L153" s="741"/>
      <c r="M153" s="741"/>
      <c r="N153" s="741"/>
      <c r="O153" s="741"/>
      <c r="P153" s="741"/>
      <c r="Q153" s="741"/>
    </row>
    <row r="154" spans="2:17" x14ac:dyDescent="0.3">
      <c r="B154" s="741"/>
      <c r="C154" s="741"/>
      <c r="D154" s="741"/>
      <c r="E154" s="741"/>
      <c r="F154" s="741"/>
      <c r="G154" s="741"/>
      <c r="H154" s="741"/>
      <c r="I154" s="741"/>
      <c r="J154" s="741"/>
      <c r="K154" s="741"/>
      <c r="L154" s="741"/>
      <c r="M154" s="741"/>
      <c r="N154" s="741"/>
      <c r="O154" s="741"/>
      <c r="P154" s="741"/>
      <c r="Q154" s="741"/>
    </row>
    <row r="155" spans="2:17" x14ac:dyDescent="0.3">
      <c r="B155" s="741"/>
      <c r="C155" s="741"/>
      <c r="D155" s="741"/>
      <c r="E155" s="741"/>
      <c r="F155" s="741"/>
      <c r="G155" s="741"/>
      <c r="H155" s="741"/>
      <c r="I155" s="741"/>
      <c r="J155" s="741"/>
      <c r="K155" s="741"/>
      <c r="L155" s="741"/>
      <c r="M155" s="741"/>
      <c r="N155" s="741"/>
      <c r="O155" s="741"/>
      <c r="P155" s="741"/>
      <c r="Q155" s="741"/>
    </row>
    <row r="156" spans="2:17" x14ac:dyDescent="0.3">
      <c r="B156" s="741"/>
      <c r="C156" s="741"/>
      <c r="D156" s="741"/>
      <c r="E156" s="741"/>
      <c r="F156" s="741"/>
      <c r="G156" s="741"/>
      <c r="H156" s="741"/>
      <c r="I156" s="741"/>
      <c r="J156" s="741"/>
      <c r="K156" s="741"/>
      <c r="L156" s="741"/>
      <c r="M156" s="741"/>
      <c r="N156" s="741"/>
      <c r="O156" s="741"/>
      <c r="P156" s="741"/>
      <c r="Q156" s="741"/>
    </row>
    <row r="157" spans="2:17" x14ac:dyDescent="0.3">
      <c r="B157" s="741"/>
      <c r="C157" s="741"/>
      <c r="D157" s="741"/>
      <c r="E157" s="741"/>
      <c r="F157" s="741"/>
      <c r="G157" s="741"/>
      <c r="H157" s="741"/>
      <c r="I157" s="741"/>
      <c r="J157" s="741"/>
      <c r="K157" s="741"/>
      <c r="L157" s="741"/>
      <c r="M157" s="741"/>
      <c r="N157" s="741"/>
      <c r="O157" s="741"/>
      <c r="P157" s="741"/>
      <c r="Q157" s="741"/>
    </row>
    <row r="158" spans="2:17" x14ac:dyDescent="0.3">
      <c r="B158" s="741"/>
      <c r="C158" s="741"/>
      <c r="D158" s="741"/>
      <c r="E158" s="741"/>
      <c r="F158" s="741"/>
      <c r="G158" s="741"/>
      <c r="H158" s="741"/>
      <c r="I158" s="741"/>
      <c r="J158" s="741"/>
      <c r="K158" s="741"/>
      <c r="L158" s="741"/>
      <c r="M158" s="741"/>
      <c r="N158" s="741"/>
      <c r="O158" s="741"/>
      <c r="P158" s="741"/>
      <c r="Q158" s="741"/>
    </row>
    <row r="159" spans="2:17" x14ac:dyDescent="0.3">
      <c r="B159" s="741"/>
      <c r="C159" s="741"/>
      <c r="D159" s="741"/>
      <c r="E159" s="741"/>
      <c r="F159" s="741"/>
      <c r="G159" s="741"/>
      <c r="H159" s="741"/>
      <c r="I159" s="741"/>
      <c r="J159" s="741"/>
      <c r="K159" s="741"/>
      <c r="L159" s="741"/>
      <c r="M159" s="741"/>
      <c r="N159" s="741"/>
      <c r="O159" s="741"/>
      <c r="P159" s="741"/>
      <c r="Q159" s="741"/>
    </row>
    <row r="160" spans="2:17" x14ac:dyDescent="0.3">
      <c r="B160" s="741"/>
      <c r="C160" s="741"/>
      <c r="D160" s="741"/>
      <c r="E160" s="741"/>
      <c r="F160" s="741"/>
      <c r="G160" s="741"/>
      <c r="H160" s="741"/>
      <c r="I160" s="741"/>
      <c r="J160" s="741"/>
      <c r="K160" s="741"/>
      <c r="L160" s="741"/>
      <c r="M160" s="741"/>
      <c r="N160" s="741"/>
      <c r="O160" s="741"/>
      <c r="P160" s="741"/>
      <c r="Q160" s="741"/>
    </row>
    <row r="161" spans="2:17" x14ac:dyDescent="0.3">
      <c r="B161" s="741"/>
      <c r="C161" s="741"/>
      <c r="D161" s="741"/>
      <c r="E161" s="741"/>
      <c r="F161" s="741"/>
      <c r="G161" s="741"/>
      <c r="H161" s="741"/>
      <c r="I161" s="741"/>
      <c r="J161" s="741"/>
      <c r="K161" s="741"/>
      <c r="L161" s="741"/>
      <c r="M161" s="741"/>
      <c r="N161" s="741"/>
      <c r="O161" s="741"/>
      <c r="P161" s="741"/>
      <c r="Q161" s="741"/>
    </row>
    <row r="162" spans="2:17" x14ac:dyDescent="0.3">
      <c r="B162" s="741"/>
      <c r="C162" s="741"/>
      <c r="D162" s="741"/>
      <c r="E162" s="741"/>
      <c r="F162" s="741"/>
      <c r="G162" s="741"/>
      <c r="H162" s="741"/>
      <c r="I162" s="741"/>
      <c r="J162" s="741"/>
      <c r="K162" s="741"/>
      <c r="L162" s="741"/>
      <c r="M162" s="741"/>
      <c r="N162" s="741"/>
      <c r="O162" s="741"/>
      <c r="P162" s="741"/>
      <c r="Q162" s="741"/>
    </row>
    <row r="163" spans="2:17" x14ac:dyDescent="0.3">
      <c r="B163" s="741"/>
      <c r="C163" s="741"/>
      <c r="D163" s="741"/>
      <c r="E163" s="741"/>
      <c r="F163" s="741"/>
      <c r="G163" s="741"/>
      <c r="H163" s="741"/>
      <c r="I163" s="741"/>
      <c r="J163" s="741"/>
      <c r="K163" s="741"/>
      <c r="L163" s="741"/>
      <c r="M163" s="741"/>
      <c r="N163" s="741"/>
      <c r="O163" s="741"/>
      <c r="P163" s="741"/>
      <c r="Q163" s="741"/>
    </row>
    <row r="164" spans="2:17" x14ac:dyDescent="0.3">
      <c r="B164" s="741"/>
      <c r="C164" s="741"/>
      <c r="D164" s="741"/>
      <c r="E164" s="741"/>
      <c r="F164" s="741"/>
      <c r="G164" s="741"/>
      <c r="H164" s="741"/>
      <c r="I164" s="741"/>
      <c r="J164" s="741"/>
      <c r="K164" s="741"/>
      <c r="L164" s="741"/>
      <c r="M164" s="741"/>
      <c r="N164" s="741"/>
      <c r="O164" s="741"/>
      <c r="P164" s="741"/>
      <c r="Q164" s="741"/>
    </row>
    <row r="165" spans="2:17" x14ac:dyDescent="0.3">
      <c r="B165" s="741"/>
      <c r="C165" s="741"/>
      <c r="D165" s="741"/>
      <c r="E165" s="741"/>
      <c r="F165" s="741"/>
      <c r="G165" s="741"/>
      <c r="H165" s="741"/>
      <c r="I165" s="741"/>
      <c r="J165" s="741"/>
      <c r="K165" s="741"/>
      <c r="L165" s="741"/>
      <c r="M165" s="741"/>
      <c r="N165" s="741"/>
      <c r="O165" s="741"/>
      <c r="P165" s="741"/>
      <c r="Q165" s="741"/>
    </row>
    <row r="166" spans="2:17" x14ac:dyDescent="0.3">
      <c r="B166" s="741"/>
      <c r="C166" s="741"/>
      <c r="D166" s="741"/>
      <c r="E166" s="741"/>
      <c r="F166" s="741"/>
      <c r="G166" s="741"/>
      <c r="H166" s="741"/>
      <c r="I166" s="741"/>
      <c r="J166" s="741"/>
      <c r="K166" s="741"/>
      <c r="L166" s="741"/>
      <c r="M166" s="741"/>
      <c r="N166" s="741"/>
      <c r="O166" s="741"/>
      <c r="P166" s="741"/>
      <c r="Q166" s="741"/>
    </row>
    <row r="167" spans="2:17" x14ac:dyDescent="0.3">
      <c r="B167" s="741"/>
      <c r="C167" s="741"/>
      <c r="D167" s="741"/>
      <c r="E167" s="741"/>
      <c r="F167" s="741"/>
      <c r="G167" s="741"/>
      <c r="H167" s="741"/>
      <c r="I167" s="741"/>
      <c r="J167" s="741"/>
      <c r="K167" s="741"/>
      <c r="L167" s="741"/>
      <c r="M167" s="741"/>
      <c r="N167" s="741"/>
      <c r="O167" s="741"/>
      <c r="P167" s="741"/>
      <c r="Q167" s="741"/>
    </row>
    <row r="168" spans="2:17" x14ac:dyDescent="0.3">
      <c r="B168" s="741"/>
      <c r="C168" s="741"/>
      <c r="D168" s="741"/>
      <c r="E168" s="741"/>
      <c r="F168" s="741"/>
      <c r="G168" s="741"/>
      <c r="H168" s="741"/>
      <c r="I168" s="741"/>
      <c r="J168" s="741"/>
      <c r="K168" s="741"/>
      <c r="L168" s="741"/>
      <c r="M168" s="741"/>
      <c r="N168" s="741"/>
      <c r="O168" s="741"/>
      <c r="P168" s="741"/>
      <c r="Q168" s="741"/>
    </row>
    <row r="169" spans="2:17" x14ac:dyDescent="0.3">
      <c r="B169" s="741"/>
      <c r="C169" s="741"/>
      <c r="D169" s="741"/>
      <c r="E169" s="741"/>
      <c r="F169" s="741"/>
      <c r="G169" s="741"/>
      <c r="H169" s="741"/>
      <c r="I169" s="741"/>
      <c r="J169" s="741"/>
      <c r="K169" s="741"/>
      <c r="L169" s="741"/>
      <c r="M169" s="741"/>
      <c r="N169" s="741"/>
      <c r="O169" s="741"/>
      <c r="P169" s="741"/>
      <c r="Q169" s="741"/>
    </row>
    <row r="170" spans="2:17" x14ac:dyDescent="0.3">
      <c r="B170" s="741"/>
      <c r="C170" s="741"/>
      <c r="D170" s="741"/>
      <c r="E170" s="741"/>
      <c r="F170" s="741"/>
      <c r="G170" s="741"/>
      <c r="H170" s="741"/>
      <c r="I170" s="741"/>
      <c r="J170" s="741"/>
      <c r="K170" s="741"/>
      <c r="L170" s="741"/>
      <c r="M170" s="741"/>
      <c r="N170" s="741"/>
      <c r="O170" s="741"/>
      <c r="P170" s="741"/>
      <c r="Q170" s="741"/>
    </row>
    <row r="171" spans="2:17" x14ac:dyDescent="0.3">
      <c r="B171" s="741"/>
      <c r="C171" s="741"/>
      <c r="D171" s="741"/>
      <c r="E171" s="741"/>
      <c r="F171" s="741"/>
      <c r="G171" s="741"/>
      <c r="H171" s="741"/>
      <c r="I171" s="741"/>
      <c r="J171" s="741"/>
      <c r="K171" s="741"/>
      <c r="L171" s="741"/>
      <c r="M171" s="741"/>
      <c r="N171" s="741"/>
      <c r="O171" s="741"/>
      <c r="P171" s="741"/>
      <c r="Q171" s="741"/>
    </row>
    <row r="172" spans="2:17" x14ac:dyDescent="0.3">
      <c r="B172" s="741"/>
      <c r="C172" s="741"/>
      <c r="D172" s="741"/>
      <c r="E172" s="741"/>
      <c r="F172" s="741"/>
      <c r="G172" s="741"/>
      <c r="H172" s="741"/>
      <c r="I172" s="741"/>
      <c r="J172" s="741"/>
      <c r="K172" s="741"/>
      <c r="L172" s="741"/>
      <c r="M172" s="741"/>
      <c r="N172" s="741"/>
      <c r="O172" s="741"/>
      <c r="P172" s="741"/>
      <c r="Q172" s="741"/>
    </row>
    <row r="173" spans="2:17" x14ac:dyDescent="0.3">
      <c r="B173" s="741"/>
      <c r="C173" s="741"/>
      <c r="D173" s="741"/>
      <c r="E173" s="741"/>
      <c r="F173" s="741"/>
      <c r="G173" s="741"/>
      <c r="H173" s="741"/>
      <c r="I173" s="741"/>
      <c r="J173" s="741"/>
      <c r="K173" s="741"/>
      <c r="L173" s="741"/>
      <c r="M173" s="741"/>
      <c r="N173" s="741"/>
      <c r="O173" s="741"/>
      <c r="P173" s="741"/>
      <c r="Q173" s="741"/>
    </row>
    <row r="174" spans="2:17" x14ac:dyDescent="0.3">
      <c r="B174" s="741"/>
      <c r="C174" s="741"/>
      <c r="D174" s="741"/>
      <c r="E174" s="741"/>
      <c r="F174" s="741"/>
      <c r="G174" s="741"/>
      <c r="H174" s="741"/>
      <c r="I174" s="741"/>
      <c r="J174" s="741"/>
      <c r="K174" s="741"/>
      <c r="L174" s="741"/>
      <c r="M174" s="741"/>
      <c r="N174" s="741"/>
      <c r="O174" s="741"/>
      <c r="P174" s="741"/>
      <c r="Q174" s="741"/>
    </row>
    <row r="175" spans="2:17" x14ac:dyDescent="0.3">
      <c r="B175" s="741"/>
      <c r="C175" s="741"/>
      <c r="D175" s="741"/>
      <c r="E175" s="741"/>
      <c r="F175" s="741"/>
      <c r="G175" s="741"/>
      <c r="H175" s="741"/>
      <c r="I175" s="741"/>
      <c r="J175" s="741"/>
      <c r="K175" s="741"/>
      <c r="L175" s="741"/>
      <c r="M175" s="741"/>
      <c r="N175" s="741"/>
      <c r="O175" s="741"/>
      <c r="P175" s="741"/>
      <c r="Q175" s="741"/>
    </row>
    <row r="176" spans="2:17" x14ac:dyDescent="0.3">
      <c r="B176" s="741"/>
      <c r="C176" s="741"/>
      <c r="D176" s="741"/>
      <c r="E176" s="741"/>
      <c r="F176" s="741"/>
      <c r="G176" s="741"/>
      <c r="H176" s="741"/>
      <c r="I176" s="741"/>
      <c r="J176" s="741"/>
      <c r="K176" s="741"/>
      <c r="L176" s="741"/>
      <c r="M176" s="741"/>
      <c r="N176" s="741"/>
      <c r="O176" s="741"/>
      <c r="P176" s="741"/>
      <c r="Q176" s="741"/>
    </row>
    <row r="177" spans="2:17" x14ac:dyDescent="0.3">
      <c r="B177" s="741"/>
      <c r="C177" s="741"/>
      <c r="D177" s="741"/>
      <c r="E177" s="741"/>
      <c r="F177" s="741"/>
      <c r="G177" s="741"/>
      <c r="H177" s="741"/>
      <c r="I177" s="741"/>
      <c r="J177" s="741"/>
      <c r="K177" s="741"/>
      <c r="L177" s="741"/>
      <c r="M177" s="741"/>
      <c r="N177" s="741"/>
      <c r="O177" s="741"/>
      <c r="P177" s="741"/>
      <c r="Q177" s="741"/>
    </row>
    <row r="178" spans="2:17" x14ac:dyDescent="0.3">
      <c r="B178" s="741"/>
      <c r="C178" s="741"/>
      <c r="D178" s="741"/>
      <c r="E178" s="741"/>
      <c r="F178" s="741"/>
      <c r="G178" s="741"/>
      <c r="H178" s="741"/>
      <c r="I178" s="741"/>
      <c r="J178" s="741"/>
      <c r="K178" s="741"/>
      <c r="L178" s="741"/>
      <c r="M178" s="741"/>
      <c r="N178" s="741"/>
      <c r="O178" s="741"/>
      <c r="P178" s="741"/>
      <c r="Q178" s="741"/>
    </row>
    <row r="179" spans="2:17" x14ac:dyDescent="0.3">
      <c r="B179" s="741"/>
      <c r="C179" s="741"/>
      <c r="D179" s="741"/>
      <c r="E179" s="741"/>
      <c r="F179" s="741"/>
      <c r="G179" s="741"/>
      <c r="H179" s="741"/>
      <c r="I179" s="741"/>
      <c r="J179" s="741"/>
      <c r="K179" s="741"/>
      <c r="L179" s="741"/>
      <c r="M179" s="741"/>
      <c r="N179" s="741"/>
      <c r="O179" s="741"/>
      <c r="P179" s="741"/>
      <c r="Q179" s="741"/>
    </row>
    <row r="180" spans="2:17" x14ac:dyDescent="0.3">
      <c r="B180" s="741"/>
      <c r="C180" s="741"/>
      <c r="D180" s="741"/>
      <c r="E180" s="741"/>
      <c r="F180" s="741"/>
      <c r="G180" s="741"/>
      <c r="H180" s="741"/>
      <c r="I180" s="741"/>
      <c r="J180" s="741"/>
      <c r="K180" s="741"/>
      <c r="L180" s="741"/>
      <c r="M180" s="741"/>
      <c r="N180" s="741"/>
      <c r="O180" s="741"/>
      <c r="P180" s="741"/>
      <c r="Q180" s="741"/>
    </row>
    <row r="181" spans="2:17" x14ac:dyDescent="0.3">
      <c r="B181" s="741"/>
      <c r="C181" s="741"/>
      <c r="D181" s="741"/>
      <c r="E181" s="741"/>
      <c r="F181" s="741"/>
      <c r="G181" s="741"/>
      <c r="H181" s="741"/>
      <c r="I181" s="741"/>
      <c r="J181" s="741"/>
      <c r="K181" s="741"/>
      <c r="L181" s="741"/>
      <c r="M181" s="741"/>
      <c r="N181" s="741"/>
      <c r="O181" s="741"/>
      <c r="P181" s="741"/>
      <c r="Q181" s="741"/>
    </row>
    <row r="182" spans="2:17" x14ac:dyDescent="0.3">
      <c r="B182" s="741"/>
      <c r="C182" s="741"/>
      <c r="D182" s="741"/>
      <c r="E182" s="741"/>
      <c r="F182" s="741"/>
      <c r="G182" s="741"/>
      <c r="H182" s="741"/>
      <c r="I182" s="741"/>
      <c r="J182" s="741"/>
      <c r="K182" s="741"/>
      <c r="L182" s="741"/>
      <c r="M182" s="741"/>
      <c r="N182" s="741"/>
      <c r="O182" s="741"/>
      <c r="P182" s="741"/>
      <c r="Q182" s="741"/>
    </row>
    <row r="183" spans="2:17" x14ac:dyDescent="0.3">
      <c r="B183" s="741"/>
      <c r="C183" s="741"/>
      <c r="D183" s="741"/>
      <c r="E183" s="741"/>
      <c r="F183" s="741"/>
      <c r="G183" s="741"/>
      <c r="H183" s="741"/>
      <c r="I183" s="741"/>
      <c r="J183" s="741"/>
      <c r="K183" s="741"/>
      <c r="L183" s="741"/>
      <c r="M183" s="741"/>
      <c r="N183" s="741"/>
      <c r="O183" s="741"/>
      <c r="P183" s="741"/>
      <c r="Q183" s="741"/>
    </row>
    <row r="184" spans="2:17" x14ac:dyDescent="0.3">
      <c r="B184" s="741"/>
      <c r="C184" s="741"/>
      <c r="D184" s="741"/>
      <c r="E184" s="741"/>
      <c r="F184" s="741"/>
      <c r="G184" s="741"/>
      <c r="H184" s="741"/>
      <c r="I184" s="741"/>
      <c r="J184" s="741"/>
      <c r="K184" s="741"/>
      <c r="L184" s="741"/>
      <c r="M184" s="741"/>
      <c r="N184" s="741"/>
      <c r="O184" s="741"/>
      <c r="P184" s="741"/>
      <c r="Q184" s="741"/>
    </row>
    <row r="185" spans="2:17" x14ac:dyDescent="0.3">
      <c r="B185" s="741"/>
      <c r="C185" s="741"/>
      <c r="D185" s="741"/>
      <c r="E185" s="741"/>
      <c r="F185" s="741"/>
      <c r="G185" s="741"/>
      <c r="H185" s="741"/>
      <c r="I185" s="741"/>
      <c r="J185" s="741"/>
      <c r="K185" s="741"/>
      <c r="L185" s="741"/>
      <c r="M185" s="741"/>
      <c r="N185" s="741"/>
      <c r="O185" s="741"/>
      <c r="P185" s="741"/>
      <c r="Q185" s="741"/>
    </row>
    <row r="186" spans="2:17" x14ac:dyDescent="0.3">
      <c r="B186" s="741"/>
      <c r="C186" s="741"/>
      <c r="D186" s="741"/>
      <c r="E186" s="741"/>
      <c r="F186" s="741"/>
      <c r="G186" s="741"/>
      <c r="H186" s="741"/>
      <c r="I186" s="741"/>
      <c r="J186" s="741"/>
      <c r="K186" s="741"/>
      <c r="L186" s="741"/>
      <c r="M186" s="741"/>
      <c r="N186" s="741"/>
      <c r="O186" s="741"/>
      <c r="P186" s="741"/>
      <c r="Q186" s="741"/>
    </row>
    <row r="187" spans="2:17" x14ac:dyDescent="0.3">
      <c r="B187" s="741"/>
      <c r="C187" s="741"/>
      <c r="D187" s="741"/>
      <c r="E187" s="741"/>
      <c r="F187" s="741"/>
      <c r="G187" s="741"/>
      <c r="H187" s="741"/>
      <c r="I187" s="741"/>
      <c r="J187" s="741"/>
      <c r="K187" s="741"/>
      <c r="L187" s="741"/>
      <c r="M187" s="741"/>
      <c r="N187" s="741"/>
      <c r="O187" s="741"/>
      <c r="P187" s="741"/>
      <c r="Q187" s="741"/>
    </row>
    <row r="188" spans="2:17" x14ac:dyDescent="0.3">
      <c r="B188" s="741"/>
      <c r="C188" s="741"/>
      <c r="D188" s="741"/>
      <c r="E188" s="741"/>
      <c r="F188" s="741"/>
      <c r="G188" s="741"/>
      <c r="H188" s="741"/>
      <c r="I188" s="741"/>
      <c r="J188" s="741"/>
      <c r="K188" s="741"/>
      <c r="L188" s="741"/>
      <c r="M188" s="741"/>
      <c r="N188" s="741"/>
      <c r="O188" s="741"/>
      <c r="P188" s="741"/>
      <c r="Q188" s="741"/>
    </row>
    <row r="189" spans="2:17" x14ac:dyDescent="0.3">
      <c r="B189" s="741"/>
      <c r="C189" s="741"/>
      <c r="D189" s="741"/>
      <c r="E189" s="741"/>
      <c r="F189" s="741"/>
      <c r="G189" s="741"/>
      <c r="H189" s="741"/>
      <c r="I189" s="741"/>
      <c r="J189" s="741"/>
      <c r="K189" s="741"/>
      <c r="L189" s="741"/>
      <c r="M189" s="741"/>
      <c r="N189" s="741"/>
      <c r="O189" s="741"/>
      <c r="P189" s="741"/>
      <c r="Q189" s="741"/>
    </row>
    <row r="190" spans="2:17" x14ac:dyDescent="0.3">
      <c r="B190" s="741"/>
      <c r="C190" s="741"/>
      <c r="D190" s="741"/>
      <c r="E190" s="741"/>
      <c r="F190" s="741"/>
      <c r="G190" s="741"/>
      <c r="H190" s="741"/>
      <c r="I190" s="741"/>
      <c r="J190" s="741"/>
      <c r="K190" s="741"/>
      <c r="L190" s="741"/>
      <c r="M190" s="741"/>
      <c r="N190" s="741"/>
      <c r="O190" s="741"/>
      <c r="P190" s="741"/>
      <c r="Q190" s="741"/>
    </row>
    <row r="191" spans="2:17" x14ac:dyDescent="0.3">
      <c r="B191" s="741"/>
      <c r="C191" s="741"/>
      <c r="D191" s="741"/>
      <c r="E191" s="741"/>
      <c r="F191" s="741"/>
      <c r="G191" s="741"/>
      <c r="H191" s="741"/>
      <c r="I191" s="741"/>
      <c r="J191" s="741"/>
      <c r="K191" s="741"/>
      <c r="L191" s="741"/>
      <c r="M191" s="741"/>
      <c r="N191" s="741"/>
      <c r="O191" s="741"/>
      <c r="P191" s="741"/>
      <c r="Q191" s="741"/>
    </row>
    <row r="192" spans="2:17" x14ac:dyDescent="0.3">
      <c r="B192" s="741"/>
      <c r="C192" s="741"/>
      <c r="D192" s="741"/>
      <c r="E192" s="741"/>
      <c r="F192" s="741"/>
      <c r="G192" s="741"/>
      <c r="H192" s="741"/>
      <c r="I192" s="741"/>
      <c r="J192" s="741"/>
      <c r="K192" s="741"/>
      <c r="L192" s="741"/>
      <c r="M192" s="741"/>
      <c r="N192" s="741"/>
      <c r="O192" s="741"/>
      <c r="P192" s="741"/>
      <c r="Q192" s="741"/>
    </row>
    <row r="193" spans="2:17" x14ac:dyDescent="0.3">
      <c r="B193" s="741"/>
      <c r="C193" s="741"/>
      <c r="D193" s="741"/>
      <c r="E193" s="741"/>
      <c r="F193" s="741"/>
      <c r="G193" s="741"/>
      <c r="H193" s="741"/>
      <c r="I193" s="741"/>
      <c r="J193" s="741"/>
      <c r="K193" s="741"/>
      <c r="L193" s="741"/>
      <c r="M193" s="741"/>
      <c r="N193" s="741"/>
      <c r="O193" s="741"/>
      <c r="P193" s="741"/>
      <c r="Q193" s="741"/>
    </row>
    <row r="194" spans="2:17" x14ac:dyDescent="0.3">
      <c r="B194" s="741"/>
      <c r="C194" s="741"/>
      <c r="D194" s="741"/>
      <c r="E194" s="741"/>
      <c r="F194" s="741"/>
      <c r="G194" s="741"/>
      <c r="H194" s="741"/>
      <c r="I194" s="741"/>
      <c r="J194" s="741"/>
      <c r="K194" s="741"/>
      <c r="L194" s="741"/>
      <c r="M194" s="741"/>
      <c r="N194" s="741"/>
      <c r="O194" s="741"/>
      <c r="P194" s="741"/>
      <c r="Q194" s="741"/>
    </row>
    <row r="195" spans="2:17" x14ac:dyDescent="0.3">
      <c r="B195" s="741"/>
      <c r="C195" s="741"/>
      <c r="D195" s="741"/>
      <c r="E195" s="741"/>
      <c r="F195" s="741"/>
      <c r="G195" s="741"/>
      <c r="H195" s="741"/>
      <c r="I195" s="741"/>
      <c r="J195" s="741"/>
      <c r="K195" s="741"/>
      <c r="L195" s="741"/>
      <c r="M195" s="741"/>
      <c r="N195" s="741"/>
      <c r="O195" s="741"/>
      <c r="P195" s="741"/>
      <c r="Q195" s="741"/>
    </row>
    <row r="196" spans="2:17" x14ac:dyDescent="0.3">
      <c r="B196" s="741"/>
      <c r="C196" s="741"/>
      <c r="D196" s="741"/>
      <c r="E196" s="741"/>
      <c r="F196" s="741"/>
      <c r="G196" s="741"/>
      <c r="H196" s="741"/>
      <c r="I196" s="741"/>
      <c r="J196" s="741"/>
      <c r="K196" s="741"/>
      <c r="L196" s="741"/>
      <c r="M196" s="741"/>
      <c r="N196" s="741"/>
      <c r="O196" s="741"/>
      <c r="P196" s="741"/>
      <c r="Q196" s="741"/>
    </row>
    <row r="197" spans="2:17" x14ac:dyDescent="0.3">
      <c r="B197" s="741"/>
      <c r="C197" s="741"/>
      <c r="D197" s="741"/>
      <c r="E197" s="741"/>
      <c r="F197" s="741"/>
      <c r="G197" s="741"/>
      <c r="H197" s="741"/>
      <c r="I197" s="741"/>
      <c r="J197" s="741"/>
      <c r="K197" s="741"/>
      <c r="L197" s="741"/>
      <c r="M197" s="741"/>
      <c r="N197" s="741"/>
      <c r="O197" s="741"/>
      <c r="P197" s="741"/>
      <c r="Q197" s="741"/>
    </row>
    <row r="198" spans="2:17" x14ac:dyDescent="0.3">
      <c r="B198" s="741"/>
      <c r="C198" s="741"/>
      <c r="D198" s="741"/>
      <c r="E198" s="741"/>
      <c r="F198" s="741"/>
      <c r="G198" s="741"/>
      <c r="H198" s="741"/>
      <c r="I198" s="741"/>
      <c r="J198" s="741"/>
      <c r="K198" s="741"/>
      <c r="L198" s="741"/>
      <c r="M198" s="741"/>
      <c r="N198" s="741"/>
      <c r="O198" s="741"/>
      <c r="P198" s="741"/>
      <c r="Q198" s="741"/>
    </row>
    <row r="199" spans="2:17" x14ac:dyDescent="0.3">
      <c r="B199" s="741"/>
      <c r="C199" s="741"/>
      <c r="D199" s="741"/>
      <c r="E199" s="741"/>
      <c r="F199" s="741"/>
      <c r="G199" s="741"/>
      <c r="H199" s="741"/>
      <c r="I199" s="741"/>
      <c r="J199" s="741"/>
      <c r="K199" s="741"/>
      <c r="L199" s="741"/>
      <c r="M199" s="741"/>
      <c r="N199" s="741"/>
      <c r="O199" s="741"/>
      <c r="P199" s="741"/>
      <c r="Q199" s="741"/>
    </row>
    <row r="200" spans="2:17" x14ac:dyDescent="0.3">
      <c r="B200" s="741"/>
      <c r="C200" s="741"/>
      <c r="D200" s="741"/>
      <c r="E200" s="741"/>
      <c r="F200" s="741"/>
      <c r="G200" s="741"/>
      <c r="H200" s="741"/>
      <c r="I200" s="741"/>
      <c r="J200" s="741"/>
      <c r="K200" s="741"/>
      <c r="L200" s="741"/>
      <c r="M200" s="741"/>
      <c r="N200" s="741"/>
      <c r="O200" s="741"/>
      <c r="P200" s="741"/>
      <c r="Q200" s="741"/>
    </row>
    <row r="201" spans="2:17" x14ac:dyDescent="0.3">
      <c r="B201" s="741"/>
      <c r="C201" s="741"/>
      <c r="D201" s="741"/>
      <c r="E201" s="741"/>
      <c r="F201" s="741"/>
      <c r="G201" s="741"/>
      <c r="H201" s="741"/>
      <c r="I201" s="741"/>
      <c r="J201" s="741"/>
      <c r="K201" s="741"/>
      <c r="L201" s="741"/>
      <c r="M201" s="741"/>
      <c r="N201" s="741"/>
      <c r="O201" s="741"/>
      <c r="P201" s="741"/>
      <c r="Q201" s="741"/>
    </row>
    <row r="202" spans="2:17" x14ac:dyDescent="0.3">
      <c r="B202" s="741"/>
      <c r="C202" s="741"/>
      <c r="D202" s="741"/>
      <c r="E202" s="741"/>
      <c r="F202" s="741"/>
      <c r="G202" s="741"/>
      <c r="H202" s="741"/>
      <c r="I202" s="741"/>
      <c r="J202" s="741"/>
      <c r="K202" s="741"/>
      <c r="L202" s="741"/>
      <c r="M202" s="741"/>
      <c r="N202" s="741"/>
      <c r="O202" s="741"/>
      <c r="P202" s="741"/>
      <c r="Q202" s="741"/>
    </row>
    <row r="203" spans="2:17" x14ac:dyDescent="0.3">
      <c r="B203" s="741"/>
      <c r="C203" s="741"/>
      <c r="D203" s="741"/>
      <c r="E203" s="741"/>
      <c r="F203" s="741"/>
      <c r="G203" s="741"/>
      <c r="H203" s="741"/>
      <c r="I203" s="741"/>
      <c r="J203" s="741"/>
      <c r="K203" s="741"/>
      <c r="L203" s="741"/>
      <c r="M203" s="741"/>
      <c r="N203" s="741"/>
      <c r="O203" s="741"/>
      <c r="P203" s="741"/>
      <c r="Q203" s="741"/>
    </row>
    <row r="204" spans="2:17" x14ac:dyDescent="0.3">
      <c r="B204" s="741"/>
      <c r="C204" s="741"/>
      <c r="D204" s="741"/>
      <c r="E204" s="741"/>
      <c r="F204" s="741"/>
      <c r="G204" s="741"/>
      <c r="H204" s="741"/>
      <c r="I204" s="741"/>
      <c r="J204" s="741"/>
      <c r="K204" s="741"/>
      <c r="L204" s="741"/>
      <c r="M204" s="741"/>
      <c r="N204" s="741"/>
      <c r="O204" s="741"/>
      <c r="P204" s="741"/>
      <c r="Q204" s="741"/>
    </row>
    <row r="205" spans="2:17" x14ac:dyDescent="0.3">
      <c r="B205" s="741"/>
      <c r="C205" s="741"/>
      <c r="D205" s="741"/>
      <c r="E205" s="741"/>
      <c r="F205" s="741"/>
      <c r="G205" s="741"/>
      <c r="H205" s="741"/>
      <c r="I205" s="741"/>
      <c r="J205" s="741"/>
      <c r="K205" s="741"/>
      <c r="L205" s="741"/>
      <c r="M205" s="741"/>
      <c r="N205" s="741"/>
      <c r="O205" s="741"/>
      <c r="P205" s="741"/>
      <c r="Q205" s="741"/>
    </row>
    <row r="206" spans="2:17" x14ac:dyDescent="0.3">
      <c r="B206" s="741"/>
      <c r="C206" s="741"/>
      <c r="D206" s="741"/>
      <c r="E206" s="741"/>
      <c r="F206" s="741"/>
      <c r="G206" s="741"/>
      <c r="H206" s="741"/>
      <c r="I206" s="741"/>
      <c r="J206" s="741"/>
      <c r="K206" s="741"/>
      <c r="L206" s="741"/>
      <c r="M206" s="741"/>
      <c r="N206" s="741"/>
      <c r="O206" s="741"/>
      <c r="P206" s="741"/>
      <c r="Q206" s="741"/>
    </row>
  </sheetData>
  <mergeCells count="10">
    <mergeCell ref="B2:E3"/>
    <mergeCell ref="J2:J3"/>
    <mergeCell ref="K2:K3"/>
    <mergeCell ref="J5:Q6"/>
    <mergeCell ref="F5:G5"/>
    <mergeCell ref="H5:I5"/>
    <mergeCell ref="B5:B6"/>
    <mergeCell ref="C5:C6"/>
    <mergeCell ref="D5:D6"/>
    <mergeCell ref="E5:E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Quote_Reset">
                <anchor moveWithCells="1" sizeWithCells="1">
                  <from>
                    <xdr:col>11</xdr:col>
                    <xdr:colOff>678180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Quote_Reset">
                <anchor moveWithCells="1" sizeWithCells="1">
                  <from>
                    <xdr:col>11</xdr:col>
                    <xdr:colOff>678180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04">
    <tabColor theme="4" tint="0.39997558519241921"/>
  </sheetPr>
  <dimension ref="A1:P30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19.77734375" style="491" bestFit="1" customWidth="1"/>
    <col min="3" max="3" width="12.21875" style="491" customWidth="1"/>
    <col min="4" max="4" width="13.88671875" style="491" bestFit="1" customWidth="1"/>
    <col min="5" max="5" width="21.33203125" style="491" bestFit="1" customWidth="1"/>
    <col min="6" max="6" width="12.88671875" style="491" bestFit="1" customWidth="1"/>
    <col min="7" max="7" width="13.6640625" style="491" bestFit="1" customWidth="1"/>
    <col min="8" max="8" width="10.33203125" style="491" bestFit="1" customWidth="1"/>
    <col min="9" max="9" width="9.109375" style="491"/>
    <col min="10" max="10" width="9.109375" style="491" customWidth="1"/>
    <col min="11" max="12" width="9.109375" style="491"/>
    <col min="13" max="14" width="9.109375" style="491" customWidth="1"/>
    <col min="15" max="16384" width="9.109375" style="491"/>
  </cols>
  <sheetData>
    <row r="1" spans="1:16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5" customHeight="1" x14ac:dyDescent="0.3">
      <c r="A2" s="27"/>
      <c r="B2" s="820" t="s">
        <v>610</v>
      </c>
      <c r="C2" s="820"/>
      <c r="D2" s="820"/>
      <c r="E2" s="820"/>
      <c r="F2" s="30"/>
      <c r="G2" s="816" t="s">
        <v>1</v>
      </c>
      <c r="H2" s="816"/>
      <c r="I2" s="816"/>
      <c r="K2" s="27"/>
      <c r="L2" s="27"/>
      <c r="M2" s="27"/>
      <c r="N2" s="27"/>
      <c r="O2" s="27"/>
      <c r="P2" s="27"/>
    </row>
    <row r="3" spans="1:16" ht="15" customHeight="1" x14ac:dyDescent="0.3">
      <c r="A3" s="27"/>
      <c r="B3" s="820"/>
      <c r="C3" s="820"/>
      <c r="D3" s="820"/>
      <c r="E3" s="820"/>
      <c r="F3" s="30"/>
      <c r="G3" s="816"/>
      <c r="H3" s="816"/>
      <c r="I3" s="816"/>
      <c r="K3" s="27"/>
      <c r="L3" s="27"/>
      <c r="M3" s="27"/>
      <c r="N3" s="27"/>
      <c r="O3" s="27"/>
      <c r="P3" s="27"/>
    </row>
    <row r="4" spans="1:16" ht="15" customHeight="1" x14ac:dyDescent="0.6">
      <c r="A4" s="27"/>
      <c r="B4" s="31"/>
      <c r="C4" s="31"/>
      <c r="D4" s="31"/>
      <c r="E4" s="3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" customHeight="1" x14ac:dyDescent="0.3">
      <c r="A5" s="27"/>
      <c r="B5" s="815" t="s">
        <v>220</v>
      </c>
      <c r="C5" s="35" t="s">
        <v>221</v>
      </c>
      <c r="D5" s="33"/>
      <c r="E5" s="34" t="s">
        <v>222</v>
      </c>
      <c r="F5" s="33"/>
      <c r="G5" s="35" t="s">
        <v>466</v>
      </c>
      <c r="H5" s="33"/>
      <c r="I5" s="27"/>
      <c r="O5" s="27"/>
    </row>
    <row r="6" spans="1:16" ht="15" customHeight="1" x14ac:dyDescent="0.3">
      <c r="A6" s="27"/>
      <c r="B6" s="815"/>
      <c r="C6" s="39" t="s">
        <v>223</v>
      </c>
      <c r="D6" s="36"/>
      <c r="E6" s="37" t="s">
        <v>224</v>
      </c>
      <c r="F6" s="38"/>
      <c r="G6" s="39" t="s">
        <v>467</v>
      </c>
      <c r="H6" s="36"/>
      <c r="I6" s="27"/>
      <c r="O6" s="27"/>
    </row>
    <row r="7" spans="1:16" ht="15" customHeight="1" x14ac:dyDescent="0.3">
      <c r="A7" s="27"/>
      <c r="B7" s="821" t="s">
        <v>226</v>
      </c>
      <c r="C7" s="212" t="s">
        <v>227</v>
      </c>
      <c r="D7" s="299" t="s">
        <v>154</v>
      </c>
      <c r="E7" s="32" t="s">
        <v>228</v>
      </c>
      <c r="F7" s="40"/>
      <c r="G7" s="32" t="s">
        <v>468</v>
      </c>
      <c r="H7" s="41"/>
      <c r="I7" s="27"/>
      <c r="O7" s="27"/>
    </row>
    <row r="8" spans="1:16" ht="15" customHeight="1" x14ac:dyDescent="0.3">
      <c r="A8" s="27"/>
      <c r="B8" s="821"/>
      <c r="C8" s="212" t="s">
        <v>229</v>
      </c>
      <c r="D8" s="45" t="s">
        <v>154</v>
      </c>
      <c r="E8" s="44" t="s">
        <v>230</v>
      </c>
      <c r="F8" s="45"/>
      <c r="G8" s="44" t="s">
        <v>469</v>
      </c>
      <c r="H8" s="45"/>
      <c r="I8" s="27"/>
      <c r="O8" s="27"/>
    </row>
    <row r="9" spans="1:16" ht="15" customHeight="1" x14ac:dyDescent="0.3">
      <c r="A9" s="27"/>
      <c r="B9" s="821"/>
      <c r="C9" s="212" t="s">
        <v>231</v>
      </c>
      <c r="D9" s="45" t="s">
        <v>154</v>
      </c>
      <c r="E9" s="44" t="s">
        <v>232</v>
      </c>
      <c r="F9" s="45"/>
      <c r="G9" s="44" t="s">
        <v>470</v>
      </c>
      <c r="H9" s="49"/>
      <c r="I9" s="27"/>
    </row>
    <row r="10" spans="1:16" ht="15" customHeight="1" x14ac:dyDescent="0.3">
      <c r="A10" s="27"/>
      <c r="B10" s="821"/>
      <c r="C10" s="212" t="s">
        <v>233</v>
      </c>
      <c r="D10" s="51" t="s">
        <v>154</v>
      </c>
      <c r="E10" s="50" t="s">
        <v>234</v>
      </c>
      <c r="F10" s="51"/>
      <c r="G10" s="50" t="s">
        <v>471</v>
      </c>
      <c r="H10" s="52"/>
      <c r="I10" s="27"/>
    </row>
    <row r="11" spans="1:16" ht="15" customHeight="1" x14ac:dyDescent="0.3">
      <c r="A11" s="27"/>
      <c r="B11" s="640" t="s">
        <v>487</v>
      </c>
      <c r="C11" s="638" t="s">
        <v>235</v>
      </c>
      <c r="D11" s="639" t="s">
        <v>130</v>
      </c>
      <c r="E11" s="638" t="s">
        <v>237</v>
      </c>
      <c r="F11" s="641" t="s">
        <v>74</v>
      </c>
      <c r="G11" s="638" t="s">
        <v>506</v>
      </c>
      <c r="H11" s="642" t="s">
        <v>154</v>
      </c>
      <c r="I11" s="27"/>
      <c r="O11" s="27"/>
      <c r="P11" s="27"/>
    </row>
    <row r="12" spans="1:16" ht="15" customHeight="1" x14ac:dyDescent="0.3">
      <c r="A12" s="27"/>
      <c r="B12" s="606" t="s">
        <v>493</v>
      </c>
      <c r="C12" s="34" t="s">
        <v>393</v>
      </c>
      <c r="D12" s="503"/>
      <c r="E12" s="34" t="s">
        <v>340</v>
      </c>
      <c r="F12" s="57"/>
      <c r="G12" s="499" t="s">
        <v>341</v>
      </c>
      <c r="H12" s="367"/>
      <c r="I12" s="27"/>
      <c r="P12" s="27"/>
    </row>
    <row r="13" spans="1:16" ht="15" customHeight="1" x14ac:dyDescent="0.3">
      <c r="A13" s="27"/>
      <c r="B13" s="606" t="s">
        <v>465</v>
      </c>
      <c r="C13" s="344" t="s">
        <v>507</v>
      </c>
      <c r="D13" s="584"/>
      <c r="E13" s="496"/>
      <c r="F13" s="497"/>
      <c r="G13" s="504"/>
      <c r="H13" s="498"/>
      <c r="I13" s="27"/>
      <c r="P13" s="27"/>
    </row>
    <row r="14" spans="1:16" ht="15" customHeight="1" x14ac:dyDescent="0.3">
      <c r="A14" s="27"/>
      <c r="I14" s="27"/>
      <c r="P14" s="27"/>
    </row>
    <row r="15" spans="1:16" ht="15" customHeight="1" x14ac:dyDescent="0.3">
      <c r="A15" s="27"/>
      <c r="B15" s="817" t="s">
        <v>607</v>
      </c>
      <c r="C15" s="817"/>
      <c r="D15" s="222"/>
      <c r="E15" s="817" t="s">
        <v>236</v>
      </c>
      <c r="F15" s="817"/>
      <c r="I15" s="27"/>
      <c r="O15" s="27"/>
      <c r="P15" s="27"/>
    </row>
    <row r="16" spans="1:16" ht="15" customHeight="1" x14ac:dyDescent="0.3">
      <c r="A16" s="27"/>
      <c r="B16" s="603" t="s">
        <v>4</v>
      </c>
      <c r="C16" s="603" t="s">
        <v>5</v>
      </c>
      <c r="D16" s="222"/>
      <c r="E16" s="858" t="s">
        <v>343</v>
      </c>
      <c r="F16" s="860"/>
      <c r="I16" s="27"/>
      <c r="O16" s="27"/>
      <c r="P16" s="27"/>
    </row>
    <row r="17" spans="1:16" ht="15" customHeight="1" x14ac:dyDescent="0.3">
      <c r="A17" s="27"/>
      <c r="B17" s="1" t="s">
        <v>601</v>
      </c>
      <c r="C17" s="213">
        <f>Formulas!C105</f>
        <v>0</v>
      </c>
      <c r="D17" s="7"/>
      <c r="E17" s="859"/>
      <c r="F17" s="861"/>
      <c r="G17" s="27"/>
      <c r="H17" s="27"/>
      <c r="I17" s="27"/>
      <c r="O17" s="27"/>
      <c r="P17" s="27"/>
    </row>
    <row r="18" spans="1:16" ht="15" customHeight="1" x14ac:dyDescent="0.3">
      <c r="B18" s="214" t="s">
        <v>602</v>
      </c>
      <c r="C18" s="215">
        <f>Formulas!C106</f>
        <v>0</v>
      </c>
      <c r="D18" s="7"/>
      <c r="E18" s="862" t="s">
        <v>344</v>
      </c>
      <c r="F18" s="863"/>
    </row>
    <row r="19" spans="1:16" ht="15" customHeight="1" x14ac:dyDescent="0.3">
      <c r="B19" s="10" t="s">
        <v>603</v>
      </c>
      <c r="C19" s="216">
        <f>Formulas!C107</f>
        <v>0</v>
      </c>
      <c r="D19" s="7"/>
      <c r="E19" s="862"/>
      <c r="F19" s="863"/>
    </row>
    <row r="20" spans="1:16" ht="15" customHeight="1" x14ac:dyDescent="0.3">
      <c r="B20" s="214" t="s">
        <v>604</v>
      </c>
      <c r="C20" s="215">
        <f>Formulas!C108</f>
        <v>0</v>
      </c>
      <c r="D20" s="7"/>
      <c r="E20" s="17" t="s">
        <v>239</v>
      </c>
      <c r="F20" s="217">
        <f>Formulas!F108</f>
        <v>0</v>
      </c>
    </row>
    <row r="21" spans="1:16" ht="15" customHeight="1" x14ac:dyDescent="0.3">
      <c r="B21" s="10" t="s">
        <v>605</v>
      </c>
      <c r="C21" s="216">
        <f>Formulas!C109</f>
        <v>0</v>
      </c>
      <c r="D21" s="7"/>
      <c r="E21" s="218"/>
      <c r="F21" s="27"/>
    </row>
    <row r="22" spans="1:16" ht="15" customHeight="1" x14ac:dyDescent="0.3">
      <c r="B22" s="214" t="s">
        <v>606</v>
      </c>
      <c r="C22" s="215">
        <f>Formulas!C110</f>
        <v>0</v>
      </c>
      <c r="D22" s="7"/>
      <c r="E22" s="817" t="s">
        <v>451</v>
      </c>
      <c r="F22" s="817"/>
    </row>
    <row r="23" spans="1:16" ht="15" customHeight="1" x14ac:dyDescent="0.3">
      <c r="B23" s="10" t="s">
        <v>598</v>
      </c>
      <c r="C23" s="216">
        <f>Formulas!C111</f>
        <v>0</v>
      </c>
      <c r="D23" s="7"/>
      <c r="E23" s="473" t="s">
        <v>452</v>
      </c>
      <c r="F23" s="300"/>
    </row>
    <row r="24" spans="1:16" ht="15" customHeight="1" x14ac:dyDescent="0.3">
      <c r="B24" s="46" t="s">
        <v>599</v>
      </c>
      <c r="C24" s="47">
        <f>Formulas!C112</f>
        <v>0</v>
      </c>
      <c r="D24" s="27"/>
      <c r="E24" s="226" t="s">
        <v>453</v>
      </c>
      <c r="F24" s="472"/>
    </row>
    <row r="25" spans="1:16" ht="15" customHeight="1" x14ac:dyDescent="0.3">
      <c r="B25" s="13" t="s">
        <v>600</v>
      </c>
      <c r="C25" s="66">
        <f>Formulas!C113</f>
        <v>0</v>
      </c>
      <c r="D25" s="27"/>
      <c r="E25" s="474" t="s">
        <v>454</v>
      </c>
      <c r="F25" s="477">
        <f>Formulas!F113</f>
        <v>0</v>
      </c>
    </row>
    <row r="26" spans="1:16" ht="15" customHeight="1" x14ac:dyDescent="0.3">
      <c r="B26" s="27"/>
      <c r="C26" s="27"/>
      <c r="D26" s="27"/>
      <c r="E26" s="27"/>
      <c r="F26" s="27"/>
    </row>
    <row r="27" spans="1:16" ht="15" customHeight="1" x14ac:dyDescent="0.3">
      <c r="B27" s="27"/>
      <c r="C27" s="27"/>
      <c r="D27" s="27"/>
      <c r="E27" s="817" t="s">
        <v>462</v>
      </c>
      <c r="F27" s="817"/>
    </row>
    <row r="28" spans="1:16" ht="15" customHeight="1" x14ac:dyDescent="0.3">
      <c r="B28" s="27"/>
      <c r="C28" s="27"/>
      <c r="D28" s="27"/>
      <c r="E28" s="473" t="s">
        <v>463</v>
      </c>
      <c r="F28" s="494" t="str">
        <f>Formulas!F116</f>
        <v>0"</v>
      </c>
    </row>
    <row r="29" spans="1:16" ht="15" customHeight="1" x14ac:dyDescent="0.3">
      <c r="E29" s="226" t="s">
        <v>464</v>
      </c>
      <c r="F29" s="47" t="str">
        <f>Formulas!F117</f>
        <v>0"</v>
      </c>
    </row>
    <row r="30" spans="1:16" ht="15" customHeight="1" x14ac:dyDescent="0.3">
      <c r="E30" s="857"/>
      <c r="F30" s="857"/>
    </row>
  </sheetData>
  <mergeCells count="13">
    <mergeCell ref="G2:I3"/>
    <mergeCell ref="B5:B6"/>
    <mergeCell ref="B15:C15"/>
    <mergeCell ref="B2:E3"/>
    <mergeCell ref="E15:F15"/>
    <mergeCell ref="B7:B10"/>
    <mergeCell ref="E30:F30"/>
    <mergeCell ref="E22:F22"/>
    <mergeCell ref="E16:E17"/>
    <mergeCell ref="F16:F17"/>
    <mergeCell ref="E18:E19"/>
    <mergeCell ref="F18:F19"/>
    <mergeCell ref="E27:F27"/>
  </mergeCells>
  <conditionalFormatting sqref="H11">
    <cfRule type="containsText" dxfId="179" priority="6" operator="containsText" text="Profile Cut">
      <formula>NOT(ISERROR(SEARCH("Profile Cut",H11)))</formula>
    </cfRule>
  </conditionalFormatting>
  <conditionalFormatting sqref="D13">
    <cfRule type="expression" dxfId="178" priority="5">
      <formula>$D$13&gt;1</formula>
    </cfRule>
  </conditionalFormatting>
  <conditionalFormatting sqref="D12">
    <cfRule type="expression" dxfId="177" priority="4">
      <formula>$D$12&gt;0</formula>
    </cfRule>
  </conditionalFormatting>
  <conditionalFormatting sqref="F12">
    <cfRule type="expression" dxfId="176" priority="3">
      <formula>$F$12&gt;0</formula>
    </cfRule>
  </conditionalFormatting>
  <conditionalFormatting sqref="H12">
    <cfRule type="expression" dxfId="175" priority="2">
      <formula>$H$12&gt;0</formula>
    </cfRule>
  </conditionalFormatting>
  <dataValidations count="10">
    <dataValidation type="list" allowBlank="1" showInputMessage="1" showErrorMessage="1" sqref="D7:D10" xr:uid="{00000000-0002-0000-0400-000000000000}">
      <formula1>Edges</formula1>
    </dataValidation>
    <dataValidation type="list" allowBlank="1" showInputMessage="1" showErrorMessage="1" sqref="D11" xr:uid="{00000000-0002-0000-0400-000001000000}">
      <formula1>Printed</formula1>
    </dataValidation>
    <dataValidation type="list" allowBlank="1" showInputMessage="1" showErrorMessage="1" sqref="F11" xr:uid="{00000000-0002-0000-0400-000002000000}">
      <formula1>SidedNoBlocker</formula1>
    </dataValidation>
    <dataValidation type="list" allowBlank="1" showInputMessage="1" showErrorMessage="1" sqref="H11" xr:uid="{00000000-0002-0000-0400-000003000000}">
      <formula1>FabricCutting</formula1>
    </dataValidation>
    <dataValidation type="decimal" operator="greaterThanOrEqual" allowBlank="1" showInputMessage="1" showErrorMessage="1" sqref="D12 F7:F10 H7:H10 H12" xr:uid="{00000000-0002-0000-0400-000004000000}">
      <formula1>0</formula1>
    </dataValidation>
    <dataValidation type="decimal" allowBlank="1" showInputMessage="1" showErrorMessage="1" sqref="F12" xr:uid="{00000000-0002-0000-0400-000005000000}">
      <formula1>0</formula1>
      <formula2>1</formula2>
    </dataValidation>
    <dataValidation type="whole" operator="greaterThan" allowBlank="1" showInputMessage="1" showErrorMessage="1" sqref="D13" xr:uid="{00000000-0002-0000-0400-000006000000}">
      <formula1>0</formula1>
    </dataValidation>
    <dataValidation type="decimal" operator="greaterThanOrEqual" allowBlank="1" showInputMessage="1" showErrorMessage="1" sqref="F23" xr:uid="{00000000-0002-0000-0400-000007000000}">
      <formula1>F24</formula1>
    </dataValidation>
    <dataValidation type="decimal" allowBlank="1" showInputMessage="1" showErrorMessage="1" sqref="F24" xr:uid="{00000000-0002-0000-0400-000008000000}">
      <formula1>0</formula1>
      <formula2>F23</formula2>
    </dataValidation>
    <dataValidation type="decimal" operator="greaterThan" allowBlank="1" showInputMessage="1" showErrorMessage="1" sqref="D5:D6 F5:F6 H5:H6 F16:F19" xr:uid="{00000000-0002-0000-0400-000009000000}">
      <formula1>0</formula1>
    </dataValidation>
  </dataValidations>
  <hyperlinks>
    <hyperlink ref="G2:H3" location="'Main Menu'!J8" display="Back to Main Menu" xr:uid="{00000000-0004-0000-0400-000000000000}"/>
    <hyperlink ref="G2:I3" location="'Main Menu'!C8" display="Back to Main Menu" xr:uid="{00000000-0004-0000-0400-000001000000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1" operator="notContains" id="{424B9A4F-DFCE-4DF3-979D-6AB507BB3A62}">
            <xm:f>ISERROR(SEARCH("None",D7))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10" operator="notContains" id="{B3025EEA-C0B2-4085-98A4-7F8E5B392BD4}">
            <xm:f>ISERROR(SEARCH("None",D8))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theme="0" tint="-0.14996795556505021"/>
                </top>
                <bottom style="thin">
                  <color theme="0" tint="-0.14996795556505021"/>
                </bottom>
              </border>
            </x14:dxf>
          </x14:cfRule>
          <xm:sqref>D8:D9</xm:sqref>
        </x14:conditionalFormatting>
        <x14:conditionalFormatting xmlns:xm="http://schemas.microsoft.com/office/excel/2006/main">
          <x14:cfRule type="containsText" priority="9" operator="containsText" id="{EDD4FCBD-B3BA-4DB7-BF51-D9A3C799A6E9}">
            <xm:f>NOT(ISERROR(SEARCH("Unprinted",D11)))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D11</xm:sqref>
        </x14:conditionalFormatting>
        <x14:conditionalFormatting xmlns:xm="http://schemas.microsoft.com/office/excel/2006/main">
          <x14:cfRule type="notContainsText" priority="8" operator="notContains" id="{7908DCE6-71B0-4678-8DDD-5B2B554A2F90}">
            <xm:f>ISERROR(SEARCH("Single Sided",F11))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F11</xm:sqref>
        </x14:conditionalFormatting>
        <x14:conditionalFormatting xmlns:xm="http://schemas.microsoft.com/office/excel/2006/main">
          <x14:cfRule type="notContainsText" priority="1" operator="notContains" id="{81E09B5A-B654-421F-A3EE-2265ECAFBB81}">
            <xm:f>ISERROR(SEARCH("None",D10))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theme="0" tint="-0.14996795556505021"/>
                </top>
                <bottom style="thin">
                  <color auto="1"/>
                </bottom>
                <vertical/>
                <horizontal/>
              </border>
            </x14:dxf>
          </x14:cfRule>
          <xm:sqref>D10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05">
    <tabColor theme="4" tint="0.39997558519241921"/>
  </sheetPr>
  <dimension ref="A1:P43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21.88671875" style="491" bestFit="1" customWidth="1"/>
    <col min="3" max="3" width="14" style="491" bestFit="1" customWidth="1"/>
    <col min="4" max="4" width="18.109375" style="491" bestFit="1" customWidth="1"/>
    <col min="5" max="5" width="12.77734375" style="491" bestFit="1" customWidth="1"/>
    <col min="6" max="6" width="16.21875" style="491" bestFit="1" customWidth="1"/>
    <col min="7" max="7" width="12.77734375" style="491" bestFit="1" customWidth="1"/>
    <col min="8" max="8" width="11.6640625" style="491" bestFit="1" customWidth="1"/>
    <col min="9" max="9" width="10.109375" style="491" customWidth="1"/>
    <col min="10" max="10" width="9.109375" style="491" customWidth="1"/>
    <col min="11" max="11" width="21.33203125" style="491" bestFit="1" customWidth="1"/>
    <col min="12" max="12" width="10.109375" style="491" customWidth="1"/>
    <col min="13" max="16384" width="9.109375" style="491"/>
  </cols>
  <sheetData>
    <row r="1" spans="1:13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3" ht="15" customHeight="1" x14ac:dyDescent="0.3">
      <c r="A2" s="27"/>
      <c r="B2" s="820" t="s">
        <v>616</v>
      </c>
      <c r="C2" s="820"/>
      <c r="D2" s="820"/>
      <c r="E2" s="820"/>
      <c r="F2" s="820"/>
      <c r="G2" s="30"/>
      <c r="H2" s="816" t="s">
        <v>1</v>
      </c>
      <c r="I2" s="816"/>
      <c r="J2" s="816"/>
    </row>
    <row r="3" spans="1:13" ht="15" customHeight="1" x14ac:dyDescent="0.3">
      <c r="A3" s="27"/>
      <c r="B3" s="820"/>
      <c r="C3" s="820"/>
      <c r="D3" s="820"/>
      <c r="E3" s="820"/>
      <c r="F3" s="820"/>
      <c r="G3" s="30"/>
      <c r="H3" s="816"/>
      <c r="I3" s="816"/>
      <c r="J3" s="816"/>
    </row>
    <row r="4" spans="1:13" ht="1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3" ht="15" customHeight="1" x14ac:dyDescent="0.3">
      <c r="A5" s="27"/>
      <c r="B5" s="815" t="s">
        <v>220</v>
      </c>
      <c r="C5" s="32" t="s">
        <v>221</v>
      </c>
      <c r="D5" s="33"/>
      <c r="E5" s="34" t="s">
        <v>222</v>
      </c>
      <c r="F5" s="33"/>
      <c r="G5" s="35" t="s">
        <v>466</v>
      </c>
      <c r="H5" s="33"/>
      <c r="I5" s="219"/>
      <c r="J5" s="26"/>
      <c r="K5" s="322"/>
      <c r="L5" s="322"/>
    </row>
    <row r="6" spans="1:13" ht="15" customHeight="1" x14ac:dyDescent="0.3">
      <c r="A6" s="27"/>
      <c r="B6" s="815"/>
      <c r="C6" s="200" t="s">
        <v>223</v>
      </c>
      <c r="D6" s="201"/>
      <c r="E6" s="43" t="s">
        <v>224</v>
      </c>
      <c r="F6" s="202"/>
      <c r="G6" s="200" t="s">
        <v>467</v>
      </c>
      <c r="H6" s="201"/>
      <c r="I6" s="221">
        <f>Formulas!B123</f>
        <v>0</v>
      </c>
      <c r="J6" s="26"/>
    </row>
    <row r="7" spans="1:13" ht="15" customHeight="1" x14ac:dyDescent="0.3">
      <c r="A7" s="27"/>
      <c r="B7" s="821" t="s">
        <v>487</v>
      </c>
      <c r="C7" s="506" t="s">
        <v>235</v>
      </c>
      <c r="D7" s="507" t="s">
        <v>130</v>
      </c>
      <c r="E7" s="35" t="s">
        <v>395</v>
      </c>
      <c r="F7" s="600" t="s">
        <v>396</v>
      </c>
      <c r="G7" s="353"/>
      <c r="H7" s="602"/>
      <c r="I7" s="203"/>
      <c r="J7" s="26"/>
    </row>
    <row r="8" spans="1:13" ht="15" customHeight="1" x14ac:dyDescent="0.3">
      <c r="A8" s="27"/>
      <c r="B8" s="821"/>
      <c r="C8" s="50" t="s">
        <v>237</v>
      </c>
      <c r="D8" s="51" t="s">
        <v>74</v>
      </c>
      <c r="E8" s="601" t="s">
        <v>506</v>
      </c>
      <c r="F8" s="609" t="s">
        <v>154</v>
      </c>
      <c r="G8" s="513"/>
      <c r="H8" s="514"/>
      <c r="I8" s="27"/>
      <c r="J8" s="27"/>
    </row>
    <row r="9" spans="1:13" ht="15" customHeight="1" x14ac:dyDescent="0.3">
      <c r="A9" s="27"/>
      <c r="B9" s="606" t="s">
        <v>493</v>
      </c>
      <c r="C9" s="200" t="s">
        <v>393</v>
      </c>
      <c r="D9" s="359"/>
      <c r="E9" s="200" t="s">
        <v>340</v>
      </c>
      <c r="F9" s="358"/>
      <c r="G9" s="200" t="s">
        <v>341</v>
      </c>
      <c r="H9" s="359"/>
      <c r="I9" s="27"/>
      <c r="J9" s="27"/>
    </row>
    <row r="10" spans="1:13" ht="15" customHeight="1" x14ac:dyDescent="0.3">
      <c r="A10" s="27"/>
      <c r="B10" s="606" t="s">
        <v>465</v>
      </c>
      <c r="C10" s="254" t="s">
        <v>507</v>
      </c>
      <c r="D10" s="584"/>
      <c r="E10" s="353"/>
      <c r="F10" s="360"/>
      <c r="G10" s="360"/>
      <c r="H10" s="505"/>
      <c r="M10" s="493"/>
    </row>
    <row r="11" spans="1:13" ht="15" customHeight="1" x14ac:dyDescent="0.3">
      <c r="A11" s="27"/>
      <c r="H11" s="9"/>
      <c r="M11" s="622"/>
    </row>
    <row r="12" spans="1:13" ht="15" customHeight="1" x14ac:dyDescent="0.3">
      <c r="A12" s="27"/>
      <c r="B12" s="817" t="s">
        <v>612</v>
      </c>
      <c r="C12" s="817"/>
      <c r="D12" s="817"/>
      <c r="E12" s="817"/>
      <c r="F12" s="817"/>
      <c r="G12" s="817"/>
      <c r="H12" s="817"/>
      <c r="I12" s="817"/>
      <c r="K12" s="817" t="s">
        <v>682</v>
      </c>
      <c r="L12" s="817"/>
    </row>
    <row r="13" spans="1:13" ht="15" customHeight="1" x14ac:dyDescent="0.3">
      <c r="A13" s="27"/>
      <c r="B13" s="864" t="s">
        <v>345</v>
      </c>
      <c r="C13" s="865"/>
      <c r="D13" s="865"/>
      <c r="E13" s="865"/>
      <c r="F13" s="865"/>
      <c r="G13" s="865"/>
      <c r="H13" s="865"/>
      <c r="I13" s="866"/>
      <c r="K13" s="10" t="s">
        <v>170</v>
      </c>
      <c r="L13" s="42">
        <f>Formulas!L132</f>
        <v>0</v>
      </c>
    </row>
    <row r="14" spans="1:13" ht="15" customHeight="1" x14ac:dyDescent="0.3">
      <c r="A14" s="27"/>
      <c r="B14" s="604" t="s">
        <v>4</v>
      </c>
      <c r="C14" s="604" t="s">
        <v>268</v>
      </c>
      <c r="D14" s="604" t="s">
        <v>76</v>
      </c>
      <c r="E14" s="373" t="s">
        <v>269</v>
      </c>
      <c r="F14" s="608" t="s">
        <v>4</v>
      </c>
      <c r="G14" s="604" t="s">
        <v>268</v>
      </c>
      <c r="H14" s="604" t="s">
        <v>76</v>
      </c>
      <c r="I14" s="604" t="s">
        <v>269</v>
      </c>
      <c r="K14" s="46" t="s">
        <v>171</v>
      </c>
      <c r="L14" s="47" t="str">
        <f>Formulas!L133</f>
        <v>N/A</v>
      </c>
    </row>
    <row r="15" spans="1:13" ht="15" customHeight="1" x14ac:dyDescent="0.3">
      <c r="A15" s="27"/>
      <c r="B15" s="18" t="s">
        <v>691</v>
      </c>
      <c r="C15" s="363"/>
      <c r="D15" s="224" t="s">
        <v>77</v>
      </c>
      <c r="E15" s="350">
        <f>Formulas!E134</f>
        <v>0</v>
      </c>
      <c r="F15" s="383" t="s">
        <v>705</v>
      </c>
      <c r="G15" s="363" t="s">
        <v>164</v>
      </c>
      <c r="H15" s="224" t="s">
        <v>84</v>
      </c>
      <c r="I15" s="225">
        <f>Formulas!I134</f>
        <v>0</v>
      </c>
      <c r="K15" s="10" t="s">
        <v>172</v>
      </c>
      <c r="L15" s="223" t="str">
        <f>Formulas!L134</f>
        <v>N/A</v>
      </c>
    </row>
    <row r="16" spans="1:13" ht="15" customHeight="1" x14ac:dyDescent="0.3">
      <c r="A16" s="27"/>
      <c r="B16" s="226" t="s">
        <v>692</v>
      </c>
      <c r="C16" s="361"/>
      <c r="D16" s="227" t="s">
        <v>78</v>
      </c>
      <c r="E16" s="351">
        <f>Formulas!E135</f>
        <v>0</v>
      </c>
      <c r="F16" s="372" t="s">
        <v>705</v>
      </c>
      <c r="G16" s="361" t="s">
        <v>164</v>
      </c>
      <c r="H16" s="227" t="s">
        <v>77</v>
      </c>
      <c r="I16" s="47">
        <f>Formulas!I135</f>
        <v>0</v>
      </c>
      <c r="K16" s="46" t="s">
        <v>173</v>
      </c>
      <c r="L16" s="47" t="str">
        <f>Formulas!L135</f>
        <v>N/A</v>
      </c>
    </row>
    <row r="17" spans="1:16" ht="15" customHeight="1" x14ac:dyDescent="0.3">
      <c r="A17" s="27"/>
      <c r="B17" s="228" t="s">
        <v>692</v>
      </c>
      <c r="C17" s="362"/>
      <c r="D17" s="229" t="s">
        <v>77</v>
      </c>
      <c r="E17" s="352">
        <f>Formulas!E136</f>
        <v>0</v>
      </c>
      <c r="F17" s="272" t="s">
        <v>706</v>
      </c>
      <c r="G17" s="362"/>
      <c r="H17" s="229" t="s">
        <v>81</v>
      </c>
      <c r="I17" s="42">
        <f>Formulas!I136</f>
        <v>0</v>
      </c>
      <c r="K17" s="13" t="s">
        <v>174</v>
      </c>
      <c r="L17" s="230" t="str">
        <f>Formulas!L136</f>
        <v>N/A</v>
      </c>
    </row>
    <row r="18" spans="1:16" ht="15" customHeight="1" x14ac:dyDescent="0.3">
      <c r="A18" s="27"/>
      <c r="B18" s="226" t="s">
        <v>693</v>
      </c>
      <c r="C18" s="361"/>
      <c r="D18" s="227" t="s">
        <v>79</v>
      </c>
      <c r="E18" s="351">
        <f>Formulas!E137</f>
        <v>0</v>
      </c>
      <c r="F18" s="48" t="s">
        <v>707</v>
      </c>
      <c r="G18" s="361" t="s">
        <v>397</v>
      </c>
      <c r="H18" s="227" t="s">
        <v>78</v>
      </c>
      <c r="I18" s="47">
        <f>Formulas!I137</f>
        <v>0</v>
      </c>
      <c r="K18" s="218"/>
      <c r="L18" s="27"/>
    </row>
    <row r="19" spans="1:16" ht="15" customHeight="1" x14ac:dyDescent="0.3">
      <c r="A19" s="27"/>
      <c r="B19" s="273" t="s">
        <v>693</v>
      </c>
      <c r="C19" s="94"/>
      <c r="D19" s="94" t="s">
        <v>403</v>
      </c>
      <c r="E19" s="354">
        <f>Formulas!E138</f>
        <v>0</v>
      </c>
      <c r="F19" s="272" t="s">
        <v>707</v>
      </c>
      <c r="G19" s="362" t="s">
        <v>397</v>
      </c>
      <c r="H19" s="229" t="s">
        <v>77</v>
      </c>
      <c r="I19" s="42">
        <f>Formulas!I138</f>
        <v>0</v>
      </c>
      <c r="K19" s="817" t="s">
        <v>236</v>
      </c>
      <c r="L19" s="817"/>
    </row>
    <row r="20" spans="1:16" ht="15" customHeight="1" x14ac:dyDescent="0.3">
      <c r="A20" s="27"/>
      <c r="B20" s="226" t="s">
        <v>693</v>
      </c>
      <c r="C20" s="361"/>
      <c r="D20" s="227" t="s">
        <v>77</v>
      </c>
      <c r="E20" s="351">
        <f>Formulas!E139</f>
        <v>0</v>
      </c>
      <c r="F20" s="48" t="s">
        <v>707</v>
      </c>
      <c r="G20" s="361" t="s">
        <v>163</v>
      </c>
      <c r="H20" s="227" t="s">
        <v>78</v>
      </c>
      <c r="I20" s="47">
        <f>Formulas!I139</f>
        <v>0</v>
      </c>
      <c r="K20" s="231" t="s">
        <v>238</v>
      </c>
      <c r="L20" s="300"/>
    </row>
    <row r="21" spans="1:16" ht="15" customHeight="1" x14ac:dyDescent="0.3">
      <c r="A21" s="27"/>
      <c r="B21" s="228" t="s">
        <v>694</v>
      </c>
      <c r="C21" s="623"/>
      <c r="D21" s="229" t="s">
        <v>77</v>
      </c>
      <c r="E21" s="354">
        <f>Formulas!E140</f>
        <v>0</v>
      </c>
      <c r="F21" s="9" t="s">
        <v>707</v>
      </c>
      <c r="G21" s="362" t="s">
        <v>163</v>
      </c>
      <c r="H21" s="229" t="s">
        <v>77</v>
      </c>
      <c r="I21" s="42">
        <f>Formulas!I140</f>
        <v>0</v>
      </c>
      <c r="K21" s="232" t="s">
        <v>239</v>
      </c>
      <c r="L21" s="56">
        <f>Formulas!L140</f>
        <v>0</v>
      </c>
      <c r="P21" s="322"/>
    </row>
    <row r="22" spans="1:16" ht="15" customHeight="1" x14ac:dyDescent="0.3">
      <c r="A22" s="27"/>
      <c r="B22" s="226" t="s">
        <v>695</v>
      </c>
      <c r="C22" s="624" t="s">
        <v>399</v>
      </c>
      <c r="D22" s="227" t="s">
        <v>77</v>
      </c>
      <c r="E22" s="355">
        <f>Formulas!E141</f>
        <v>0</v>
      </c>
      <c r="F22" s="48" t="s">
        <v>707</v>
      </c>
      <c r="G22" s="361" t="s">
        <v>164</v>
      </c>
      <c r="H22" s="227" t="s">
        <v>78</v>
      </c>
      <c r="I22" s="47">
        <f>Formulas!I141</f>
        <v>0</v>
      </c>
      <c r="J22" s="27"/>
      <c r="P22" s="322"/>
    </row>
    <row r="23" spans="1:16" ht="15" customHeight="1" x14ac:dyDescent="0.3">
      <c r="A23" s="27"/>
      <c r="B23" s="228" t="s">
        <v>695</v>
      </c>
      <c r="C23" s="623" t="s">
        <v>402</v>
      </c>
      <c r="D23" s="229" t="s">
        <v>77</v>
      </c>
      <c r="E23" s="354">
        <f>Formulas!E142</f>
        <v>0</v>
      </c>
      <c r="F23" s="9" t="s">
        <v>707</v>
      </c>
      <c r="G23" s="362" t="s">
        <v>164</v>
      </c>
      <c r="H23" s="229" t="s">
        <v>77</v>
      </c>
      <c r="I23" s="42">
        <f>Formulas!I142</f>
        <v>0</v>
      </c>
      <c r="J23" s="27"/>
      <c r="K23" s="818" t="s">
        <v>451</v>
      </c>
      <c r="L23" s="819"/>
      <c r="P23" s="322"/>
    </row>
    <row r="24" spans="1:16" ht="15" customHeight="1" x14ac:dyDescent="0.3">
      <c r="A24" s="27"/>
      <c r="B24" s="46" t="s">
        <v>695</v>
      </c>
      <c r="C24" s="361" t="s">
        <v>163</v>
      </c>
      <c r="D24" s="227" t="s">
        <v>77</v>
      </c>
      <c r="E24" s="351">
        <f>Formulas!E143</f>
        <v>0</v>
      </c>
      <c r="F24" s="48" t="s">
        <v>707</v>
      </c>
      <c r="G24" s="361" t="s">
        <v>165</v>
      </c>
      <c r="H24" s="227" t="s">
        <v>78</v>
      </c>
      <c r="I24" s="47">
        <f>Formulas!I143</f>
        <v>0</v>
      </c>
      <c r="J24" s="27"/>
      <c r="K24" s="473" t="s">
        <v>452</v>
      </c>
      <c r="L24" s="300"/>
    </row>
    <row r="25" spans="1:16" ht="15" customHeight="1" x14ac:dyDescent="0.3">
      <c r="A25" s="27"/>
      <c r="B25" s="228" t="s">
        <v>696</v>
      </c>
      <c r="C25" s="362" t="s">
        <v>398</v>
      </c>
      <c r="D25" s="229" t="s">
        <v>77</v>
      </c>
      <c r="E25" s="352">
        <f>Formulas!E144</f>
        <v>0</v>
      </c>
      <c r="F25" s="9" t="s">
        <v>707</v>
      </c>
      <c r="G25" s="362" t="s">
        <v>165</v>
      </c>
      <c r="H25" s="229" t="s">
        <v>77</v>
      </c>
      <c r="I25" s="42">
        <f>Formulas!I144</f>
        <v>0</v>
      </c>
      <c r="J25" s="27"/>
      <c r="K25" s="226" t="s">
        <v>453</v>
      </c>
      <c r="L25" s="472"/>
    </row>
    <row r="26" spans="1:16" ht="15" customHeight="1" x14ac:dyDescent="0.3">
      <c r="A26" s="27"/>
      <c r="B26" s="226" t="s">
        <v>697</v>
      </c>
      <c r="C26" s="361"/>
      <c r="D26" s="227" t="s">
        <v>77</v>
      </c>
      <c r="E26" s="351">
        <f>Formulas!E145</f>
        <v>0</v>
      </c>
      <c r="F26" s="48" t="s">
        <v>708</v>
      </c>
      <c r="G26" s="361" t="s">
        <v>399</v>
      </c>
      <c r="H26" s="227" t="s">
        <v>77</v>
      </c>
      <c r="I26" s="47">
        <f>Formulas!I145</f>
        <v>0</v>
      </c>
      <c r="J26" s="27"/>
      <c r="K26" s="474" t="s">
        <v>454</v>
      </c>
      <c r="L26" s="477">
        <f>Formulas!L145</f>
        <v>0</v>
      </c>
    </row>
    <row r="27" spans="1:16" ht="15" customHeight="1" x14ac:dyDescent="0.3">
      <c r="A27" s="27"/>
      <c r="B27" s="228" t="s">
        <v>698</v>
      </c>
      <c r="C27" s="94"/>
      <c r="D27" s="229" t="s">
        <v>77</v>
      </c>
      <c r="E27" s="354">
        <f>Formulas!E146</f>
        <v>0</v>
      </c>
      <c r="F27" s="9" t="s">
        <v>708</v>
      </c>
      <c r="G27" s="362" t="s">
        <v>400</v>
      </c>
      <c r="H27" s="229" t="s">
        <v>77</v>
      </c>
      <c r="I27" s="42">
        <f>Formulas!I146</f>
        <v>0</v>
      </c>
      <c r="J27" s="27"/>
    </row>
    <row r="28" spans="1:16" ht="15" customHeight="1" x14ac:dyDescent="0.3">
      <c r="A28" s="27"/>
      <c r="B28" s="226" t="s">
        <v>699</v>
      </c>
      <c r="C28" s="437"/>
      <c r="D28" s="227" t="s">
        <v>77</v>
      </c>
      <c r="E28" s="355">
        <f>Formulas!E147</f>
        <v>0</v>
      </c>
      <c r="F28" s="48" t="s">
        <v>708</v>
      </c>
      <c r="G28" s="361" t="s">
        <v>401</v>
      </c>
      <c r="H28" s="227" t="s">
        <v>77</v>
      </c>
      <c r="I28" s="47">
        <f>Formulas!I147</f>
        <v>0</v>
      </c>
      <c r="J28" s="27"/>
    </row>
    <row r="29" spans="1:16" ht="15" customHeight="1" x14ac:dyDescent="0.3">
      <c r="A29" s="27"/>
      <c r="B29" s="228" t="s">
        <v>700</v>
      </c>
      <c r="C29" s="94" t="s">
        <v>520</v>
      </c>
      <c r="D29" s="229" t="s">
        <v>77</v>
      </c>
      <c r="E29" s="354">
        <f>Formulas!E148</f>
        <v>0</v>
      </c>
      <c r="F29" s="9" t="s">
        <v>708</v>
      </c>
      <c r="G29" s="362" t="s">
        <v>402</v>
      </c>
      <c r="H29" s="229" t="s">
        <v>77</v>
      </c>
      <c r="I29" s="42">
        <f>Formulas!I148</f>
        <v>0</v>
      </c>
      <c r="J29" s="27"/>
    </row>
    <row r="30" spans="1:16" ht="15" customHeight="1" x14ac:dyDescent="0.3">
      <c r="A30" s="27"/>
      <c r="B30" s="226" t="s">
        <v>700</v>
      </c>
      <c r="C30" s="361" t="s">
        <v>521</v>
      </c>
      <c r="D30" s="227" t="s">
        <v>77</v>
      </c>
      <c r="E30" s="351">
        <f>Formulas!E149</f>
        <v>0</v>
      </c>
      <c r="F30" s="48" t="s">
        <v>82</v>
      </c>
      <c r="G30" s="361"/>
      <c r="H30" s="227" t="s">
        <v>83</v>
      </c>
      <c r="I30" s="47">
        <f>Formulas!I149</f>
        <v>0</v>
      </c>
      <c r="J30" s="27"/>
    </row>
    <row r="31" spans="1:16" ht="15" customHeight="1" x14ac:dyDescent="0.3">
      <c r="A31" s="27"/>
      <c r="B31" s="228" t="s">
        <v>701</v>
      </c>
      <c r="C31" s="362"/>
      <c r="D31" s="229" t="s">
        <v>77</v>
      </c>
      <c r="E31" s="352">
        <f>Formulas!E150</f>
        <v>0</v>
      </c>
      <c r="F31" s="9" t="s">
        <v>82</v>
      </c>
      <c r="G31" s="362"/>
      <c r="H31" s="229" t="s">
        <v>77</v>
      </c>
      <c r="I31" s="42">
        <f>Formulas!I150</f>
        <v>0</v>
      </c>
      <c r="J31" s="27"/>
    </row>
    <row r="32" spans="1:16" ht="15" customHeight="1" x14ac:dyDescent="0.3">
      <c r="A32" s="27"/>
      <c r="B32" s="226" t="s">
        <v>702</v>
      </c>
      <c r="C32" s="361"/>
      <c r="D32" s="227" t="s">
        <v>77</v>
      </c>
      <c r="E32" s="351">
        <f>Formulas!E151</f>
        <v>0</v>
      </c>
      <c r="F32" s="48" t="s">
        <v>709</v>
      </c>
      <c r="G32" s="361"/>
      <c r="H32" s="227" t="s">
        <v>77</v>
      </c>
      <c r="I32" s="47">
        <f>Formulas!I151</f>
        <v>0</v>
      </c>
      <c r="J32" s="27"/>
    </row>
    <row r="33" spans="1:12" ht="15" customHeight="1" x14ac:dyDescent="0.3">
      <c r="A33" s="27"/>
      <c r="B33" s="228" t="s">
        <v>703</v>
      </c>
      <c r="C33" s="94"/>
      <c r="D33" s="229" t="s">
        <v>77</v>
      </c>
      <c r="E33" s="354">
        <f>Formulas!E152</f>
        <v>0</v>
      </c>
      <c r="F33" s="9" t="s">
        <v>387</v>
      </c>
      <c r="G33" s="362"/>
      <c r="H33" s="229" t="s">
        <v>77</v>
      </c>
      <c r="I33" s="42">
        <f>Formulas!I152</f>
        <v>0</v>
      </c>
      <c r="J33" s="27"/>
    </row>
    <row r="34" spans="1:12" ht="15" customHeight="1" x14ac:dyDescent="0.3">
      <c r="A34" s="27"/>
      <c r="B34" s="226" t="s">
        <v>755</v>
      </c>
      <c r="C34" s="361" t="s">
        <v>163</v>
      </c>
      <c r="D34" s="227" t="s">
        <v>81</v>
      </c>
      <c r="E34" s="351">
        <f>Formulas!E153</f>
        <v>0</v>
      </c>
      <c r="F34" s="48" t="s">
        <v>710</v>
      </c>
      <c r="G34" s="361" t="s">
        <v>398</v>
      </c>
      <c r="H34" s="227" t="s">
        <v>78</v>
      </c>
      <c r="I34" s="47">
        <f>Formulas!I153</f>
        <v>0</v>
      </c>
      <c r="J34" s="27"/>
    </row>
    <row r="35" spans="1:12" ht="15" customHeight="1" x14ac:dyDescent="0.3">
      <c r="A35" s="27"/>
      <c r="B35" s="228" t="s">
        <v>755</v>
      </c>
      <c r="C35" s="362" t="s">
        <v>163</v>
      </c>
      <c r="D35" s="229" t="s">
        <v>84</v>
      </c>
      <c r="E35" s="352">
        <f>Formulas!E154</f>
        <v>0</v>
      </c>
      <c r="F35" s="9" t="s">
        <v>710</v>
      </c>
      <c r="G35" s="362" t="s">
        <v>398</v>
      </c>
      <c r="H35" s="229" t="s">
        <v>77</v>
      </c>
      <c r="I35" s="42">
        <f>Formulas!I154</f>
        <v>0</v>
      </c>
      <c r="J35" s="27"/>
    </row>
    <row r="36" spans="1:12" ht="15" customHeight="1" x14ac:dyDescent="0.3">
      <c r="A36" s="27"/>
      <c r="B36" s="226" t="s">
        <v>755</v>
      </c>
      <c r="C36" s="361" t="s">
        <v>164</v>
      </c>
      <c r="D36" s="227" t="s">
        <v>81</v>
      </c>
      <c r="E36" s="351">
        <f>Formulas!E155</f>
        <v>0</v>
      </c>
      <c r="F36" s="48" t="s">
        <v>710</v>
      </c>
      <c r="G36" s="361" t="s">
        <v>165</v>
      </c>
      <c r="H36" s="227" t="s">
        <v>78</v>
      </c>
      <c r="I36" s="47">
        <f>Formulas!I155</f>
        <v>0</v>
      </c>
      <c r="J36" s="27"/>
      <c r="L36" s="27"/>
    </row>
    <row r="37" spans="1:12" ht="15" customHeight="1" x14ac:dyDescent="0.3">
      <c r="B37" s="273" t="s">
        <v>755</v>
      </c>
      <c r="C37" s="362" t="s">
        <v>164</v>
      </c>
      <c r="D37" s="229" t="s">
        <v>84</v>
      </c>
      <c r="E37" s="354">
        <f>Formulas!E156</f>
        <v>0</v>
      </c>
      <c r="F37" s="9" t="s">
        <v>710</v>
      </c>
      <c r="G37" s="362" t="s">
        <v>165</v>
      </c>
      <c r="H37" s="229" t="s">
        <v>77</v>
      </c>
      <c r="I37" s="42">
        <f>Formulas!I156</f>
        <v>0</v>
      </c>
    </row>
    <row r="38" spans="1:12" ht="15" customHeight="1" x14ac:dyDescent="0.3">
      <c r="B38" s="226" t="s">
        <v>705</v>
      </c>
      <c r="C38" s="361" t="s">
        <v>397</v>
      </c>
      <c r="D38" s="227" t="s">
        <v>81</v>
      </c>
      <c r="E38" s="351">
        <f>Formulas!E157</f>
        <v>0</v>
      </c>
      <c r="F38" s="48" t="s">
        <v>711</v>
      </c>
      <c r="G38" s="361"/>
      <c r="H38" s="227" t="s">
        <v>77</v>
      </c>
      <c r="I38" s="47">
        <f>Formulas!I157</f>
        <v>0</v>
      </c>
    </row>
    <row r="39" spans="1:12" ht="15" customHeight="1" x14ac:dyDescent="0.3">
      <c r="B39" s="228" t="s">
        <v>705</v>
      </c>
      <c r="C39" s="362" t="s">
        <v>397</v>
      </c>
      <c r="D39" s="229" t="s">
        <v>84</v>
      </c>
      <c r="E39" s="352">
        <f>Formulas!E158</f>
        <v>0</v>
      </c>
      <c r="F39" s="9" t="s">
        <v>712</v>
      </c>
      <c r="G39" s="362"/>
      <c r="H39" s="229" t="s">
        <v>77</v>
      </c>
      <c r="I39" s="42">
        <f>Formulas!I158</f>
        <v>0</v>
      </c>
    </row>
    <row r="40" spans="1:12" ht="15" customHeight="1" x14ac:dyDescent="0.3">
      <c r="B40" s="226" t="s">
        <v>705</v>
      </c>
      <c r="C40" s="361" t="s">
        <v>163</v>
      </c>
      <c r="D40" s="227" t="s">
        <v>81</v>
      </c>
      <c r="E40" s="351">
        <f>Formulas!E159</f>
        <v>0</v>
      </c>
      <c r="F40" s="48" t="s">
        <v>713</v>
      </c>
      <c r="G40" s="361"/>
      <c r="H40" s="227" t="s">
        <v>78</v>
      </c>
      <c r="I40" s="47">
        <f>Formulas!I159</f>
        <v>0</v>
      </c>
    </row>
    <row r="41" spans="1:12" ht="15" customHeight="1" x14ac:dyDescent="0.3">
      <c r="B41" s="228" t="s">
        <v>705</v>
      </c>
      <c r="C41" s="362" t="s">
        <v>163</v>
      </c>
      <c r="D41" s="229" t="s">
        <v>84</v>
      </c>
      <c r="E41" s="352">
        <f>Formulas!E160</f>
        <v>0</v>
      </c>
      <c r="F41" s="9" t="s">
        <v>714</v>
      </c>
      <c r="G41" s="362"/>
      <c r="H41" s="229" t="s">
        <v>81</v>
      </c>
      <c r="I41" s="42">
        <f>Formulas!I160</f>
        <v>0</v>
      </c>
    </row>
    <row r="42" spans="1:12" ht="15" customHeight="1" x14ac:dyDescent="0.3">
      <c r="B42" s="226" t="s">
        <v>705</v>
      </c>
      <c r="C42" s="361" t="s">
        <v>163</v>
      </c>
      <c r="D42" s="227" t="s">
        <v>77</v>
      </c>
      <c r="E42" s="351">
        <f>Formulas!E161</f>
        <v>0</v>
      </c>
      <c r="F42" s="615" t="s">
        <v>715</v>
      </c>
      <c r="G42" s="437"/>
      <c r="H42" s="437" t="s">
        <v>81</v>
      </c>
      <c r="I42" s="356">
        <f>Formulas!I161</f>
        <v>0</v>
      </c>
    </row>
    <row r="43" spans="1:12" ht="15" customHeight="1" x14ac:dyDescent="0.3">
      <c r="B43" s="233" t="s">
        <v>705</v>
      </c>
      <c r="C43" s="616" t="s">
        <v>164</v>
      </c>
      <c r="D43" s="234" t="s">
        <v>81</v>
      </c>
      <c r="E43" s="617">
        <f>Formulas!E162</f>
        <v>0</v>
      </c>
      <c r="F43" s="316"/>
      <c r="G43" s="316"/>
      <c r="H43" s="316"/>
      <c r="I43" s="317"/>
    </row>
  </sheetData>
  <mergeCells count="9">
    <mergeCell ref="K23:L23"/>
    <mergeCell ref="H2:J3"/>
    <mergeCell ref="B2:F3"/>
    <mergeCell ref="K19:L19"/>
    <mergeCell ref="K12:L12"/>
    <mergeCell ref="B5:B6"/>
    <mergeCell ref="B7:B8"/>
    <mergeCell ref="B12:I12"/>
    <mergeCell ref="B13:I13"/>
  </mergeCells>
  <conditionalFormatting sqref="K17">
    <cfRule type="expression" dxfId="169" priority="21">
      <formula>I6&gt;800.5</formula>
    </cfRule>
  </conditionalFormatting>
  <conditionalFormatting sqref="L17">
    <cfRule type="expression" dxfId="168" priority="20">
      <formula>I6&gt;800.5</formula>
    </cfRule>
  </conditionalFormatting>
  <conditionalFormatting sqref="K14">
    <cfRule type="expression" dxfId="167" priority="19">
      <formula>AND(I6&gt;=200.5,I6&lt;400.5)</formula>
    </cfRule>
  </conditionalFormatting>
  <conditionalFormatting sqref="L14">
    <cfRule type="expression" dxfId="166" priority="18">
      <formula>AND(I6&gt;=200.5,I6&lt;400.5)</formula>
    </cfRule>
  </conditionalFormatting>
  <conditionalFormatting sqref="K15">
    <cfRule type="expression" dxfId="165" priority="17">
      <formula>AND(I6&gt;=400.5,I6&lt;600.5)</formula>
    </cfRule>
  </conditionalFormatting>
  <conditionalFormatting sqref="L15">
    <cfRule type="expression" dxfId="164" priority="16">
      <formula>AND(I6&gt;=400.5,I6&lt;600.5)</formula>
    </cfRule>
  </conditionalFormatting>
  <conditionalFormatting sqref="K16">
    <cfRule type="expression" dxfId="163" priority="15">
      <formula>AND(I6&gt;=600.5,I6&lt;800.5)</formula>
    </cfRule>
  </conditionalFormatting>
  <conditionalFormatting sqref="L16">
    <cfRule type="expression" dxfId="162" priority="14">
      <formula>AND(I6&gt;=600.5,I6&lt;800.5)</formula>
    </cfRule>
  </conditionalFormatting>
  <conditionalFormatting sqref="K13">
    <cfRule type="expression" dxfId="161" priority="13">
      <formula>I6&lt;200.5</formula>
    </cfRule>
  </conditionalFormatting>
  <conditionalFormatting sqref="L13">
    <cfRule type="expression" dxfId="160" priority="12">
      <formula>I6&lt;200.5</formula>
    </cfRule>
  </conditionalFormatting>
  <conditionalFormatting sqref="B13:I13">
    <cfRule type="containsText" dxfId="159" priority="10" operator="containsText" text="*** Note: Minimum price override is on ***">
      <formula>NOT(ISERROR(SEARCH("*** Note: Minimum price override is on ***",B13)))</formula>
    </cfRule>
  </conditionalFormatting>
  <conditionalFormatting sqref="F8">
    <cfRule type="notContainsText" dxfId="158" priority="5" operator="notContains" text="None">
      <formula>ISERROR(SEARCH("None",F8))</formula>
    </cfRule>
  </conditionalFormatting>
  <conditionalFormatting sqref="D9">
    <cfRule type="expression" dxfId="157" priority="4">
      <formula>$D$9&gt;0</formula>
    </cfRule>
  </conditionalFormatting>
  <conditionalFormatting sqref="F9">
    <cfRule type="expression" dxfId="156" priority="3">
      <formula>$F$9&gt;0</formula>
    </cfRule>
  </conditionalFormatting>
  <conditionalFormatting sqref="H9">
    <cfRule type="expression" dxfId="155" priority="2">
      <formula>$H$9&gt;0</formula>
    </cfRule>
  </conditionalFormatting>
  <conditionalFormatting sqref="D10">
    <cfRule type="expression" dxfId="154" priority="1">
      <formula>$D$10&gt;1</formula>
    </cfRule>
  </conditionalFormatting>
  <dataValidations count="8">
    <dataValidation type="list" allowBlank="1" showInputMessage="1" showErrorMessage="1" sqref="D8" xr:uid="{00000000-0002-0000-0500-000000000000}">
      <formula1>SidedNoBlocker</formula1>
    </dataValidation>
    <dataValidation type="list" allowBlank="1" showInputMessage="1" showErrorMessage="1" sqref="D7" xr:uid="{00000000-0002-0000-0500-000001000000}">
      <formula1>Printed</formula1>
    </dataValidation>
    <dataValidation type="list" allowBlank="1" showInputMessage="1" showErrorMessage="1" sqref="F7" xr:uid="{00000000-0002-0000-0500-000002000000}">
      <formula1>Laminate</formula1>
    </dataValidation>
    <dataValidation type="decimal" operator="greaterThanOrEqual" allowBlank="1" showInputMessage="1" showErrorMessage="1" sqref="D9 H9 L24:L25" xr:uid="{00000000-0002-0000-0500-000003000000}">
      <formula1>0</formula1>
    </dataValidation>
    <dataValidation type="whole" operator="greaterThan" allowBlank="1" showInputMessage="1" showErrorMessage="1" sqref="D10" xr:uid="{00000000-0002-0000-0500-000004000000}">
      <formula1>0</formula1>
    </dataValidation>
    <dataValidation type="decimal" allowBlank="1" showInputMessage="1" showErrorMessage="1" sqref="F9" xr:uid="{00000000-0002-0000-0500-000005000000}">
      <formula1>0</formula1>
      <formula2>1</formula2>
    </dataValidation>
    <dataValidation type="decimal" operator="greaterThan" allowBlank="1" showInputMessage="1" showErrorMessage="1" sqref="L20 D5:D6 F5:F6 H5:H6" xr:uid="{00000000-0002-0000-0500-000006000000}">
      <formula1>0</formula1>
    </dataValidation>
    <dataValidation type="list" allowBlank="1" showInputMessage="1" showErrorMessage="1" sqref="H8 F8" xr:uid="{00000000-0002-0000-0500-000007000000}">
      <formula1>RigidCutting</formula1>
    </dataValidation>
  </dataValidations>
  <hyperlinks>
    <hyperlink ref="H2:I3" location="'Main Menu'!J8" display="Back to Main Menu" xr:uid="{00000000-0004-0000-0500-000000000000}"/>
    <hyperlink ref="H2:J3" location="'Main Menu'!C8" display="Back to Main Menu" xr:uid="{00000000-0004-0000-0500-000001000000}"/>
  </hyperlinks>
  <pageMargins left="0.7" right="0.7" top="0.75" bottom="0.75" header="0.3" footer="0.3"/>
  <pageSetup orientation="portrait" r:id="rId1"/>
  <ignoredErrors>
    <ignoredError sqref="C22:C23 G26:G2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836E7FA6-2A3E-4160-88C8-1A85F1D39781}">
            <xm:f>NOT(ISERROR(SEARCH("Unprinted",D7)))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7" operator="notContains" id="{83167526-BD74-4C35-83EA-7CC52C7F4B0C}">
            <xm:f>ISERROR(SEARCH("Single Sided",D8))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3743705557422"/>
                </left>
                <right style="thin">
                  <color auto="1"/>
                </right>
                <top style="thin">
                  <color theme="0" tint="-0.14993743705557422"/>
                </top>
                <bottom style="thin">
                  <color auto="1"/>
                </bottom>
              </border>
            </x14:dxf>
          </x14:cfRule>
          <xm:sqref>D8</xm:sqref>
        </x14:conditionalFormatting>
        <x14:conditionalFormatting xmlns:xm="http://schemas.microsoft.com/office/excel/2006/main">
          <x14:cfRule type="notContainsText" priority="6" operator="notContains" id="{FC5453B1-4F3A-4330-9F0E-FD7583640CB3}">
            <xm:f>ISERROR(SEARCH("Unlaminated",F7))</xm:f>
            <xm:f>"Unlaminated"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3743705557422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0" tint="-0.14993743705557422"/>
                </bottom>
              </border>
            </x14:dxf>
          </x14:cfRule>
          <xm:sqref>F7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06">
    <tabColor theme="4" tint="0.39997558519241921"/>
  </sheetPr>
  <dimension ref="B1:K40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21.33203125" style="491" bestFit="1" customWidth="1"/>
    <col min="3" max="3" width="12.77734375" style="491" bestFit="1" customWidth="1"/>
    <col min="4" max="4" width="10.109375" style="491" customWidth="1"/>
    <col min="5" max="5" width="12.77734375" style="491" bestFit="1" customWidth="1"/>
    <col min="6" max="6" width="10.109375" style="491" customWidth="1"/>
    <col min="7" max="7" width="12.77734375" style="491" bestFit="1" customWidth="1"/>
    <col min="8" max="8" width="10.109375" style="491" customWidth="1"/>
    <col min="9" max="10" width="9.109375" style="491" customWidth="1"/>
    <col min="11" max="16384" width="9.109375" style="491"/>
  </cols>
  <sheetData>
    <row r="1" spans="2:11" ht="15" customHeight="1" x14ac:dyDescent="0.3">
      <c r="H1" s="27"/>
      <c r="I1" s="27"/>
      <c r="J1" s="27"/>
      <c r="K1" s="27"/>
    </row>
    <row r="2" spans="2:11" ht="15" customHeight="1" x14ac:dyDescent="0.3">
      <c r="B2" s="820" t="s">
        <v>720</v>
      </c>
      <c r="C2" s="820"/>
      <c r="D2" s="820"/>
      <c r="E2" s="820"/>
      <c r="F2" s="820"/>
      <c r="G2" s="820"/>
      <c r="H2" s="30"/>
      <c r="I2" s="816" t="s">
        <v>1</v>
      </c>
      <c r="J2" s="816"/>
      <c r="K2" s="816"/>
    </row>
    <row r="3" spans="2:11" ht="15" customHeight="1" x14ac:dyDescent="0.3">
      <c r="B3" s="820"/>
      <c r="C3" s="820"/>
      <c r="D3" s="820"/>
      <c r="E3" s="820"/>
      <c r="F3" s="820"/>
      <c r="G3" s="820"/>
      <c r="H3" s="30"/>
      <c r="I3" s="816"/>
      <c r="J3" s="816"/>
      <c r="K3" s="816"/>
    </row>
    <row r="4" spans="2:11" ht="15" customHeight="1" x14ac:dyDescent="0.3">
      <c r="H4" s="24"/>
      <c r="I4" s="24"/>
      <c r="J4" s="24"/>
      <c r="K4" s="24"/>
    </row>
    <row r="5" spans="2:11" ht="15" customHeight="1" x14ac:dyDescent="0.3">
      <c r="B5" s="815" t="s">
        <v>220</v>
      </c>
      <c r="C5" s="32" t="s">
        <v>221</v>
      </c>
      <c r="D5" s="33"/>
      <c r="E5" s="34" t="s">
        <v>222</v>
      </c>
      <c r="F5" s="33"/>
      <c r="G5" s="35" t="s">
        <v>466</v>
      </c>
      <c r="H5" s="33"/>
      <c r="I5" s="199">
        <f>Formulas!$B$168</f>
        <v>0</v>
      </c>
      <c r="J5" s="25"/>
      <c r="K5" s="25"/>
    </row>
    <row r="6" spans="2:11" ht="15" customHeight="1" x14ac:dyDescent="0.3">
      <c r="B6" s="837"/>
      <c r="C6" s="200" t="s">
        <v>223</v>
      </c>
      <c r="D6" s="201"/>
      <c r="E6" s="43" t="s">
        <v>224</v>
      </c>
      <c r="F6" s="202"/>
      <c r="G6" s="59" t="s">
        <v>467</v>
      </c>
      <c r="H6" s="201"/>
      <c r="I6" s="235"/>
      <c r="J6" s="25"/>
      <c r="K6" s="25"/>
    </row>
    <row r="7" spans="2:11" ht="15" customHeight="1" x14ac:dyDescent="0.3">
      <c r="B7" s="652" t="s">
        <v>493</v>
      </c>
      <c r="C7" s="256" t="s">
        <v>393</v>
      </c>
      <c r="D7" s="584"/>
      <c r="E7" s="500" t="s">
        <v>340</v>
      </c>
      <c r="F7" s="508"/>
      <c r="G7" s="344" t="s">
        <v>341</v>
      </c>
      <c r="H7" s="366"/>
      <c r="I7" s="235"/>
      <c r="J7" s="25"/>
      <c r="K7" s="25"/>
    </row>
    <row r="8" spans="2:11" s="636" customFormat="1" ht="15" customHeight="1" x14ac:dyDescent="0.3">
      <c r="B8" s="656" t="s">
        <v>465</v>
      </c>
      <c r="C8" s="254" t="s">
        <v>507</v>
      </c>
      <c r="D8" s="255"/>
      <c r="E8" s="504"/>
      <c r="F8" s="644"/>
      <c r="G8" s="504"/>
      <c r="H8" s="645"/>
      <c r="I8" s="235"/>
      <c r="J8" s="25"/>
      <c r="K8" s="25"/>
    </row>
    <row r="9" spans="2:11" ht="15" customHeight="1" x14ac:dyDescent="0.3">
      <c r="E9" s="24"/>
      <c r="F9" s="24"/>
      <c r="G9" s="24"/>
      <c r="H9" s="24"/>
      <c r="I9" s="24"/>
      <c r="J9" s="24"/>
      <c r="K9" s="24"/>
    </row>
    <row r="10" spans="2:11" ht="15" customHeight="1" x14ac:dyDescent="0.3">
      <c r="B10" s="817" t="s">
        <v>717</v>
      </c>
      <c r="C10" s="817"/>
      <c r="D10" s="24"/>
      <c r="E10" s="817" t="s">
        <v>718</v>
      </c>
      <c r="F10" s="817"/>
      <c r="G10" s="817"/>
    </row>
    <row r="11" spans="2:11" ht="15" customHeight="1" x14ac:dyDescent="0.3">
      <c r="B11" s="260" t="s">
        <v>719</v>
      </c>
      <c r="C11" s="262">
        <f>Formulas!C172</f>
        <v>0</v>
      </c>
      <c r="D11" s="24"/>
      <c r="E11" s="867" t="s">
        <v>346</v>
      </c>
      <c r="F11" s="867"/>
      <c r="G11" s="867"/>
    </row>
    <row r="12" spans="2:11" ht="15" customHeight="1" x14ac:dyDescent="0.3">
      <c r="B12" s="340" t="s">
        <v>238</v>
      </c>
      <c r="C12" s="341"/>
      <c r="D12" s="24"/>
      <c r="E12" s="867"/>
      <c r="F12" s="867"/>
      <c r="G12" s="867"/>
    </row>
    <row r="13" spans="2:11" ht="15" customHeight="1" x14ac:dyDescent="0.3">
      <c r="B13" s="282" t="s">
        <v>239</v>
      </c>
      <c r="C13" s="244">
        <f>Formulas!C174</f>
        <v>0</v>
      </c>
      <c r="D13" s="24"/>
      <c r="E13" s="867"/>
      <c r="F13" s="867"/>
      <c r="G13" s="867"/>
    </row>
    <row r="14" spans="2:11" ht="15" customHeight="1" x14ac:dyDescent="0.3">
      <c r="D14" s="25"/>
      <c r="E14" s="653" t="s">
        <v>3</v>
      </c>
      <c r="F14" s="237" t="s">
        <v>347</v>
      </c>
      <c r="G14" s="374" t="s">
        <v>348</v>
      </c>
    </row>
    <row r="15" spans="2:11" ht="15" customHeight="1" x14ac:dyDescent="0.3">
      <c r="B15" s="818" t="s">
        <v>451</v>
      </c>
      <c r="C15" s="819"/>
      <c r="D15" s="25"/>
      <c r="E15" s="238" t="s">
        <v>6</v>
      </c>
      <c r="F15" s="365">
        <f>Formulas!F176</f>
        <v>13</v>
      </c>
      <c r="G15" s="239">
        <f>Formulas!G176</f>
        <v>21</v>
      </c>
    </row>
    <row r="16" spans="2:11" ht="15" customHeight="1" x14ac:dyDescent="0.3">
      <c r="B16" s="577" t="s">
        <v>452</v>
      </c>
      <c r="C16" s="589"/>
      <c r="D16" s="25"/>
      <c r="E16" s="240" t="s">
        <v>10</v>
      </c>
      <c r="F16" s="241">
        <f>Formulas!F177</f>
        <v>25</v>
      </c>
      <c r="G16" s="242">
        <f>Formulas!G177</f>
        <v>42</v>
      </c>
    </row>
    <row r="17" spans="2:7" ht="15" customHeight="1" x14ac:dyDescent="0.3">
      <c r="B17" s="226" t="s">
        <v>453</v>
      </c>
      <c r="C17" s="472"/>
      <c r="D17" s="25"/>
      <c r="E17" s="238" t="s">
        <v>14</v>
      </c>
      <c r="F17" s="365">
        <f>Formulas!F178</f>
        <v>31</v>
      </c>
      <c r="G17" s="239">
        <f>Formulas!G178</f>
        <v>52</v>
      </c>
    </row>
    <row r="18" spans="2:7" ht="15" customHeight="1" x14ac:dyDescent="0.3">
      <c r="B18" s="474" t="s">
        <v>454</v>
      </c>
      <c r="C18" s="477">
        <f>Formulas!J174</f>
        <v>0</v>
      </c>
      <c r="D18" s="25"/>
      <c r="E18" s="240" t="s">
        <v>18</v>
      </c>
      <c r="F18" s="241">
        <f>Formulas!F179</f>
        <v>41</v>
      </c>
      <c r="G18" s="242">
        <f>Formulas!G179</f>
        <v>68</v>
      </c>
    </row>
    <row r="19" spans="2:7" ht="15" customHeight="1" x14ac:dyDescent="0.3">
      <c r="B19" s="24"/>
      <c r="C19" s="24"/>
      <c r="D19" s="25"/>
      <c r="E19" s="243" t="s">
        <v>22</v>
      </c>
      <c r="F19" s="244">
        <f>Formulas!F180</f>
        <v>50</v>
      </c>
      <c r="G19" s="245">
        <f>Formulas!G180</f>
        <v>84</v>
      </c>
    </row>
    <row r="20" spans="2:7" ht="15" customHeight="1" x14ac:dyDescent="0.3">
      <c r="B20" s="24"/>
      <c r="C20" s="24"/>
      <c r="D20" s="25"/>
      <c r="E20" s="240" t="s">
        <v>27</v>
      </c>
      <c r="F20" s="241">
        <f>Formulas!F181</f>
        <v>60</v>
      </c>
      <c r="G20" s="242">
        <f>Formulas!G181</f>
        <v>99</v>
      </c>
    </row>
    <row r="21" spans="2:7" ht="15" customHeight="1" x14ac:dyDescent="0.3">
      <c r="B21" s="24"/>
      <c r="C21" s="24"/>
      <c r="D21" s="25"/>
      <c r="E21" s="238" t="s">
        <v>31</v>
      </c>
      <c r="F21" s="365">
        <f>Formulas!F182</f>
        <v>69</v>
      </c>
      <c r="G21" s="239">
        <f>Formulas!G182</f>
        <v>115</v>
      </c>
    </row>
    <row r="22" spans="2:7" ht="15" customHeight="1" x14ac:dyDescent="0.3">
      <c r="B22" s="24"/>
      <c r="C22" s="24"/>
      <c r="D22" s="24"/>
      <c r="E22" s="240" t="s">
        <v>35</v>
      </c>
      <c r="F22" s="241">
        <f>Formulas!F183</f>
        <v>78</v>
      </c>
      <c r="G22" s="242">
        <f>Formulas!G183</f>
        <v>131</v>
      </c>
    </row>
    <row r="23" spans="2:7" ht="15" customHeight="1" x14ac:dyDescent="0.3">
      <c r="B23" s="24"/>
      <c r="C23" s="24"/>
      <c r="D23" s="24"/>
      <c r="E23" s="238" t="s">
        <v>38</v>
      </c>
      <c r="F23" s="365">
        <f>Formulas!F184</f>
        <v>86</v>
      </c>
      <c r="G23" s="239">
        <f>Formulas!G184</f>
        <v>143</v>
      </c>
    </row>
    <row r="24" spans="2:7" ht="15" customHeight="1" x14ac:dyDescent="0.3">
      <c r="B24" s="24"/>
      <c r="C24" s="24"/>
      <c r="D24" s="24"/>
      <c r="E24" s="246" t="s">
        <v>41</v>
      </c>
      <c r="F24" s="247">
        <f>Formulas!F185</f>
        <v>94</v>
      </c>
      <c r="G24" s="248">
        <f>Formulas!G185</f>
        <v>157</v>
      </c>
    </row>
    <row r="25" spans="2:7" ht="15" customHeight="1" x14ac:dyDescent="0.3">
      <c r="B25" s="24"/>
      <c r="C25" s="24"/>
      <c r="D25" s="24"/>
      <c r="E25" s="238" t="s">
        <v>106</v>
      </c>
      <c r="F25" s="365">
        <f>Formulas!F186</f>
        <v>102</v>
      </c>
      <c r="G25" s="239">
        <f>Formulas!G186</f>
        <v>170</v>
      </c>
    </row>
    <row r="26" spans="2:7" ht="15" customHeight="1" x14ac:dyDescent="0.3">
      <c r="B26" s="24"/>
      <c r="C26" s="24"/>
      <c r="D26" s="24"/>
      <c r="E26" s="240" t="s">
        <v>108</v>
      </c>
      <c r="F26" s="241">
        <f>Formulas!F187</f>
        <v>110</v>
      </c>
      <c r="G26" s="242">
        <f>Formulas!G187</f>
        <v>183</v>
      </c>
    </row>
    <row r="27" spans="2:7" ht="15" customHeight="1" x14ac:dyDescent="0.3">
      <c r="B27" s="24"/>
      <c r="C27" s="24"/>
      <c r="D27" s="24"/>
      <c r="E27" s="238" t="s">
        <v>109</v>
      </c>
      <c r="F27" s="365">
        <f>Formulas!F188</f>
        <v>115</v>
      </c>
      <c r="G27" s="239">
        <f>Formulas!G188</f>
        <v>191</v>
      </c>
    </row>
    <row r="28" spans="2:7" ht="15" customHeight="1" x14ac:dyDescent="0.3">
      <c r="B28" s="24"/>
      <c r="C28" s="24"/>
      <c r="D28" s="25"/>
      <c r="E28" s="240" t="s">
        <v>110</v>
      </c>
      <c r="F28" s="241">
        <f>Formulas!F189</f>
        <v>118</v>
      </c>
      <c r="G28" s="242">
        <f>Formulas!G189</f>
        <v>198</v>
      </c>
    </row>
    <row r="29" spans="2:7" ht="15" customHeight="1" x14ac:dyDescent="0.3">
      <c r="B29" s="24"/>
      <c r="C29" s="24"/>
      <c r="D29" s="25"/>
      <c r="E29" s="243" t="s">
        <v>111</v>
      </c>
      <c r="F29" s="244">
        <f>Formulas!F190</f>
        <v>122</v>
      </c>
      <c r="G29" s="245">
        <f>Formulas!G190</f>
        <v>204</v>
      </c>
    </row>
    <row r="30" spans="2:7" ht="15" customHeight="1" x14ac:dyDescent="0.3">
      <c r="B30" s="24"/>
      <c r="C30" s="24"/>
      <c r="D30" s="25"/>
      <c r="E30" s="240" t="s">
        <v>112</v>
      </c>
      <c r="F30" s="241">
        <f>Formulas!F191</f>
        <v>126</v>
      </c>
      <c r="G30" s="242">
        <f>Formulas!G191</f>
        <v>210</v>
      </c>
    </row>
    <row r="31" spans="2:7" ht="15" customHeight="1" x14ac:dyDescent="0.3">
      <c r="B31" s="24"/>
      <c r="C31" s="24"/>
      <c r="D31" s="25"/>
      <c r="E31" s="238" t="s">
        <v>113</v>
      </c>
      <c r="F31" s="365">
        <f>Formulas!F192</f>
        <v>130</v>
      </c>
      <c r="G31" s="239">
        <f>Formulas!G192</f>
        <v>216</v>
      </c>
    </row>
    <row r="32" spans="2:7" ht="15" customHeight="1" x14ac:dyDescent="0.3">
      <c r="B32" s="24"/>
      <c r="C32" s="24"/>
      <c r="D32" s="25"/>
      <c r="E32" s="240" t="s">
        <v>114</v>
      </c>
      <c r="F32" s="241">
        <f>Formulas!F193</f>
        <v>134</v>
      </c>
      <c r="G32" s="242">
        <f>Formulas!G193</f>
        <v>223</v>
      </c>
    </row>
    <row r="33" spans="2:11" ht="15" customHeight="1" x14ac:dyDescent="0.3">
      <c r="B33" s="24"/>
      <c r="C33" s="24"/>
      <c r="D33" s="25"/>
      <c r="E33" s="238" t="s">
        <v>115</v>
      </c>
      <c r="F33" s="365">
        <f>Formulas!F194</f>
        <v>137</v>
      </c>
      <c r="G33" s="239">
        <f>Formulas!G194</f>
        <v>228</v>
      </c>
    </row>
    <row r="34" spans="2:11" ht="15" customHeight="1" x14ac:dyDescent="0.3">
      <c r="B34" s="24"/>
      <c r="C34" s="24"/>
      <c r="D34" s="24"/>
      <c r="E34" s="246" t="s">
        <v>116</v>
      </c>
      <c r="F34" s="247">
        <f>Formulas!F195</f>
        <v>141</v>
      </c>
      <c r="G34" s="248">
        <f>Formulas!G195</f>
        <v>235</v>
      </c>
    </row>
    <row r="35" spans="2:11" ht="15" customHeight="1" x14ac:dyDescent="0.3">
      <c r="B35" s="24"/>
      <c r="C35" s="24"/>
      <c r="D35" s="24"/>
      <c r="E35" s="238" t="s">
        <v>118</v>
      </c>
      <c r="F35" s="365">
        <f>Formulas!F196</f>
        <v>145</v>
      </c>
      <c r="G35" s="239">
        <f>Formulas!G196</f>
        <v>241</v>
      </c>
    </row>
    <row r="36" spans="2:11" ht="15" customHeight="1" x14ac:dyDescent="0.3">
      <c r="B36" s="24"/>
      <c r="C36" s="24"/>
      <c r="D36" s="24"/>
      <c r="E36" s="240" t="s">
        <v>120</v>
      </c>
      <c r="F36" s="241">
        <f>Formulas!F197</f>
        <v>148</v>
      </c>
      <c r="G36" s="242">
        <f>Formulas!G197</f>
        <v>248</v>
      </c>
    </row>
    <row r="37" spans="2:11" ht="15" customHeight="1" x14ac:dyDescent="0.3">
      <c r="B37" s="24"/>
      <c r="C37" s="24"/>
      <c r="D37" s="24"/>
      <c r="E37" s="238" t="s">
        <v>122</v>
      </c>
      <c r="F37" s="365">
        <f>Formulas!F198</f>
        <v>153</v>
      </c>
      <c r="G37" s="239">
        <f>Formulas!G198</f>
        <v>254</v>
      </c>
    </row>
    <row r="38" spans="2:11" ht="15" customHeight="1" x14ac:dyDescent="0.3">
      <c r="B38" s="24"/>
      <c r="C38" s="24"/>
      <c r="D38" s="24"/>
      <c r="E38" s="240" t="s">
        <v>124</v>
      </c>
      <c r="F38" s="241">
        <f>Formulas!F199</f>
        <v>156</v>
      </c>
      <c r="G38" s="242">
        <f>Formulas!G199</f>
        <v>260</v>
      </c>
    </row>
    <row r="39" spans="2:11" ht="15" customHeight="1" x14ac:dyDescent="0.3">
      <c r="B39" s="24"/>
      <c r="C39" s="24"/>
      <c r="D39" s="24"/>
      <c r="E39" s="243" t="s">
        <v>126</v>
      </c>
      <c r="F39" s="244">
        <f>Formulas!F200</f>
        <v>160</v>
      </c>
      <c r="G39" s="245">
        <f>Formulas!G200</f>
        <v>266</v>
      </c>
    </row>
    <row r="40" spans="2:11" ht="15" customHeight="1" x14ac:dyDescent="0.3">
      <c r="J40" s="249"/>
      <c r="K40" s="249"/>
    </row>
  </sheetData>
  <mergeCells count="7">
    <mergeCell ref="B15:C15"/>
    <mergeCell ref="B5:B6"/>
    <mergeCell ref="B2:G3"/>
    <mergeCell ref="I2:K3"/>
    <mergeCell ref="E10:G10"/>
    <mergeCell ref="B10:C10"/>
    <mergeCell ref="E11:G13"/>
  </mergeCells>
  <conditionalFormatting sqref="E15">
    <cfRule type="expression" dxfId="150" priority="58">
      <formula>$I$5&lt;100.5</formula>
    </cfRule>
  </conditionalFormatting>
  <conditionalFormatting sqref="E16">
    <cfRule type="expression" dxfId="149" priority="59">
      <formula>AND($I$5&gt;=100.5,$I$5&lt;200.5)</formula>
    </cfRule>
  </conditionalFormatting>
  <conditionalFormatting sqref="E17">
    <cfRule type="expression" dxfId="148" priority="60">
      <formula>AND($I$5&gt;=200.5,$I$5&lt;300.5)</formula>
    </cfRule>
  </conditionalFormatting>
  <conditionalFormatting sqref="E18">
    <cfRule type="expression" dxfId="147" priority="61">
      <formula>AND($I$5&gt;=300.5,$I$5&lt;400.5)</formula>
    </cfRule>
  </conditionalFormatting>
  <conditionalFormatting sqref="E19">
    <cfRule type="expression" dxfId="146" priority="62">
      <formula>AND($I$5&gt;=400.5,$I$5&lt;500.5)</formula>
    </cfRule>
  </conditionalFormatting>
  <conditionalFormatting sqref="E22">
    <cfRule type="expression" dxfId="145" priority="63">
      <formula>AND($I$5&gt;=700.5,$I$5&lt;800.5)</formula>
    </cfRule>
  </conditionalFormatting>
  <conditionalFormatting sqref="E23">
    <cfRule type="expression" dxfId="144" priority="64">
      <formula>AND($I$5&gt;=800.5,$I$5&lt;900.5)</formula>
    </cfRule>
  </conditionalFormatting>
  <conditionalFormatting sqref="E24">
    <cfRule type="expression" dxfId="143" priority="65">
      <formula>AND($I$5&gt;=900.5,$I$5&lt;1000.5)</formula>
    </cfRule>
  </conditionalFormatting>
  <conditionalFormatting sqref="E25">
    <cfRule type="expression" dxfId="142" priority="66">
      <formula>AND($I$5&gt;=1000.5,$I$5&lt;1100.5)</formula>
    </cfRule>
  </conditionalFormatting>
  <conditionalFormatting sqref="E26">
    <cfRule type="expression" dxfId="141" priority="67">
      <formula>AND($I$5&gt;=1100.5,$I$5&lt;1200.5)</formula>
    </cfRule>
  </conditionalFormatting>
  <conditionalFormatting sqref="E27">
    <cfRule type="expression" dxfId="140" priority="68">
      <formula>AND($I$5&gt;=1200.5,$I$5&lt;1300.5)</formula>
    </cfRule>
  </conditionalFormatting>
  <conditionalFormatting sqref="E28">
    <cfRule type="expression" dxfId="139" priority="69">
      <formula>AND($I$5&gt;=1300.5,$I$5&lt;1400.5)</formula>
    </cfRule>
  </conditionalFormatting>
  <conditionalFormatting sqref="E29">
    <cfRule type="expression" dxfId="138" priority="70">
      <formula>AND($I$5&gt;=1400.5,$I$5&lt;1500.5)</formula>
    </cfRule>
  </conditionalFormatting>
  <conditionalFormatting sqref="E30">
    <cfRule type="expression" dxfId="137" priority="71">
      <formula>AND($I$5&gt;=1500.5,$I$5&lt;1600.5)</formula>
    </cfRule>
  </conditionalFormatting>
  <conditionalFormatting sqref="E31">
    <cfRule type="expression" dxfId="136" priority="72">
      <formula>AND($I$5&gt;=1600.5,$I$5&lt;1700.5)</formula>
    </cfRule>
  </conditionalFormatting>
  <conditionalFormatting sqref="E32">
    <cfRule type="expression" dxfId="135" priority="73">
      <formula>AND($I$5&gt;=1700.5,$I$5&lt;1800.5)</formula>
    </cfRule>
  </conditionalFormatting>
  <conditionalFormatting sqref="E33">
    <cfRule type="expression" dxfId="134" priority="74">
      <formula>AND($I$5&gt;=1800.5,$I$5&lt;1900.5)</formula>
    </cfRule>
  </conditionalFormatting>
  <conditionalFormatting sqref="E34">
    <cfRule type="expression" dxfId="133" priority="75">
      <formula>AND($I$5&gt;=1900.5,$I$5&lt;2000.5)</formula>
    </cfRule>
  </conditionalFormatting>
  <conditionalFormatting sqref="E35">
    <cfRule type="expression" dxfId="132" priority="76">
      <formula>AND($I$5&gt;=2000.5,$I$5&lt;2100.5)</formula>
    </cfRule>
  </conditionalFormatting>
  <conditionalFormatting sqref="E36">
    <cfRule type="expression" dxfId="131" priority="77">
      <formula>AND($I$5&gt;=2100.5,$I$5&lt;2200.5)</formula>
    </cfRule>
  </conditionalFormatting>
  <conditionalFormatting sqref="E37">
    <cfRule type="expression" dxfId="130" priority="78">
      <formula>AND($I$5&gt;=2200.5,$I$5&lt;2300.5)</formula>
    </cfRule>
  </conditionalFormatting>
  <conditionalFormatting sqref="E38">
    <cfRule type="expression" dxfId="129" priority="79">
      <formula>AND($I$5&gt;=2300.5,$I$5&lt;2400.5)</formula>
    </cfRule>
  </conditionalFormatting>
  <conditionalFormatting sqref="E39">
    <cfRule type="expression" dxfId="128" priority="80">
      <formula>AND($I$5&gt;=2400.5,$I$5&lt;2500.5)</formula>
    </cfRule>
  </conditionalFormatting>
  <conditionalFormatting sqref="E20">
    <cfRule type="expression" dxfId="127" priority="57">
      <formula>AND($I$5&gt;=500.5,$I$5&lt;600.5)</formula>
    </cfRule>
  </conditionalFormatting>
  <conditionalFormatting sqref="E21">
    <cfRule type="expression" dxfId="126" priority="56">
      <formula>AND($I$5&gt;=600.5,$I$5&lt;700.5)</formula>
    </cfRule>
  </conditionalFormatting>
  <conditionalFormatting sqref="E39:G39">
    <cfRule type="expression" dxfId="125" priority="55">
      <formula>$I$5&gt;=2500.5</formula>
    </cfRule>
  </conditionalFormatting>
  <conditionalFormatting sqref="F15">
    <cfRule type="expression" dxfId="124" priority="32">
      <formula>$I$5&lt;100.5</formula>
    </cfRule>
  </conditionalFormatting>
  <conditionalFormatting sqref="F16">
    <cfRule type="expression" dxfId="123" priority="33">
      <formula>AND($I$5&gt;=100.5,$I$5&lt;200.5)</formula>
    </cfRule>
  </conditionalFormatting>
  <conditionalFormatting sqref="F17">
    <cfRule type="expression" dxfId="122" priority="34">
      <formula>AND($I$5&gt;=200.5,$I$5&lt;300.5)</formula>
    </cfRule>
  </conditionalFormatting>
  <conditionalFormatting sqref="F18">
    <cfRule type="expression" dxfId="121" priority="35">
      <formula>AND($I$5&gt;=300.5,$I$5&lt;400.5)</formula>
    </cfRule>
  </conditionalFormatting>
  <conditionalFormatting sqref="F19">
    <cfRule type="expression" dxfId="120" priority="36">
      <formula>AND($I$5&gt;=400.5,$I$5&lt;500.5)</formula>
    </cfRule>
  </conditionalFormatting>
  <conditionalFormatting sqref="F22">
    <cfRule type="expression" dxfId="119" priority="37">
      <formula>AND($I$5&gt;=700.5,$I$5&lt;800.5)</formula>
    </cfRule>
  </conditionalFormatting>
  <conditionalFormatting sqref="F23">
    <cfRule type="expression" dxfId="118" priority="38">
      <formula>AND($I$5&gt;=800.5,$I$5&lt;900.5)</formula>
    </cfRule>
  </conditionalFormatting>
  <conditionalFormatting sqref="F24">
    <cfRule type="expression" dxfId="117" priority="39">
      <formula>AND($I$5&gt;=900.5,$I$5&lt;1000.5)</formula>
    </cfRule>
  </conditionalFormatting>
  <conditionalFormatting sqref="F25">
    <cfRule type="expression" dxfId="116" priority="40">
      <formula>AND($I$5&gt;=1000.5,$I$5&lt;1100.5)</formula>
    </cfRule>
  </conditionalFormatting>
  <conditionalFormatting sqref="F26">
    <cfRule type="expression" dxfId="115" priority="41">
      <formula>AND($I$5&gt;=1100.5,$I$5&lt;1200.5)</formula>
    </cfRule>
  </conditionalFormatting>
  <conditionalFormatting sqref="F27">
    <cfRule type="expression" dxfId="114" priority="42">
      <formula>AND($I$5&gt;=1200.5,$I$5&lt;1300.5)</formula>
    </cfRule>
  </conditionalFormatting>
  <conditionalFormatting sqref="F28">
    <cfRule type="expression" dxfId="113" priority="43">
      <formula>AND($I$5&gt;=1300.5,$I$5&lt;1400.5)</formula>
    </cfRule>
  </conditionalFormatting>
  <conditionalFormatting sqref="F29">
    <cfRule type="expression" dxfId="112" priority="44">
      <formula>AND($I$5&gt;=1400.5,$I$5&lt;1500.5)</formula>
    </cfRule>
  </conditionalFormatting>
  <conditionalFormatting sqref="F30">
    <cfRule type="expression" dxfId="111" priority="45">
      <formula>AND($I$5&gt;=1500.5,$I$5&lt;1600.5)</formula>
    </cfRule>
  </conditionalFormatting>
  <conditionalFormatting sqref="F31">
    <cfRule type="expression" dxfId="110" priority="46">
      <formula>AND($I$5&gt;=1600.5,$I$5&lt;1700.5)</formula>
    </cfRule>
  </conditionalFormatting>
  <conditionalFormatting sqref="F32">
    <cfRule type="expression" dxfId="109" priority="47">
      <formula>AND($I$5&gt;=1700.5,$I$5&lt;1800.5)</formula>
    </cfRule>
  </conditionalFormatting>
  <conditionalFormatting sqref="F33">
    <cfRule type="expression" dxfId="108" priority="48">
      <formula>AND($I$5&gt;=1800.5,$I$5&lt;1900.5)</formula>
    </cfRule>
  </conditionalFormatting>
  <conditionalFormatting sqref="F34">
    <cfRule type="expression" dxfId="107" priority="49">
      <formula>AND($I$5&gt;=1900.5,$I$5&lt;2000.5)</formula>
    </cfRule>
  </conditionalFormatting>
  <conditionalFormatting sqref="F35">
    <cfRule type="expression" dxfId="106" priority="50">
      <formula>AND($I$5&gt;=2000.5,$I$5&lt;2100.5)</formula>
    </cfRule>
  </conditionalFormatting>
  <conditionalFormatting sqref="F36">
    <cfRule type="expression" dxfId="105" priority="51">
      <formula>AND($I$5&gt;=2100.5,$I$5&lt;2200.5)</formula>
    </cfRule>
  </conditionalFormatting>
  <conditionalFormatting sqref="F37">
    <cfRule type="expression" dxfId="104" priority="52">
      <formula>AND($I$5&gt;=2200.5,$I$5&lt;2300.5)</formula>
    </cfRule>
  </conditionalFormatting>
  <conditionalFormatting sqref="F38">
    <cfRule type="expression" dxfId="103" priority="53">
      <formula>AND($I$5&gt;=2300.5,$I$5&lt;2400.5)</formula>
    </cfRule>
  </conditionalFormatting>
  <conditionalFormatting sqref="F39">
    <cfRule type="expression" dxfId="102" priority="54">
      <formula>AND($I$5&gt;=2400.5,$I$5&lt;2500.5)</formula>
    </cfRule>
  </conditionalFormatting>
  <conditionalFormatting sqref="F20">
    <cfRule type="expression" dxfId="101" priority="31">
      <formula>AND($I$5&gt;=500.5,$I$5&lt;600.5)</formula>
    </cfRule>
  </conditionalFormatting>
  <conditionalFormatting sqref="F21">
    <cfRule type="expression" dxfId="100" priority="30">
      <formula>AND($I$5&gt;=600.5,$I$5&lt;700.5)</formula>
    </cfRule>
  </conditionalFormatting>
  <conditionalFormatting sqref="G15">
    <cfRule type="expression" dxfId="99" priority="6">
      <formula>$I$5&lt;100.5</formula>
    </cfRule>
  </conditionalFormatting>
  <conditionalFormatting sqref="G16">
    <cfRule type="expression" dxfId="98" priority="7">
      <formula>AND($I$5&gt;=100.5,$I$5&lt;200.5)</formula>
    </cfRule>
  </conditionalFormatting>
  <conditionalFormatting sqref="G17">
    <cfRule type="expression" dxfId="97" priority="8">
      <formula>AND($I$5&gt;=200.5,$I$5&lt;300.5)</formula>
    </cfRule>
  </conditionalFormatting>
  <conditionalFormatting sqref="G18">
    <cfRule type="expression" dxfId="96" priority="9">
      <formula>AND($I$5&gt;=300.5,$I$5&lt;400.5)</formula>
    </cfRule>
  </conditionalFormatting>
  <conditionalFormatting sqref="G19">
    <cfRule type="expression" dxfId="95" priority="10">
      <formula>AND($I$5&gt;=400.5,$I$5&lt;500.5)</formula>
    </cfRule>
  </conditionalFormatting>
  <conditionalFormatting sqref="G20">
    <cfRule type="expression" dxfId="94" priority="11">
      <formula>AND($I$5&gt;=500.5,$I$5&lt;600.5)</formula>
    </cfRule>
  </conditionalFormatting>
  <conditionalFormatting sqref="G22">
    <cfRule type="expression" dxfId="93" priority="12">
      <formula>AND($I$5&gt;=700.5,$I$5&lt;800.5)</formula>
    </cfRule>
  </conditionalFormatting>
  <conditionalFormatting sqref="G23">
    <cfRule type="expression" dxfId="92" priority="13">
      <formula>AND($I$5&gt;=800.5,$I$5&lt;900.5)</formula>
    </cfRule>
  </conditionalFormatting>
  <conditionalFormatting sqref="G24">
    <cfRule type="expression" dxfId="91" priority="14">
      <formula>AND($I$5&gt;=900.5,$I$5&lt;1000.5)</formula>
    </cfRule>
  </conditionalFormatting>
  <conditionalFormatting sqref="G25">
    <cfRule type="expression" dxfId="90" priority="15">
      <formula>AND($I$5&gt;=1000.5,$I$5&lt;1100.5)</formula>
    </cfRule>
  </conditionalFormatting>
  <conditionalFormatting sqref="G26">
    <cfRule type="expression" dxfId="89" priority="16">
      <formula>AND($I$5&gt;=1100.5,$I$5&lt;1200.5)</formula>
    </cfRule>
  </conditionalFormatting>
  <conditionalFormatting sqref="G27">
    <cfRule type="expression" dxfId="88" priority="17">
      <formula>AND($I$5&gt;=1200.5,$I$5&lt;1300.5)</formula>
    </cfRule>
  </conditionalFormatting>
  <conditionalFormatting sqref="G28">
    <cfRule type="expression" dxfId="87" priority="18">
      <formula>AND($I$5&gt;=1300.5,$I$5&lt;1400.5)</formula>
    </cfRule>
  </conditionalFormatting>
  <conditionalFormatting sqref="G29">
    <cfRule type="expression" dxfId="86" priority="19">
      <formula>AND($I$5&gt;=1400.5,$I$5&lt;1500.5)</formula>
    </cfRule>
  </conditionalFormatting>
  <conditionalFormatting sqref="G30">
    <cfRule type="expression" dxfId="85" priority="20">
      <formula>AND($I$5&gt;=1500.5,$I$5&lt;1600.5)</formula>
    </cfRule>
  </conditionalFormatting>
  <conditionalFormatting sqref="G31">
    <cfRule type="expression" dxfId="84" priority="21">
      <formula>AND($I$5&gt;=1600.5,$I$5&lt;1700.5)</formula>
    </cfRule>
  </conditionalFormatting>
  <conditionalFormatting sqref="G32">
    <cfRule type="expression" dxfId="83" priority="22">
      <formula>AND($I$5&gt;=1700.5,$I$5&lt;1800.5)</formula>
    </cfRule>
  </conditionalFormatting>
  <conditionalFormatting sqref="G33">
    <cfRule type="expression" dxfId="82" priority="23">
      <formula>AND($I$5&gt;=1800.5,$I$5&lt;1900.5)</formula>
    </cfRule>
  </conditionalFormatting>
  <conditionalFormatting sqref="G34">
    <cfRule type="expression" dxfId="81" priority="24">
      <formula>AND($I$5&gt;=1900.5,$I$5&lt;2000.5)</formula>
    </cfRule>
  </conditionalFormatting>
  <conditionalFormatting sqref="G35">
    <cfRule type="expression" dxfId="80" priority="25">
      <formula>AND($I$5&gt;=2000.5,$I$5&lt;2100.5)</formula>
    </cfRule>
  </conditionalFormatting>
  <conditionalFormatting sqref="G36">
    <cfRule type="expression" dxfId="79" priority="26">
      <formula>AND($I$5&gt;=2100.5,$I$5&lt;2200.5)</formula>
    </cfRule>
  </conditionalFormatting>
  <conditionalFormatting sqref="G37">
    <cfRule type="expression" dxfId="78" priority="27">
      <formula>AND($I$5&gt;=2200.5,$I$5&lt;2300.5)</formula>
    </cfRule>
  </conditionalFormatting>
  <conditionalFormatting sqref="G38">
    <cfRule type="expression" dxfId="77" priority="28">
      <formula>AND($I$5&gt;=2300.5,$I$5&lt;2400.5)</formula>
    </cfRule>
  </conditionalFormatting>
  <conditionalFormatting sqref="G39">
    <cfRule type="expression" dxfId="76" priority="29">
      <formula>AND($I$5&gt;=2400.5,$I$5&lt;2500.5)</formula>
    </cfRule>
  </conditionalFormatting>
  <conditionalFormatting sqref="G21">
    <cfRule type="expression" dxfId="75" priority="5">
      <formula>AND($I$5&gt;=600.5,$I$5&lt;700.5)</formula>
    </cfRule>
  </conditionalFormatting>
  <conditionalFormatting sqref="D7">
    <cfRule type="expression" dxfId="74" priority="4">
      <formula>$D$7&gt;0</formula>
    </cfRule>
  </conditionalFormatting>
  <conditionalFormatting sqref="F7">
    <cfRule type="expression" dxfId="73" priority="3">
      <formula>$F$7&gt;0</formula>
    </cfRule>
  </conditionalFormatting>
  <conditionalFormatting sqref="H7">
    <cfRule type="expression" dxfId="72" priority="2">
      <formula>$H$7&gt;0</formula>
    </cfRule>
  </conditionalFormatting>
  <conditionalFormatting sqref="D8">
    <cfRule type="expression" dxfId="71" priority="1">
      <formula>$D$8&gt;1</formula>
    </cfRule>
  </conditionalFormatting>
  <dataValidations count="4">
    <dataValidation type="decimal" operator="greaterThan" allowBlank="1" showInputMessage="1" showErrorMessage="1" sqref="C12 D5:D6 F5:F6 H5:H6" xr:uid="{00000000-0002-0000-0600-000000000000}">
      <formula1>0</formula1>
    </dataValidation>
    <dataValidation type="decimal" operator="greaterThanOrEqual" allowBlank="1" showInputMessage="1" showErrorMessage="1" sqref="C16:C17 H7:H8 D7" xr:uid="{00000000-0002-0000-0600-000001000000}">
      <formula1>0</formula1>
    </dataValidation>
    <dataValidation type="decimal" allowBlank="1" showInputMessage="1" showErrorMessage="1" sqref="F7:F8" xr:uid="{00000000-0002-0000-0600-000002000000}">
      <formula1>0</formula1>
      <formula2>1</formula2>
    </dataValidation>
    <dataValidation type="whole" operator="greaterThan" allowBlank="1" showInputMessage="1" showErrorMessage="1" sqref="D8" xr:uid="{00000000-0002-0000-0600-000003000000}">
      <formula1>0</formula1>
    </dataValidation>
  </dataValidations>
  <hyperlinks>
    <hyperlink ref="I2:J3" location="'Main Menu'!A1" display="Main Menu" xr:uid="{00000000-0004-0000-0600-000000000000}"/>
    <hyperlink ref="I2:K3" location="'Main Menu'!C8" display="Back to Main Menu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07">
    <tabColor theme="9" tint="0.39997558519241921"/>
  </sheetPr>
  <dimension ref="A1:U222"/>
  <sheetViews>
    <sheetView topLeftCell="A13" workbookViewId="0">
      <selection activeCell="D5" sqref="D5"/>
    </sheetView>
  </sheetViews>
  <sheetFormatPr defaultColWidth="9.109375" defaultRowHeight="15" customHeight="1" x14ac:dyDescent="0.3"/>
  <cols>
    <col min="1" max="1" width="9.109375" style="491"/>
    <col min="2" max="2" width="22.33203125" style="491" bestFit="1" customWidth="1"/>
    <col min="3" max="3" width="13.77734375" style="491" bestFit="1" customWidth="1"/>
    <col min="4" max="5" width="20" style="491" bestFit="1" customWidth="1"/>
    <col min="6" max="6" width="9.109375" style="491" customWidth="1"/>
    <col min="7" max="7" width="25.6640625" style="491" bestFit="1" customWidth="1"/>
    <col min="8" max="8" width="12.77734375" style="491" customWidth="1"/>
    <col min="9" max="9" width="10.109375" style="491" customWidth="1"/>
    <col min="10" max="10" width="9.109375" style="491" customWidth="1"/>
    <col min="11" max="11" width="23.109375" style="491" bestFit="1" customWidth="1"/>
    <col min="12" max="12" width="12.77734375" style="491" customWidth="1"/>
    <col min="13" max="13" width="10.109375" style="491" customWidth="1"/>
    <col min="14" max="17" width="9.109375" style="491" customWidth="1"/>
    <col min="18" max="16384" width="9.109375" style="491"/>
  </cols>
  <sheetData>
    <row r="1" spans="2:21" ht="15" customHeight="1" x14ac:dyDescent="0.3"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21" ht="15" customHeight="1" x14ac:dyDescent="0.65">
      <c r="B2" s="877" t="s">
        <v>727</v>
      </c>
      <c r="C2" s="877"/>
      <c r="D2" s="877"/>
      <c r="E2" s="877"/>
      <c r="F2" s="877"/>
      <c r="G2" s="786"/>
      <c r="H2" s="30"/>
      <c r="I2" s="816" t="s">
        <v>1</v>
      </c>
      <c r="J2" s="816"/>
      <c r="K2" s="816"/>
      <c r="L2" s="24"/>
      <c r="M2" s="24"/>
      <c r="N2" s="24"/>
      <c r="O2" s="24"/>
      <c r="P2" s="27"/>
      <c r="Q2" s="27"/>
      <c r="R2" s="27"/>
      <c r="S2" s="27"/>
    </row>
    <row r="3" spans="2:21" ht="15" customHeight="1" x14ac:dyDescent="0.65">
      <c r="B3" s="877"/>
      <c r="C3" s="877"/>
      <c r="D3" s="877"/>
      <c r="E3" s="877"/>
      <c r="F3" s="877"/>
      <c r="G3" s="786"/>
      <c r="H3" s="30"/>
      <c r="I3" s="816"/>
      <c r="J3" s="816"/>
      <c r="K3" s="816"/>
      <c r="L3" s="24"/>
      <c r="M3" s="24"/>
      <c r="N3" s="24"/>
      <c r="O3" s="24"/>
      <c r="P3" s="27"/>
      <c r="Q3" s="27"/>
      <c r="R3" s="27"/>
      <c r="S3" s="27"/>
    </row>
    <row r="4" spans="2:21" ht="15" customHeight="1" x14ac:dyDescent="0.3">
      <c r="I4" s="27"/>
      <c r="J4" s="27"/>
      <c r="K4" s="219"/>
      <c r="L4" s="26"/>
      <c r="M4" s="26"/>
      <c r="N4" s="26"/>
      <c r="O4" s="27"/>
      <c r="P4" s="27"/>
      <c r="Q4" s="27"/>
      <c r="R4" s="27"/>
      <c r="S4" s="27"/>
      <c r="T4" s="27"/>
      <c r="U4" s="27"/>
    </row>
    <row r="5" spans="2:21" ht="15" customHeight="1" x14ac:dyDescent="0.3">
      <c r="B5" s="878" t="s">
        <v>220</v>
      </c>
      <c r="C5" s="32" t="s">
        <v>221</v>
      </c>
      <c r="D5" s="33"/>
      <c r="E5" s="34" t="s">
        <v>222</v>
      </c>
      <c r="F5" s="33"/>
      <c r="G5" s="35" t="s">
        <v>466</v>
      </c>
      <c r="H5" s="33"/>
      <c r="I5" s="26"/>
      <c r="M5" s="26"/>
      <c r="N5" s="26"/>
      <c r="P5" s="27"/>
      <c r="Q5" s="27"/>
      <c r="R5" s="27"/>
      <c r="S5" s="27"/>
      <c r="T5" s="27"/>
      <c r="U5" s="27"/>
    </row>
    <row r="6" spans="2:21" ht="15" customHeight="1" x14ac:dyDescent="0.3">
      <c r="B6" s="878"/>
      <c r="C6" s="200" t="s">
        <v>223</v>
      </c>
      <c r="D6" s="201"/>
      <c r="E6" s="43" t="s">
        <v>224</v>
      </c>
      <c r="F6" s="202"/>
      <c r="G6" s="59" t="s">
        <v>467</v>
      </c>
      <c r="H6" s="201"/>
      <c r="I6" s="26"/>
      <c r="M6" s="27"/>
      <c r="N6" s="27"/>
      <c r="P6" s="27"/>
      <c r="Q6" s="27"/>
      <c r="R6" s="27"/>
      <c r="S6" s="27"/>
      <c r="T6" s="27"/>
      <c r="U6" s="27"/>
    </row>
    <row r="7" spans="2:21" ht="15" customHeight="1" x14ac:dyDescent="0.3">
      <c r="B7" s="879" t="s">
        <v>721</v>
      </c>
      <c r="C7" s="35" t="s">
        <v>221</v>
      </c>
      <c r="D7" s="250"/>
      <c r="E7" s="34" t="s">
        <v>222</v>
      </c>
      <c r="F7" s="250"/>
      <c r="G7" s="35" t="s">
        <v>466</v>
      </c>
      <c r="H7" s="250"/>
      <c r="I7" s="27"/>
      <c r="M7" s="27"/>
      <c r="N7" s="27"/>
      <c r="P7" s="27"/>
      <c r="Q7" s="27"/>
      <c r="R7" s="27"/>
      <c r="S7" s="27"/>
      <c r="T7" s="27"/>
      <c r="U7" s="27"/>
    </row>
    <row r="8" spans="2:21" ht="15" customHeight="1" x14ac:dyDescent="0.3">
      <c r="B8" s="879"/>
      <c r="C8" s="39" t="s">
        <v>223</v>
      </c>
      <c r="D8" s="251"/>
      <c r="E8" s="37" t="s">
        <v>224</v>
      </c>
      <c r="F8" s="251"/>
      <c r="G8" s="39" t="s">
        <v>467</v>
      </c>
      <c r="H8" s="251"/>
      <c r="I8" s="27"/>
      <c r="M8" s="27"/>
      <c r="N8" s="27"/>
      <c r="O8" s="27"/>
      <c r="P8" s="27"/>
      <c r="Q8" s="27"/>
      <c r="R8" s="27"/>
      <c r="S8" s="27"/>
      <c r="T8" s="27"/>
      <c r="U8" s="27"/>
    </row>
    <row r="9" spans="2:21" s="725" customFormat="1" ht="15" customHeight="1" x14ac:dyDescent="0.3">
      <c r="B9" s="724" t="s">
        <v>722</v>
      </c>
      <c r="C9" s="59" t="s">
        <v>532</v>
      </c>
      <c r="D9" s="335"/>
      <c r="E9" s="59" t="s">
        <v>531</v>
      </c>
      <c r="F9" s="338"/>
      <c r="G9" s="59" t="s">
        <v>533</v>
      </c>
      <c r="H9" s="338"/>
      <c r="I9" s="27"/>
      <c r="M9" s="27"/>
      <c r="N9" s="27"/>
      <c r="O9" s="27"/>
      <c r="P9" s="27"/>
      <c r="Q9" s="27"/>
      <c r="R9" s="27"/>
      <c r="S9" s="27"/>
      <c r="T9" s="27"/>
      <c r="U9" s="27"/>
    </row>
    <row r="10" spans="2:21" ht="15" customHeight="1" x14ac:dyDescent="0.3">
      <c r="B10" s="878" t="s">
        <v>723</v>
      </c>
      <c r="C10" s="32" t="s">
        <v>221</v>
      </c>
      <c r="D10" s="250"/>
      <c r="E10" s="34" t="s">
        <v>222</v>
      </c>
      <c r="F10" s="250"/>
      <c r="G10" s="35" t="s">
        <v>467</v>
      </c>
      <c r="H10" s="25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2:21" ht="15" customHeight="1" x14ac:dyDescent="0.3">
      <c r="B11" s="878"/>
      <c r="C11" s="252" t="s">
        <v>223</v>
      </c>
      <c r="D11" s="251"/>
      <c r="E11" s="253" t="s">
        <v>224</v>
      </c>
      <c r="F11" s="251"/>
      <c r="G11" s="253" t="s">
        <v>467</v>
      </c>
      <c r="H11" s="251"/>
      <c r="I11" s="27"/>
      <c r="J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2:21" ht="15" customHeight="1" x14ac:dyDescent="0.3">
      <c r="B12" s="635" t="s">
        <v>724</v>
      </c>
      <c r="C12" s="254" t="s">
        <v>737</v>
      </c>
      <c r="D12" s="255"/>
      <c r="E12" s="256" t="s">
        <v>738</v>
      </c>
      <c r="F12" s="255"/>
      <c r="G12" s="256" t="s">
        <v>739</v>
      </c>
      <c r="H12" s="255"/>
      <c r="I12" s="27"/>
      <c r="J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2:21" ht="15" customHeight="1" x14ac:dyDescent="0.3">
      <c r="B13" s="634" t="s">
        <v>493</v>
      </c>
      <c r="C13" s="200" t="s">
        <v>393</v>
      </c>
      <c r="D13" s="255"/>
      <c r="E13" s="39" t="s">
        <v>340</v>
      </c>
      <c r="F13" s="380"/>
      <c r="G13" s="39" t="s">
        <v>341</v>
      </c>
      <c r="H13" s="257"/>
      <c r="I13" s="27"/>
      <c r="J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2:21" s="636" customFormat="1" ht="15" customHeight="1" x14ac:dyDescent="0.3">
      <c r="B14" s="634" t="s">
        <v>487</v>
      </c>
      <c r="C14" s="500" t="s">
        <v>509</v>
      </c>
      <c r="D14" s="648" t="s">
        <v>154</v>
      </c>
      <c r="E14" s="346"/>
      <c r="F14" s="646"/>
      <c r="G14" s="504"/>
      <c r="H14" s="647"/>
      <c r="I14" s="27"/>
      <c r="J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2:21" ht="15" customHeight="1" x14ac:dyDescent="0.3">
      <c r="B15" s="634" t="s">
        <v>465</v>
      </c>
      <c r="C15" s="500" t="s">
        <v>507</v>
      </c>
      <c r="D15" s="643"/>
      <c r="E15" s="346"/>
      <c r="F15" s="585"/>
      <c r="G15" s="497"/>
      <c r="H15" s="498"/>
      <c r="I15" s="27"/>
      <c r="J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2:21" ht="15" customHeight="1" x14ac:dyDescent="0.3">
      <c r="I16" s="27"/>
      <c r="J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" customHeight="1" x14ac:dyDescent="0.3">
      <c r="B17" s="880" t="s">
        <v>368</v>
      </c>
      <c r="C17" s="880"/>
      <c r="D17" s="880"/>
      <c r="E17" s="880"/>
      <c r="G17" s="870" t="s">
        <v>725</v>
      </c>
      <c r="H17" s="870"/>
      <c r="I17" s="870"/>
      <c r="K17" s="870" t="s">
        <v>730</v>
      </c>
      <c r="L17" s="870"/>
      <c r="M17" s="870"/>
      <c r="R17" s="27"/>
      <c r="S17" s="27"/>
      <c r="T17" s="27"/>
      <c r="U17" s="27"/>
    </row>
    <row r="18" spans="1:21" ht="15" customHeight="1" x14ac:dyDescent="0.3">
      <c r="B18" s="610" t="s">
        <v>365</v>
      </c>
      <c r="C18" s="610" t="s">
        <v>366</v>
      </c>
      <c r="D18" s="610" t="s">
        <v>405</v>
      </c>
      <c r="E18" s="610" t="s">
        <v>369</v>
      </c>
      <c r="G18" s="610" t="s">
        <v>4</v>
      </c>
      <c r="H18" s="610" t="s">
        <v>350</v>
      </c>
      <c r="I18" s="610" t="s">
        <v>269</v>
      </c>
      <c r="K18" s="610" t="s">
        <v>4</v>
      </c>
      <c r="L18" s="610" t="s">
        <v>350</v>
      </c>
      <c r="M18" s="610" t="s">
        <v>269</v>
      </c>
    </row>
    <row r="19" spans="1:21" ht="15" customHeight="1" x14ac:dyDescent="0.3">
      <c r="B19" s="871" t="s">
        <v>617</v>
      </c>
      <c r="C19" s="873" t="str">
        <f>Formulas!C212</f>
        <v>Silicone E</v>
      </c>
      <c r="D19" s="873" t="str">
        <f>Formulas!D212</f>
        <v>0" x 0"</v>
      </c>
      <c r="E19" s="875" t="str">
        <f>Formulas!E212</f>
        <v>0" x 0"</v>
      </c>
      <c r="G19" s="260" t="s">
        <v>733</v>
      </c>
      <c r="H19" s="261" t="str">
        <f>Formulas!H212</f>
        <v>0 ln. ft.</v>
      </c>
      <c r="I19" s="262">
        <f>Formulas!I212</f>
        <v>0</v>
      </c>
      <c r="K19" s="263" t="s">
        <v>733</v>
      </c>
      <c r="L19" s="264" t="str">
        <f>Formulas!L212</f>
        <v>0 ln. ft.</v>
      </c>
      <c r="M19" s="265">
        <f>Formulas!M212</f>
        <v>0</v>
      </c>
    </row>
    <row r="20" spans="1:21" ht="15" customHeight="1" x14ac:dyDescent="0.3">
      <c r="B20" s="872"/>
      <c r="C20" s="874"/>
      <c r="D20" s="874"/>
      <c r="E20" s="876"/>
      <c r="G20" s="269" t="s">
        <v>132</v>
      </c>
      <c r="H20" s="425"/>
      <c r="I20" s="268">
        <f>Formulas!I213</f>
        <v>0</v>
      </c>
      <c r="K20" s="269" t="s">
        <v>740</v>
      </c>
      <c r="L20" s="270" t="str">
        <f>Formulas!L213</f>
        <v>0 ln. ft.</v>
      </c>
      <c r="M20" s="268">
        <f>Formulas!M213</f>
        <v>0</v>
      </c>
    </row>
    <row r="21" spans="1:21" ht="15" customHeight="1" x14ac:dyDescent="0.3">
      <c r="G21" s="273" t="s">
        <v>133</v>
      </c>
      <c r="H21" s="426"/>
      <c r="I21" s="365">
        <f>Formulas!I214</f>
        <v>0</v>
      </c>
      <c r="K21" s="260" t="s">
        <v>134</v>
      </c>
      <c r="L21" s="421"/>
      <c r="M21" s="262">
        <f>Formulas!M214</f>
        <v>0</v>
      </c>
    </row>
    <row r="22" spans="1:21" ht="15" customHeight="1" x14ac:dyDescent="0.3">
      <c r="B22" s="880" t="s">
        <v>363</v>
      </c>
      <c r="C22" s="880"/>
      <c r="D22" s="880"/>
      <c r="E22" s="880"/>
      <c r="G22" s="269" t="s">
        <v>743</v>
      </c>
      <c r="H22" s="425"/>
      <c r="I22" s="268">
        <f>Formulas!I215</f>
        <v>0</v>
      </c>
      <c r="K22" s="269" t="s">
        <v>133</v>
      </c>
      <c r="L22" s="425"/>
      <c r="M22" s="268">
        <f>Formulas!M215</f>
        <v>0</v>
      </c>
    </row>
    <row r="23" spans="1:21" ht="15" customHeight="1" x14ac:dyDescent="0.3">
      <c r="B23" s="610" t="s">
        <v>365</v>
      </c>
      <c r="C23" s="610" t="s">
        <v>366</v>
      </c>
      <c r="D23" s="610" t="s">
        <v>404</v>
      </c>
      <c r="E23" s="610" t="s">
        <v>367</v>
      </c>
      <c r="G23" s="273" t="s">
        <v>136</v>
      </c>
      <c r="H23" s="426"/>
      <c r="I23" s="365">
        <f>Formulas!I216</f>
        <v>0</v>
      </c>
      <c r="K23" s="260" t="s">
        <v>747</v>
      </c>
      <c r="L23" s="421"/>
      <c r="M23" s="262">
        <f>Formulas!M216</f>
        <v>0</v>
      </c>
    </row>
    <row r="24" spans="1:21" ht="15" customHeight="1" x14ac:dyDescent="0.3">
      <c r="B24" s="871" t="s">
        <v>617</v>
      </c>
      <c r="C24" s="873" t="str">
        <f>Formulas!C217</f>
        <v>Silicone E</v>
      </c>
      <c r="D24" s="873" t="str">
        <f>Formulas!D217</f>
        <v>0" x 0"</v>
      </c>
      <c r="E24" s="875" t="str">
        <f>Formulas!E217</f>
        <v>0" x 0"</v>
      </c>
      <c r="G24" s="870" t="s">
        <v>726</v>
      </c>
      <c r="H24" s="870"/>
      <c r="I24" s="870"/>
      <c r="K24" s="269" t="s">
        <v>137</v>
      </c>
      <c r="L24" s="425"/>
      <c r="M24" s="268">
        <f>Formulas!M217</f>
        <v>0</v>
      </c>
    </row>
    <row r="25" spans="1:21" ht="15" customHeight="1" x14ac:dyDescent="0.3">
      <c r="B25" s="872"/>
      <c r="C25" s="874"/>
      <c r="D25" s="874"/>
      <c r="E25" s="876"/>
      <c r="G25" s="260" t="s">
        <v>188</v>
      </c>
      <c r="I25" s="265">
        <f>Formulas!I218</f>
        <v>0</v>
      </c>
      <c r="K25" s="273" t="s">
        <v>138</v>
      </c>
      <c r="L25" s="426"/>
      <c r="M25" s="365">
        <f>Formulas!M218</f>
        <v>0</v>
      </c>
    </row>
    <row r="26" spans="1:21" ht="15" customHeight="1" x14ac:dyDescent="0.3">
      <c r="B26" s="249"/>
      <c r="C26" s="249"/>
      <c r="D26" s="249"/>
      <c r="E26" s="249"/>
      <c r="G26" s="276" t="s">
        <v>9</v>
      </c>
      <c r="H26" s="277"/>
      <c r="I26" s="278">
        <f>Formulas!I219</f>
        <v>0</v>
      </c>
      <c r="K26" s="269" t="s">
        <v>139</v>
      </c>
      <c r="L26" s="425"/>
      <c r="M26" s="268">
        <f>Formulas!M219</f>
        <v>0</v>
      </c>
    </row>
    <row r="27" spans="1:21" ht="15" customHeight="1" x14ac:dyDescent="0.3">
      <c r="B27" s="870" t="s">
        <v>364</v>
      </c>
      <c r="C27" s="870"/>
      <c r="D27" s="870"/>
      <c r="G27" s="258" t="s">
        <v>187</v>
      </c>
      <c r="H27" s="259"/>
      <c r="I27" s="365">
        <f>Formulas!I220</f>
        <v>0</v>
      </c>
      <c r="K27" s="260" t="s">
        <v>744</v>
      </c>
      <c r="L27" s="421"/>
      <c r="M27" s="262">
        <f>Formulas!M220</f>
        <v>0</v>
      </c>
    </row>
    <row r="28" spans="1:21" ht="15" customHeight="1" x14ac:dyDescent="0.3">
      <c r="B28" s="258" t="s">
        <v>9</v>
      </c>
      <c r="C28" s="259"/>
      <c r="D28" s="365">
        <f>Formulas!D221</f>
        <v>0</v>
      </c>
      <c r="G28" s="266" t="s">
        <v>553</v>
      </c>
      <c r="H28" s="267"/>
      <c r="I28" s="268">
        <f>Formulas!I221</f>
        <v>0</v>
      </c>
      <c r="K28" s="269" t="s">
        <v>745</v>
      </c>
      <c r="L28" s="425"/>
      <c r="M28" s="268">
        <f>Formulas!M221</f>
        <v>0</v>
      </c>
    </row>
    <row r="29" spans="1:21" ht="15" customHeight="1" x14ac:dyDescent="0.3">
      <c r="B29" s="266" t="s">
        <v>187</v>
      </c>
      <c r="C29" s="267"/>
      <c r="D29" s="268">
        <f>Formulas!D222</f>
        <v>0</v>
      </c>
      <c r="G29" s="258" t="s">
        <v>554</v>
      </c>
      <c r="H29" s="259"/>
      <c r="I29" s="365">
        <f>Formulas!I222</f>
        <v>0</v>
      </c>
      <c r="K29" s="260" t="s">
        <v>746</v>
      </c>
      <c r="L29" s="421"/>
      <c r="M29" s="262">
        <f>Formulas!M222</f>
        <v>0</v>
      </c>
    </row>
    <row r="30" spans="1:21" ht="15" customHeight="1" x14ac:dyDescent="0.3">
      <c r="B30" s="258" t="s">
        <v>553</v>
      </c>
      <c r="C30" s="259"/>
      <c r="D30" s="365">
        <f>Formulas!D223</f>
        <v>0</v>
      </c>
      <c r="G30" s="276" t="s">
        <v>131</v>
      </c>
      <c r="H30" s="277"/>
      <c r="I30" s="278">
        <f>Formulas!I223</f>
        <v>0</v>
      </c>
      <c r="K30" s="269" t="s">
        <v>141</v>
      </c>
      <c r="L30" s="425"/>
      <c r="M30" s="268">
        <f>Formulas!M223</f>
        <v>0</v>
      </c>
    </row>
    <row r="31" spans="1:21" ht="15" customHeight="1" x14ac:dyDescent="0.3">
      <c r="B31" s="266" t="s">
        <v>554</v>
      </c>
      <c r="C31" s="267"/>
      <c r="D31" s="268">
        <f>Formulas!D224</f>
        <v>0</v>
      </c>
      <c r="G31" s="258" t="s">
        <v>551</v>
      </c>
      <c r="H31" s="259"/>
      <c r="I31" s="365">
        <f>Formulas!I224</f>
        <v>0</v>
      </c>
      <c r="K31" s="260" t="s">
        <v>142</v>
      </c>
      <c r="L31" s="421"/>
      <c r="M31" s="262">
        <f>Formulas!M224</f>
        <v>0</v>
      </c>
    </row>
    <row r="32" spans="1:21" ht="15" customHeight="1" x14ac:dyDescent="0.3">
      <c r="A32" s="24"/>
      <c r="B32" s="307" t="s">
        <v>704</v>
      </c>
      <c r="C32" s="409"/>
      <c r="D32" s="410">
        <f>Formulas!D225</f>
        <v>0</v>
      </c>
      <c r="E32" s="27"/>
      <c r="G32" s="279" t="s">
        <v>552</v>
      </c>
      <c r="H32" s="280"/>
      <c r="I32" s="281">
        <f>Formulas!I225</f>
        <v>0</v>
      </c>
      <c r="K32" s="269" t="s">
        <v>143</v>
      </c>
      <c r="L32" s="425"/>
      <c r="M32" s="268">
        <f>Formulas!M225</f>
        <v>0</v>
      </c>
    </row>
    <row r="33" spans="1:13" ht="15" customHeight="1" x14ac:dyDescent="0.3">
      <c r="A33" s="24"/>
      <c r="B33" s="276" t="s">
        <v>131</v>
      </c>
      <c r="C33" s="277"/>
      <c r="D33" s="278">
        <f>Formulas!D226</f>
        <v>0</v>
      </c>
      <c r="G33" s="282" t="s">
        <v>189</v>
      </c>
      <c r="H33" s="655"/>
      <c r="I33" s="244">
        <f>Formulas!I226</f>
        <v>0</v>
      </c>
      <c r="K33" s="260" t="s">
        <v>144</v>
      </c>
      <c r="L33" s="421"/>
      <c r="M33" s="262">
        <f>Formulas!M226</f>
        <v>0</v>
      </c>
    </row>
    <row r="34" spans="1:13" ht="15" customHeight="1" x14ac:dyDescent="0.3">
      <c r="A34" s="24"/>
      <c r="B34" s="258" t="s">
        <v>551</v>
      </c>
      <c r="C34" s="259"/>
      <c r="D34" s="365">
        <f>Formulas!D227</f>
        <v>0</v>
      </c>
      <c r="K34" s="274" t="s">
        <v>145</v>
      </c>
      <c r="L34" s="427"/>
      <c r="M34" s="268">
        <f>Formulas!M227</f>
        <v>0</v>
      </c>
    </row>
    <row r="35" spans="1:13" ht="15" customHeight="1" x14ac:dyDescent="0.3">
      <c r="A35" s="24"/>
      <c r="B35" s="279" t="s">
        <v>552</v>
      </c>
      <c r="C35" s="280"/>
      <c r="D35" s="281">
        <f>Formulas!D228</f>
        <v>0</v>
      </c>
      <c r="G35" s="868" t="s">
        <v>451</v>
      </c>
      <c r="H35" s="869"/>
      <c r="K35" s="870" t="s">
        <v>731</v>
      </c>
      <c r="L35" s="870"/>
      <c r="M35" s="870"/>
    </row>
    <row r="36" spans="1:13" ht="15" customHeight="1" x14ac:dyDescent="0.3">
      <c r="A36" s="318"/>
      <c r="B36" s="273" t="s">
        <v>703</v>
      </c>
      <c r="C36" s="72"/>
      <c r="D36" s="365">
        <f>Formulas!D229</f>
        <v>0</v>
      </c>
      <c r="G36" s="473" t="s">
        <v>452</v>
      </c>
      <c r="H36" s="300"/>
      <c r="K36" s="273" t="s">
        <v>188</v>
      </c>
      <c r="M36" s="364">
        <f>Formulas!M229</f>
        <v>0</v>
      </c>
    </row>
    <row r="37" spans="1:13" ht="15" customHeight="1" x14ac:dyDescent="0.3">
      <c r="A37" s="236"/>
      <c r="B37" s="274" t="s">
        <v>189</v>
      </c>
      <c r="C37" s="319"/>
      <c r="D37" s="275">
        <f>Formulas!D230</f>
        <v>0</v>
      </c>
      <c r="G37" s="279" t="s">
        <v>453</v>
      </c>
      <c r="H37" s="475"/>
      <c r="K37" s="276" t="s">
        <v>9</v>
      </c>
      <c r="L37" s="277"/>
      <c r="M37" s="278">
        <f>Formulas!M230</f>
        <v>0</v>
      </c>
    </row>
    <row r="38" spans="1:13" ht="15" customHeight="1" x14ac:dyDescent="0.3">
      <c r="A38" s="318"/>
      <c r="D38" s="249"/>
      <c r="G38" s="474" t="s">
        <v>454</v>
      </c>
      <c r="H38" s="477">
        <f>Formulas!H231</f>
        <v>0</v>
      </c>
      <c r="K38" s="258" t="s">
        <v>187</v>
      </c>
      <c r="L38" s="259"/>
      <c r="M38" s="365">
        <f>Formulas!M231</f>
        <v>0</v>
      </c>
    </row>
    <row r="39" spans="1:13" ht="15" customHeight="1" x14ac:dyDescent="0.3">
      <c r="A39" s="318"/>
      <c r="B39" s="868" t="s">
        <v>451</v>
      </c>
      <c r="C39" s="869"/>
      <c r="K39" s="266" t="s">
        <v>553</v>
      </c>
      <c r="L39" s="267"/>
      <c r="M39" s="268">
        <f>Formulas!M232</f>
        <v>0</v>
      </c>
    </row>
    <row r="40" spans="1:13" ht="15" customHeight="1" x14ac:dyDescent="0.3">
      <c r="A40" s="318"/>
      <c r="B40" s="473" t="s">
        <v>452</v>
      </c>
      <c r="C40" s="300"/>
      <c r="I40" s="24"/>
      <c r="K40" s="258" t="s">
        <v>554</v>
      </c>
      <c r="L40" s="259"/>
      <c r="M40" s="365">
        <f>Formulas!M233</f>
        <v>0</v>
      </c>
    </row>
    <row r="41" spans="1:13" ht="15" customHeight="1" x14ac:dyDescent="0.3">
      <c r="A41" s="318"/>
      <c r="B41" s="279" t="s">
        <v>453</v>
      </c>
      <c r="C41" s="475"/>
      <c r="F41" s="24"/>
      <c r="G41" s="24"/>
      <c r="H41" s="24"/>
      <c r="I41" s="24"/>
      <c r="K41" s="276" t="s">
        <v>131</v>
      </c>
      <c r="L41" s="277"/>
      <c r="M41" s="278">
        <f>Formulas!M234</f>
        <v>0</v>
      </c>
    </row>
    <row r="42" spans="1:13" ht="15" customHeight="1" x14ac:dyDescent="0.3">
      <c r="A42" s="318"/>
      <c r="B42" s="474" t="s">
        <v>454</v>
      </c>
      <c r="C42" s="477">
        <f>Formulas!C235</f>
        <v>0</v>
      </c>
      <c r="F42" s="24"/>
      <c r="G42" s="24"/>
      <c r="H42" s="24"/>
      <c r="I42" s="24"/>
      <c r="K42" s="258" t="s">
        <v>551</v>
      </c>
      <c r="L42" s="259"/>
      <c r="M42" s="365">
        <f>Formulas!M235</f>
        <v>0</v>
      </c>
    </row>
    <row r="43" spans="1:13" ht="15" customHeight="1" x14ac:dyDescent="0.3">
      <c r="A43" s="236"/>
      <c r="F43" s="24"/>
      <c r="G43" s="24"/>
      <c r="H43" s="24"/>
      <c r="I43" s="24"/>
      <c r="K43" s="279" t="s">
        <v>552</v>
      </c>
      <c r="L43" s="280"/>
      <c r="M43" s="281">
        <f>Formulas!M236</f>
        <v>0</v>
      </c>
    </row>
    <row r="44" spans="1:13" ht="15" customHeight="1" x14ac:dyDescent="0.3">
      <c r="A44" s="318"/>
      <c r="F44" s="24"/>
      <c r="G44" s="24"/>
      <c r="H44" s="24"/>
      <c r="I44" s="24"/>
      <c r="K44" s="282" t="s">
        <v>189</v>
      </c>
      <c r="L44" s="655"/>
      <c r="M44" s="244">
        <f>Formulas!M237</f>
        <v>0</v>
      </c>
    </row>
    <row r="45" spans="1:13" ht="15" customHeight="1" x14ac:dyDescent="0.3">
      <c r="A45" s="318"/>
      <c r="F45" s="24"/>
      <c r="G45" s="24"/>
      <c r="H45" s="24"/>
      <c r="I45" s="24"/>
    </row>
    <row r="46" spans="1:13" ht="15" customHeight="1" x14ac:dyDescent="0.3">
      <c r="A46" s="318"/>
      <c r="F46" s="24"/>
      <c r="G46" s="24"/>
      <c r="H46" s="24"/>
      <c r="I46" s="24"/>
      <c r="K46" s="868" t="s">
        <v>451</v>
      </c>
      <c r="L46" s="869"/>
    </row>
    <row r="47" spans="1:13" ht="15" customHeight="1" x14ac:dyDescent="0.3">
      <c r="A47" s="318"/>
      <c r="F47" s="24"/>
      <c r="G47" s="24"/>
      <c r="H47" s="24"/>
      <c r="I47" s="24"/>
      <c r="K47" s="473" t="s">
        <v>452</v>
      </c>
      <c r="L47" s="300"/>
    </row>
    <row r="48" spans="1:13" ht="15" customHeight="1" x14ac:dyDescent="0.3">
      <c r="A48" s="318"/>
      <c r="F48" s="24"/>
      <c r="G48" s="24"/>
      <c r="H48" s="24"/>
      <c r="I48" s="24"/>
      <c r="K48" s="279" t="s">
        <v>453</v>
      </c>
      <c r="L48" s="475"/>
    </row>
    <row r="49" spans="1:12" ht="15" customHeight="1" x14ac:dyDescent="0.3">
      <c r="A49" s="318"/>
      <c r="F49" s="24"/>
      <c r="G49" s="24"/>
      <c r="H49" s="24"/>
      <c r="I49" s="24"/>
      <c r="K49" s="474" t="s">
        <v>454</v>
      </c>
      <c r="L49" s="477">
        <f>Formulas!L242</f>
        <v>0</v>
      </c>
    </row>
    <row r="50" spans="1:12" ht="15" customHeight="1" x14ac:dyDescent="0.3">
      <c r="A50" s="318"/>
    </row>
    <row r="51" spans="1:12" ht="15" customHeight="1" x14ac:dyDescent="0.3">
      <c r="A51" s="318"/>
      <c r="F51" s="24"/>
      <c r="G51" s="24"/>
      <c r="H51" s="24"/>
      <c r="I51" s="24"/>
      <c r="K51" s="24"/>
      <c r="L51" s="24"/>
    </row>
    <row r="222" spans="4:4" ht="15" customHeight="1" x14ac:dyDescent="0.3">
      <c r="D222" s="491" t="e">
        <f>MAX(0,IF('Custom SEG'!$F$13="",($B$208*'Unit Costs'!C290)-'Custom SEG'!$H$13,($B$208*'Unit Costs'!C290)*(1-'Custom SEG'!F13)))*IF</f>
        <v>#NAME?</v>
      </c>
    </row>
  </sheetData>
  <mergeCells count="23">
    <mergeCell ref="B2:F3"/>
    <mergeCell ref="K46:L46"/>
    <mergeCell ref="I2:K3"/>
    <mergeCell ref="B5:B6"/>
    <mergeCell ref="B7:B8"/>
    <mergeCell ref="B10:B11"/>
    <mergeCell ref="K17:M17"/>
    <mergeCell ref="B24:B25"/>
    <mergeCell ref="C24:C25"/>
    <mergeCell ref="E24:E25"/>
    <mergeCell ref="B27:D27"/>
    <mergeCell ref="G17:I17"/>
    <mergeCell ref="B22:E22"/>
    <mergeCell ref="D24:D25"/>
    <mergeCell ref="B17:E17"/>
    <mergeCell ref="K35:M35"/>
    <mergeCell ref="B39:C39"/>
    <mergeCell ref="G35:H35"/>
    <mergeCell ref="G24:I24"/>
    <mergeCell ref="B19:B20"/>
    <mergeCell ref="C19:C20"/>
    <mergeCell ref="E19:E20"/>
    <mergeCell ref="D19:D20"/>
  </mergeCells>
  <conditionalFormatting sqref="B26:E26">
    <cfRule type="containsText" dxfId="70" priority="10" operator="containsText" text="*** Note: Minimum size override is on. Channel edge width is the same size for all SEG systems. ***">
      <formula>NOT(ISERROR(SEARCH("*** Note: Minimum size override is on. Channel edge width is the same size for all SEG systems. ***",B26)))</formula>
    </cfRule>
  </conditionalFormatting>
  <conditionalFormatting sqref="B26:E26">
    <cfRule type="containsText" dxfId="69" priority="7" operator="containsText" text="*** Minimum size override is on. Channel edge width is the same size for all SEG systems. ***">
      <formula>NOT(ISERROR(SEARCH("*** Minimum size override is on. Channel edge width is the same size for all SEG systems. ***",B26)))</formula>
    </cfRule>
  </conditionalFormatting>
  <conditionalFormatting sqref="D14">
    <cfRule type="notContainsText" dxfId="68" priority="5" operator="notContains" text="None">
      <formula>ISERROR(SEARCH("None",D14))</formula>
    </cfRule>
  </conditionalFormatting>
  <conditionalFormatting sqref="D15">
    <cfRule type="expression" dxfId="67" priority="4">
      <formula>$D$15&gt;1</formula>
    </cfRule>
  </conditionalFormatting>
  <conditionalFormatting sqref="D13">
    <cfRule type="expression" dxfId="66" priority="3">
      <formula>$D$13&gt;0</formula>
    </cfRule>
  </conditionalFormatting>
  <conditionalFormatting sqref="F13">
    <cfRule type="expression" dxfId="65" priority="2">
      <formula>$F$13&gt;0</formula>
    </cfRule>
  </conditionalFormatting>
  <conditionalFormatting sqref="H13">
    <cfRule type="expression" dxfId="64" priority="1">
      <formula>$H$13&gt;0</formula>
    </cfRule>
  </conditionalFormatting>
  <dataValidations count="8">
    <dataValidation type="list" allowBlank="1" showInputMessage="1" showErrorMessage="1" sqref="B24 B19:B20" xr:uid="{00000000-0002-0000-0700-000000000000}">
      <formula1>SegSystem</formula1>
    </dataValidation>
    <dataValidation type="list" allowBlank="1" showInputMessage="1" showErrorMessage="1" sqref="D16" xr:uid="{00000000-0002-0000-0700-000001000000}">
      <formula1>Override</formula1>
    </dataValidation>
    <dataValidation type="decimal" operator="greaterThan" allowBlank="1" showInputMessage="1" showErrorMessage="1" sqref="L44 H33 C37 D5:D12 F5:F12 H5:H12" xr:uid="{00000000-0002-0000-0700-000002000000}">
      <formula1>0</formula1>
    </dataValidation>
    <dataValidation type="decimal" operator="greaterThanOrEqual" allowBlank="1" showInputMessage="1" showErrorMessage="1" sqref="L47:L48 H36:H37 C40:C41 H13:H14 D13" xr:uid="{00000000-0002-0000-0700-000003000000}">
      <formula1>0</formula1>
    </dataValidation>
    <dataValidation type="decimal" allowBlank="1" showInputMessage="1" showErrorMessage="1" sqref="F13:F14" xr:uid="{00000000-0002-0000-0700-000004000000}">
      <formula1>0</formula1>
      <formula2>1</formula2>
    </dataValidation>
    <dataValidation type="whole" operator="greaterThan" allowBlank="1" showInputMessage="1" showErrorMessage="1" sqref="D15" xr:uid="{00000000-0002-0000-0700-000005000000}">
      <formula1>0</formula1>
    </dataValidation>
    <dataValidation type="whole" operator="greaterThanOrEqual" allowBlank="1" showInputMessage="1" showErrorMessage="1" sqref="H20:H23 L21:L34" xr:uid="{00000000-0002-0000-0700-000006000000}">
      <formula1>0</formula1>
    </dataValidation>
    <dataValidation type="list" allowBlank="1" showInputMessage="1" showErrorMessage="1" sqref="D14" xr:uid="{00000000-0002-0000-0700-000007000000}">
      <formula1>FabricCutting</formula1>
    </dataValidation>
  </dataValidations>
  <hyperlinks>
    <hyperlink ref="I2:J3" location="'Main Menu'!J8" display="Back to Main Menu" xr:uid="{00000000-0004-0000-0700-000000000000}"/>
    <hyperlink ref="I2:K3" location="'Main Menu'!C8" display="Back to Main Menu" xr:uid="{00000000-0004-0000-0700-000001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08">
    <tabColor theme="9" tint="0.39997558519241921"/>
  </sheetPr>
  <dimension ref="A2:X60"/>
  <sheetViews>
    <sheetView workbookViewId="0">
      <selection activeCell="C9" sqref="C9"/>
    </sheetView>
  </sheetViews>
  <sheetFormatPr defaultColWidth="9.109375" defaultRowHeight="14.4" x14ac:dyDescent="0.3"/>
  <cols>
    <col min="1" max="1" width="9.109375" style="491"/>
    <col min="2" max="2" width="16.88671875" style="491" customWidth="1"/>
    <col min="3" max="3" width="9.109375" style="491"/>
    <col min="4" max="4" width="21.109375" style="491" bestFit="1" customWidth="1"/>
    <col min="5" max="5" width="9.109375" style="491"/>
    <col min="6" max="6" width="16.77734375" style="491" bestFit="1" customWidth="1"/>
    <col min="7" max="7" width="10.109375" style="491" customWidth="1"/>
    <col min="8" max="8" width="16.6640625" style="491" bestFit="1" customWidth="1"/>
    <col min="9" max="9" width="9.109375" style="491"/>
    <col min="10" max="10" width="16.88671875" style="491" bestFit="1" customWidth="1"/>
    <col min="11" max="11" width="9.109375" style="491"/>
    <col min="12" max="12" width="10.109375" style="491" bestFit="1" customWidth="1"/>
    <col min="13" max="13" width="9.109375" style="491"/>
    <col min="14" max="14" width="10.109375" style="491" bestFit="1" customWidth="1"/>
    <col min="15" max="15" width="9.109375" style="491"/>
    <col min="16" max="16" width="9.109375" style="491" customWidth="1"/>
    <col min="17" max="17" width="9.109375" style="491"/>
    <col min="18" max="18" width="9.109375" style="491" customWidth="1"/>
    <col min="19" max="19" width="9.109375" style="491"/>
    <col min="20" max="20" width="9.109375" style="491" customWidth="1"/>
    <col min="21" max="21" width="9.109375" style="491"/>
    <col min="22" max="22" width="10.109375" style="491" bestFit="1" customWidth="1"/>
    <col min="23" max="16384" width="9.109375" style="491"/>
  </cols>
  <sheetData>
    <row r="2" spans="1:24" ht="15" customHeight="1" x14ac:dyDescent="0.3">
      <c r="B2" s="886" t="s">
        <v>666</v>
      </c>
      <c r="C2" s="886"/>
      <c r="D2" s="886"/>
      <c r="E2" s="283"/>
      <c r="F2" s="283"/>
      <c r="H2" s="816" t="s">
        <v>1</v>
      </c>
      <c r="I2" s="816"/>
      <c r="J2" s="320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" customHeight="1" x14ac:dyDescent="0.3">
      <c r="B3" s="886"/>
      <c r="C3" s="886"/>
      <c r="D3" s="886"/>
      <c r="E3" s="283"/>
      <c r="F3" s="283"/>
      <c r="H3" s="816"/>
      <c r="I3" s="816"/>
      <c r="J3" s="32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x14ac:dyDescent="0.3"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x14ac:dyDescent="0.3">
      <c r="B5" s="881" t="s">
        <v>667</v>
      </c>
      <c r="W5" s="27"/>
      <c r="X5" s="27"/>
    </row>
    <row r="6" spans="1:24" x14ac:dyDescent="0.3">
      <c r="B6" s="881"/>
      <c r="W6" s="27"/>
      <c r="X6" s="27"/>
    </row>
    <row r="7" spans="1:24" x14ac:dyDescent="0.3">
      <c r="A7" s="303"/>
      <c r="W7" s="27"/>
      <c r="X7" s="27"/>
    </row>
    <row r="8" spans="1:24" x14ac:dyDescent="0.3">
      <c r="A8" s="303"/>
      <c r="B8" s="654" t="s">
        <v>349</v>
      </c>
      <c r="C8" s="654" t="s">
        <v>350</v>
      </c>
      <c r="D8" s="654" t="s">
        <v>677</v>
      </c>
      <c r="E8" s="654" t="s">
        <v>350</v>
      </c>
      <c r="F8" s="654" t="s">
        <v>678</v>
      </c>
      <c r="G8" s="654" t="s">
        <v>350</v>
      </c>
      <c r="H8" s="654" t="s">
        <v>351</v>
      </c>
      <c r="I8" s="654" t="s">
        <v>350</v>
      </c>
      <c r="J8" s="654" t="s">
        <v>88</v>
      </c>
      <c r="K8" s="654" t="s">
        <v>350</v>
      </c>
      <c r="L8" s="868" t="s">
        <v>240</v>
      </c>
      <c r="M8" s="888"/>
      <c r="N8" s="869"/>
      <c r="W8" s="27"/>
      <c r="X8" s="27"/>
    </row>
    <row r="9" spans="1:24" x14ac:dyDescent="0.3">
      <c r="A9" s="303"/>
      <c r="B9" s="260" t="s">
        <v>177</v>
      </c>
      <c r="C9" s="416"/>
      <c r="D9" s="95" t="s">
        <v>669</v>
      </c>
      <c r="E9" s="416"/>
      <c r="F9" s="95" t="s">
        <v>443</v>
      </c>
      <c r="G9" s="416"/>
      <c r="H9" s="491" t="s">
        <v>437</v>
      </c>
      <c r="I9" s="416"/>
      <c r="J9" s="95" t="s">
        <v>353</v>
      </c>
      <c r="K9" s="416"/>
      <c r="L9" s="889" t="s">
        <v>241</v>
      </c>
      <c r="M9" s="890"/>
      <c r="N9" s="412"/>
      <c r="W9" s="27"/>
      <c r="X9" s="27"/>
    </row>
    <row r="10" spans="1:24" x14ac:dyDescent="0.3">
      <c r="A10" s="303"/>
      <c r="B10" s="269" t="s">
        <v>178</v>
      </c>
      <c r="C10" s="413"/>
      <c r="D10" s="306" t="s">
        <v>670</v>
      </c>
      <c r="E10" s="413"/>
      <c r="F10" s="306" t="s">
        <v>444</v>
      </c>
      <c r="G10" s="413"/>
      <c r="H10" s="429" t="s">
        <v>438</v>
      </c>
      <c r="I10" s="413"/>
      <c r="J10" s="306" t="s">
        <v>354</v>
      </c>
      <c r="K10" s="413"/>
      <c r="L10" s="891" t="s">
        <v>362</v>
      </c>
      <c r="M10" s="892"/>
      <c r="N10" s="476"/>
      <c r="W10" s="27"/>
      <c r="X10" s="27"/>
    </row>
    <row r="11" spans="1:24" x14ac:dyDescent="0.3">
      <c r="A11" s="303"/>
      <c r="B11" s="260" t="s">
        <v>179</v>
      </c>
      <c r="C11" s="416"/>
      <c r="D11" s="307" t="s">
        <v>671</v>
      </c>
      <c r="E11" s="415"/>
      <c r="F11" s="263" t="s">
        <v>445</v>
      </c>
      <c r="G11" s="414"/>
      <c r="H11" s="95" t="s">
        <v>89</v>
      </c>
      <c r="I11" s="416"/>
      <c r="J11" s="95" t="s">
        <v>355</v>
      </c>
      <c r="K11" s="416"/>
      <c r="L11" s="870" t="s">
        <v>352</v>
      </c>
      <c r="M11" s="870"/>
      <c r="N11" s="870"/>
      <c r="W11" s="27"/>
      <c r="X11" s="27"/>
    </row>
    <row r="12" spans="1:24" x14ac:dyDescent="0.3">
      <c r="A12" s="303"/>
      <c r="B12" s="274" t="s">
        <v>448</v>
      </c>
      <c r="C12" s="436"/>
      <c r="D12" s="306" t="s">
        <v>672</v>
      </c>
      <c r="E12" s="413"/>
      <c r="F12" s="306" t="s">
        <v>446</v>
      </c>
      <c r="G12" s="413"/>
      <c r="H12" s="430" t="s">
        <v>99</v>
      </c>
      <c r="I12" s="431"/>
      <c r="J12" s="306" t="s">
        <v>357</v>
      </c>
      <c r="K12" s="413"/>
      <c r="L12" s="884">
        <f>Formulas!L252</f>
        <v>0</v>
      </c>
      <c r="M12" s="893"/>
      <c r="N12" s="885"/>
      <c r="W12" s="27"/>
      <c r="X12" s="27"/>
    </row>
    <row r="13" spans="1:24" x14ac:dyDescent="0.3">
      <c r="A13" s="303"/>
      <c r="B13" s="273" t="s">
        <v>180</v>
      </c>
      <c r="C13" s="419"/>
      <c r="D13" s="95" t="s">
        <v>673</v>
      </c>
      <c r="E13" s="416"/>
      <c r="F13" s="95" t="s">
        <v>447</v>
      </c>
      <c r="G13" s="416"/>
      <c r="H13" s="273" t="s">
        <v>91</v>
      </c>
      <c r="I13" s="419"/>
      <c r="J13" s="95" t="s">
        <v>358</v>
      </c>
      <c r="K13" s="416"/>
      <c r="L13" s="894"/>
      <c r="M13" s="895"/>
      <c r="N13" s="896"/>
      <c r="W13" s="27"/>
      <c r="X13" s="27"/>
    </row>
    <row r="14" spans="1:24" x14ac:dyDescent="0.3">
      <c r="A14" s="303"/>
      <c r="B14" s="269" t="s">
        <v>99</v>
      </c>
      <c r="C14" s="413"/>
      <c r="D14" s="274" t="s">
        <v>674</v>
      </c>
      <c r="E14" s="427"/>
      <c r="F14" s="312"/>
      <c r="G14" s="311"/>
      <c r="H14" s="306" t="s">
        <v>93</v>
      </c>
      <c r="I14" s="413"/>
      <c r="J14" s="411" t="s">
        <v>360</v>
      </c>
      <c r="K14" s="417"/>
      <c r="L14" s="870" t="s">
        <v>356</v>
      </c>
      <c r="M14" s="870"/>
      <c r="N14" s="870"/>
      <c r="W14" s="27"/>
      <c r="X14" s="27"/>
    </row>
    <row r="15" spans="1:24" x14ac:dyDescent="0.3">
      <c r="A15" s="303"/>
      <c r="B15" s="273" t="s">
        <v>91</v>
      </c>
      <c r="C15" s="419"/>
      <c r="D15" s="95" t="s">
        <v>675</v>
      </c>
      <c r="E15" s="433"/>
      <c r="F15" s="315"/>
      <c r="G15" s="314"/>
      <c r="H15" s="434" t="s">
        <v>95</v>
      </c>
      <c r="I15" s="432"/>
      <c r="J15" s="95" t="s">
        <v>102</v>
      </c>
      <c r="K15" s="416"/>
      <c r="L15" s="884">
        <f>Formulas!L255</f>
        <v>0</v>
      </c>
      <c r="M15" s="893"/>
      <c r="N15" s="885"/>
      <c r="W15" s="27"/>
      <c r="X15" s="27"/>
    </row>
    <row r="16" spans="1:24" x14ac:dyDescent="0.3">
      <c r="A16" s="303"/>
      <c r="B16" s="274" t="s">
        <v>93</v>
      </c>
      <c r="C16" s="417"/>
      <c r="D16" s="274" t="s">
        <v>676</v>
      </c>
      <c r="E16" s="427"/>
      <c r="F16" s="315"/>
      <c r="G16" s="314"/>
      <c r="H16" s="306" t="s">
        <v>439</v>
      </c>
      <c r="I16" s="413"/>
      <c r="J16" s="306" t="s">
        <v>103</v>
      </c>
      <c r="K16" s="413"/>
      <c r="L16" s="894"/>
      <c r="M16" s="895"/>
      <c r="N16" s="896"/>
      <c r="W16" s="27"/>
      <c r="X16" s="27"/>
    </row>
    <row r="17" spans="1:24" x14ac:dyDescent="0.3">
      <c r="A17" s="303"/>
      <c r="B17" s="273" t="s">
        <v>181</v>
      </c>
      <c r="C17" s="419"/>
      <c r="D17" s="308"/>
      <c r="E17" s="308">
        <v>1</v>
      </c>
      <c r="F17" s="315"/>
      <c r="G17" s="314"/>
      <c r="H17" s="72" t="s">
        <v>97</v>
      </c>
      <c r="I17" s="419"/>
      <c r="J17" s="72" t="s">
        <v>431</v>
      </c>
      <c r="K17" s="428"/>
      <c r="L17" s="868" t="s">
        <v>451</v>
      </c>
      <c r="M17" s="888"/>
      <c r="N17" s="869"/>
      <c r="W17" s="27"/>
      <c r="X17" s="27"/>
    </row>
    <row r="18" spans="1:24" x14ac:dyDescent="0.3">
      <c r="A18" s="303"/>
      <c r="B18" s="269" t="s">
        <v>182</v>
      </c>
      <c r="C18" s="413"/>
      <c r="D18" s="308"/>
      <c r="E18" s="308"/>
      <c r="F18" s="315"/>
      <c r="G18" s="314"/>
      <c r="H18" s="411" t="s">
        <v>100</v>
      </c>
      <c r="I18" s="417"/>
      <c r="J18" s="306" t="s">
        <v>104</v>
      </c>
      <c r="K18" s="413"/>
      <c r="L18" s="899" t="s">
        <v>452</v>
      </c>
      <c r="M18" s="900"/>
      <c r="N18" s="589"/>
      <c r="W18" s="27"/>
      <c r="X18" s="27"/>
    </row>
    <row r="19" spans="1:24" x14ac:dyDescent="0.3">
      <c r="A19" s="303"/>
      <c r="B19" s="282" t="s">
        <v>95</v>
      </c>
      <c r="C19" s="420"/>
      <c r="D19" s="308"/>
      <c r="E19" s="308"/>
      <c r="F19" s="315"/>
      <c r="G19" s="314"/>
      <c r="H19" s="332" t="s">
        <v>102</v>
      </c>
      <c r="I19" s="419"/>
      <c r="J19" s="72" t="s">
        <v>105</v>
      </c>
      <c r="K19" s="419"/>
      <c r="L19" s="901" t="s">
        <v>453</v>
      </c>
      <c r="M19" s="902"/>
      <c r="N19" s="475"/>
      <c r="W19" s="27"/>
      <c r="X19" s="27"/>
    </row>
    <row r="20" spans="1:24" x14ac:dyDescent="0.3">
      <c r="A20" s="303"/>
      <c r="B20" s="269" t="s">
        <v>183</v>
      </c>
      <c r="C20" s="413"/>
      <c r="D20" s="308"/>
      <c r="E20" s="308"/>
      <c r="F20" s="315"/>
      <c r="G20" s="314"/>
      <c r="H20" s="306" t="s">
        <v>103</v>
      </c>
      <c r="I20" s="413"/>
      <c r="J20" s="411" t="s">
        <v>107</v>
      </c>
      <c r="K20" s="417"/>
      <c r="L20" s="897" t="s">
        <v>454</v>
      </c>
      <c r="M20" s="898"/>
      <c r="N20" s="477">
        <f>Formulas!N260</f>
        <v>0</v>
      </c>
      <c r="W20" s="27"/>
      <c r="X20" s="27"/>
    </row>
    <row r="21" spans="1:24" x14ac:dyDescent="0.3">
      <c r="A21" s="303"/>
      <c r="B21" s="7" t="s">
        <v>184</v>
      </c>
      <c r="C21" s="422"/>
      <c r="D21" s="308"/>
      <c r="E21" s="308"/>
      <c r="F21" s="315"/>
      <c r="G21" s="314"/>
      <c r="H21" s="72" t="s">
        <v>431</v>
      </c>
      <c r="I21" s="419"/>
      <c r="J21" s="313"/>
      <c r="K21" s="314"/>
      <c r="W21" s="27"/>
      <c r="X21" s="27"/>
    </row>
    <row r="22" spans="1:24" x14ac:dyDescent="0.3">
      <c r="A22" s="303"/>
      <c r="B22" s="269" t="s">
        <v>97</v>
      </c>
      <c r="C22" s="413"/>
      <c r="D22" s="308"/>
      <c r="E22" s="308"/>
      <c r="F22" s="315"/>
      <c r="G22" s="314"/>
      <c r="H22" s="306" t="s">
        <v>104</v>
      </c>
      <c r="I22" s="413"/>
      <c r="J22" s="313"/>
      <c r="K22" s="314"/>
      <c r="W22" s="27"/>
      <c r="X22" s="27"/>
    </row>
    <row r="23" spans="1:24" x14ac:dyDescent="0.3">
      <c r="A23" s="303"/>
      <c r="B23" s="282" t="s">
        <v>100</v>
      </c>
      <c r="C23" s="420"/>
      <c r="D23" s="308"/>
      <c r="E23" s="308"/>
      <c r="F23" s="315"/>
      <c r="G23" s="314"/>
      <c r="H23" s="72" t="s">
        <v>361</v>
      </c>
      <c r="I23" s="419"/>
      <c r="J23" s="313"/>
      <c r="K23" s="314"/>
      <c r="L23" s="27"/>
      <c r="W23" s="27"/>
      <c r="X23" s="27"/>
    </row>
    <row r="24" spans="1:24" x14ac:dyDescent="0.3">
      <c r="A24" s="303"/>
      <c r="B24" s="269" t="s">
        <v>102</v>
      </c>
      <c r="C24" s="413"/>
      <c r="D24" s="308"/>
      <c r="E24" s="308"/>
      <c r="F24" s="315"/>
      <c r="G24" s="314"/>
      <c r="H24" s="411" t="s">
        <v>107</v>
      </c>
      <c r="I24" s="417"/>
      <c r="J24" s="313"/>
      <c r="K24" s="314"/>
      <c r="L24" s="27"/>
      <c r="W24" s="27"/>
      <c r="X24" s="27"/>
    </row>
    <row r="25" spans="1:24" x14ac:dyDescent="0.3">
      <c r="A25" s="303"/>
      <c r="B25" s="273" t="s">
        <v>103</v>
      </c>
      <c r="C25" s="419"/>
      <c r="D25" s="308"/>
      <c r="E25" s="308"/>
      <c r="F25" s="315"/>
      <c r="G25" s="314"/>
      <c r="H25" s="308"/>
      <c r="I25" s="308"/>
      <c r="J25" s="313"/>
      <c r="K25" s="314"/>
      <c r="L25" s="27"/>
      <c r="W25" s="27"/>
      <c r="X25" s="27"/>
    </row>
    <row r="26" spans="1:24" x14ac:dyDescent="0.3">
      <c r="B26" s="269" t="s">
        <v>431</v>
      </c>
      <c r="C26" s="590"/>
      <c r="D26" s="308"/>
      <c r="E26" s="308"/>
      <c r="F26" s="315"/>
      <c r="G26" s="314"/>
      <c r="H26" s="308"/>
      <c r="I26" s="308"/>
      <c r="J26" s="313"/>
      <c r="K26" s="314"/>
      <c r="L26" s="27"/>
      <c r="W26" s="27"/>
      <c r="X26" s="27"/>
    </row>
    <row r="27" spans="1:24" x14ac:dyDescent="0.3">
      <c r="B27" s="273" t="s">
        <v>104</v>
      </c>
      <c r="C27" s="419"/>
      <c r="D27" s="308"/>
      <c r="E27" s="308"/>
      <c r="F27" s="315"/>
      <c r="G27" s="314"/>
      <c r="H27" s="308"/>
      <c r="I27" s="308"/>
      <c r="J27" s="313"/>
      <c r="K27" s="314"/>
      <c r="L27" s="27"/>
      <c r="W27" s="27"/>
      <c r="X27" s="27"/>
    </row>
    <row r="28" spans="1:24" x14ac:dyDescent="0.3">
      <c r="B28" s="269" t="s">
        <v>105</v>
      </c>
      <c r="C28" s="413"/>
      <c r="D28" s="308"/>
      <c r="E28" s="308"/>
      <c r="F28" s="315"/>
      <c r="G28" s="314"/>
      <c r="H28" s="308"/>
      <c r="I28" s="308"/>
      <c r="J28" s="313"/>
      <c r="K28" s="314"/>
      <c r="L28" s="27"/>
      <c r="N28" s="27"/>
      <c r="W28" s="27"/>
      <c r="X28" s="27"/>
    </row>
    <row r="29" spans="1:24" x14ac:dyDescent="0.3">
      <c r="B29" s="282" t="s">
        <v>107</v>
      </c>
      <c r="C29" s="420"/>
      <c r="D29" s="308"/>
      <c r="E29" s="308"/>
      <c r="F29" s="315"/>
      <c r="G29" s="314"/>
      <c r="H29" s="308"/>
      <c r="I29" s="308"/>
      <c r="J29" s="313"/>
      <c r="K29" s="314"/>
      <c r="L29" s="27"/>
      <c r="W29" s="27"/>
      <c r="X29" s="27"/>
    </row>
    <row r="30" spans="1:24" x14ac:dyDescent="0.3">
      <c r="B30" s="269" t="s">
        <v>117</v>
      </c>
      <c r="C30" s="413"/>
      <c r="D30" s="308"/>
      <c r="E30" s="308"/>
      <c r="F30" s="315"/>
      <c r="G30" s="314"/>
      <c r="H30" s="308"/>
      <c r="I30" s="308"/>
      <c r="J30" s="313"/>
      <c r="K30" s="314"/>
      <c r="L30" s="27"/>
      <c r="X30" s="27"/>
    </row>
    <row r="31" spans="1:24" x14ac:dyDescent="0.3">
      <c r="B31" s="273" t="s">
        <v>119</v>
      </c>
      <c r="C31" s="419"/>
      <c r="D31" s="308"/>
      <c r="E31" s="308"/>
      <c r="F31" s="315"/>
      <c r="G31" s="314"/>
      <c r="H31" s="308"/>
      <c r="I31" s="308"/>
      <c r="J31" s="313"/>
      <c r="K31" s="314"/>
      <c r="L31" s="27"/>
      <c r="X31" s="27"/>
    </row>
    <row r="32" spans="1:24" x14ac:dyDescent="0.3">
      <c r="B32" s="269" t="s">
        <v>121</v>
      </c>
      <c r="C32" s="413"/>
      <c r="D32" s="315"/>
      <c r="E32" s="313"/>
      <c r="F32" s="315"/>
      <c r="G32" s="314"/>
      <c r="H32" s="313"/>
      <c r="I32" s="313"/>
      <c r="J32" s="313"/>
      <c r="K32" s="314"/>
      <c r="L32" s="27"/>
      <c r="X32" s="27"/>
    </row>
    <row r="33" spans="1:24" x14ac:dyDescent="0.3">
      <c r="A33" s="24"/>
      <c r="B33" s="273" t="s">
        <v>123</v>
      </c>
      <c r="C33" s="419"/>
      <c r="D33" s="315"/>
      <c r="E33" s="313"/>
      <c r="F33" s="315"/>
      <c r="G33" s="314"/>
      <c r="H33" s="313"/>
      <c r="I33" s="313"/>
      <c r="J33" s="313"/>
      <c r="K33" s="314"/>
      <c r="W33" s="24"/>
      <c r="X33" s="24"/>
    </row>
    <row r="34" spans="1:24" x14ac:dyDescent="0.3">
      <c r="A34" s="24"/>
      <c r="B34" s="274" t="s">
        <v>125</v>
      </c>
      <c r="C34" s="427"/>
      <c r="D34" s="316"/>
      <c r="E34" s="316"/>
      <c r="F34" s="316"/>
      <c r="G34" s="316"/>
      <c r="H34" s="316"/>
      <c r="I34" s="316"/>
      <c r="J34" s="435"/>
      <c r="K34" s="317"/>
      <c r="U34" s="24"/>
      <c r="V34" s="24"/>
      <c r="W34" s="24"/>
      <c r="X34" s="24"/>
    </row>
    <row r="35" spans="1:24" x14ac:dyDescent="0.3">
      <c r="A35" s="24"/>
      <c r="B35" s="24"/>
      <c r="C35" s="24"/>
      <c r="D35" s="24"/>
      <c r="E35" s="24"/>
      <c r="F35" s="24"/>
      <c r="G35" s="24"/>
      <c r="W35" s="24"/>
      <c r="X35" s="24"/>
    </row>
    <row r="37" spans="1:24" ht="14.4" customHeight="1" x14ac:dyDescent="0.55000000000000004">
      <c r="B37" s="887" t="s">
        <v>668</v>
      </c>
      <c r="C37" s="785"/>
    </row>
    <row r="38" spans="1:24" ht="14.4" customHeight="1" x14ac:dyDescent="0.55000000000000004">
      <c r="B38" s="887"/>
      <c r="C38" s="785"/>
    </row>
    <row r="40" spans="1:24" x14ac:dyDescent="0.3">
      <c r="B40" s="654" t="s">
        <v>349</v>
      </c>
      <c r="C40" s="654" t="s">
        <v>350</v>
      </c>
      <c r="D40" s="654" t="s">
        <v>88</v>
      </c>
      <c r="E40" s="654" t="s">
        <v>350</v>
      </c>
      <c r="F40" s="868" t="s">
        <v>240</v>
      </c>
      <c r="G40" s="869"/>
    </row>
    <row r="41" spans="1:24" x14ac:dyDescent="0.3">
      <c r="B41" s="273" t="s">
        <v>177</v>
      </c>
      <c r="C41" s="419"/>
      <c r="D41" s="72" t="s">
        <v>353</v>
      </c>
      <c r="E41" s="419"/>
      <c r="F41" s="586" t="s">
        <v>241</v>
      </c>
      <c r="G41" s="412"/>
    </row>
    <row r="42" spans="1:24" x14ac:dyDescent="0.3">
      <c r="B42" s="269" t="s">
        <v>178</v>
      </c>
      <c r="C42" s="413"/>
      <c r="D42" s="306" t="s">
        <v>354</v>
      </c>
      <c r="E42" s="413"/>
      <c r="F42" s="587" t="s">
        <v>362</v>
      </c>
      <c r="G42" s="476"/>
    </row>
    <row r="43" spans="1:24" x14ac:dyDescent="0.3">
      <c r="B43" s="282" t="s">
        <v>179</v>
      </c>
      <c r="C43" s="420"/>
      <c r="D43" s="72" t="s">
        <v>355</v>
      </c>
      <c r="E43" s="419"/>
      <c r="F43" s="868" t="s">
        <v>352</v>
      </c>
      <c r="G43" s="869"/>
    </row>
    <row r="44" spans="1:24" ht="15" customHeight="1" x14ac:dyDescent="0.3">
      <c r="B44" s="269" t="s">
        <v>180</v>
      </c>
      <c r="C44" s="413"/>
      <c r="D44" s="306" t="s">
        <v>357</v>
      </c>
      <c r="E44" s="413"/>
      <c r="F44" s="882">
        <f>Formulas!F285</f>
        <v>0</v>
      </c>
      <c r="G44" s="883"/>
    </row>
    <row r="45" spans="1:24" ht="15" customHeight="1" x14ac:dyDescent="0.3">
      <c r="B45" s="273" t="s">
        <v>91</v>
      </c>
      <c r="C45" s="419"/>
      <c r="D45" s="72" t="s">
        <v>359</v>
      </c>
      <c r="E45" s="419"/>
      <c r="F45" s="884"/>
      <c r="G45" s="885"/>
    </row>
    <row r="46" spans="1:24" x14ac:dyDescent="0.3">
      <c r="B46" s="269" t="s">
        <v>99</v>
      </c>
      <c r="C46" s="413"/>
      <c r="D46" s="306" t="s">
        <v>358</v>
      </c>
      <c r="E46" s="413"/>
      <c r="F46" s="868" t="s">
        <v>356</v>
      </c>
      <c r="G46" s="869"/>
    </row>
    <row r="47" spans="1:24" ht="15" customHeight="1" x14ac:dyDescent="0.3">
      <c r="B47" s="282" t="s">
        <v>93</v>
      </c>
      <c r="C47" s="420"/>
      <c r="D47" s="282" t="s">
        <v>360</v>
      </c>
      <c r="E47" s="420"/>
      <c r="F47" s="882">
        <f>Formulas!F288</f>
        <v>0</v>
      </c>
      <c r="G47" s="883"/>
    </row>
    <row r="48" spans="1:24" ht="15" customHeight="1" x14ac:dyDescent="0.3">
      <c r="B48" s="269" t="s">
        <v>181</v>
      </c>
      <c r="C48" s="413"/>
      <c r="D48" s="306" t="s">
        <v>102</v>
      </c>
      <c r="E48" s="413"/>
      <c r="F48" s="884"/>
      <c r="G48" s="885"/>
    </row>
    <row r="49" spans="2:7" x14ac:dyDescent="0.3">
      <c r="B49" s="7" t="s">
        <v>182</v>
      </c>
      <c r="C49" s="422"/>
      <c r="D49" s="72" t="s">
        <v>103</v>
      </c>
      <c r="E49" s="419"/>
      <c r="F49" s="868" t="s">
        <v>451</v>
      </c>
      <c r="G49" s="869"/>
    </row>
    <row r="50" spans="2:7" x14ac:dyDescent="0.3">
      <c r="B50" s="309" t="s">
        <v>95</v>
      </c>
      <c r="C50" s="423"/>
      <c r="D50" s="269" t="s">
        <v>140</v>
      </c>
      <c r="E50" s="413"/>
      <c r="F50" s="577" t="s">
        <v>452</v>
      </c>
      <c r="G50" s="589"/>
    </row>
    <row r="51" spans="2:7" x14ac:dyDescent="0.3">
      <c r="B51" s="310" t="s">
        <v>183</v>
      </c>
      <c r="C51" s="424"/>
      <c r="D51" s="282" t="s">
        <v>104</v>
      </c>
      <c r="E51" s="420"/>
      <c r="F51" s="279" t="s">
        <v>453</v>
      </c>
      <c r="G51" s="475"/>
    </row>
    <row r="52" spans="2:7" x14ac:dyDescent="0.3">
      <c r="B52" s="293" t="s">
        <v>184</v>
      </c>
      <c r="C52" s="418"/>
      <c r="D52" s="312"/>
      <c r="E52" s="311"/>
      <c r="F52" s="474" t="s">
        <v>454</v>
      </c>
      <c r="G52" s="477">
        <f>Formulas!G293</f>
        <v>0</v>
      </c>
    </row>
    <row r="53" spans="2:7" x14ac:dyDescent="0.3">
      <c r="B53" s="282" t="s">
        <v>97</v>
      </c>
      <c r="C53" s="420"/>
      <c r="D53" s="315"/>
      <c r="E53" s="314"/>
    </row>
    <row r="54" spans="2:7" x14ac:dyDescent="0.3">
      <c r="B54" s="269" t="s">
        <v>117</v>
      </c>
      <c r="C54" s="413"/>
      <c r="D54" s="315"/>
      <c r="E54" s="314"/>
    </row>
    <row r="55" spans="2:7" x14ac:dyDescent="0.3">
      <c r="B55" s="273" t="s">
        <v>119</v>
      </c>
      <c r="C55" s="419"/>
      <c r="D55" s="315"/>
      <c r="E55" s="314"/>
    </row>
    <row r="56" spans="2:7" x14ac:dyDescent="0.3">
      <c r="B56" s="269" t="s">
        <v>121</v>
      </c>
      <c r="C56" s="413"/>
      <c r="D56" s="315"/>
      <c r="E56" s="314"/>
    </row>
    <row r="57" spans="2:7" x14ac:dyDescent="0.3">
      <c r="B57" s="273" t="s">
        <v>123</v>
      </c>
      <c r="C57" s="419"/>
      <c r="D57" s="315"/>
      <c r="E57" s="314"/>
    </row>
    <row r="58" spans="2:7" x14ac:dyDescent="0.3">
      <c r="B58" s="309" t="s">
        <v>125</v>
      </c>
      <c r="C58" s="423"/>
      <c r="D58" s="316"/>
      <c r="E58" s="317"/>
    </row>
    <row r="60" spans="2:7" ht="17.399999999999999" x14ac:dyDescent="0.35">
      <c r="B60" s="588" t="s">
        <v>422</v>
      </c>
    </row>
  </sheetData>
  <mergeCells count="21">
    <mergeCell ref="L20:M20"/>
    <mergeCell ref="L14:N14"/>
    <mergeCell ref="L15:N16"/>
    <mergeCell ref="L17:N17"/>
    <mergeCell ref="L18:M18"/>
    <mergeCell ref="L19:M19"/>
    <mergeCell ref="L11:N11"/>
    <mergeCell ref="L8:N8"/>
    <mergeCell ref="L9:M9"/>
    <mergeCell ref="L10:M10"/>
    <mergeCell ref="L12:N13"/>
    <mergeCell ref="H2:I3"/>
    <mergeCell ref="B5:B6"/>
    <mergeCell ref="F49:G49"/>
    <mergeCell ref="F44:G45"/>
    <mergeCell ref="F47:G48"/>
    <mergeCell ref="F46:G46"/>
    <mergeCell ref="F40:G40"/>
    <mergeCell ref="F43:G43"/>
    <mergeCell ref="B2:D3"/>
    <mergeCell ref="B37:B38"/>
  </mergeCells>
  <dataValidations count="3">
    <dataValidation type="whole" operator="greaterThanOrEqual" allowBlank="1" showInputMessage="1" showErrorMessage="1" sqref="C9:C34 E9:E16 G9:G13 I9:I24 K9:K20 C41:C58 E40:E51" xr:uid="{00000000-0002-0000-0800-000000000000}">
      <formula1>0</formula1>
    </dataValidation>
    <dataValidation type="decimal" operator="greaterThanOrEqual" allowBlank="1" showInputMessage="1" showErrorMessage="1" sqref="N10 G42 N18:N19 G50:G51" xr:uid="{00000000-0002-0000-0800-000001000000}">
      <formula1>0</formula1>
    </dataValidation>
    <dataValidation type="decimal" allowBlank="1" showInputMessage="1" showErrorMessage="1" sqref="N9 G41" xr:uid="{00000000-0002-0000-0800-000002000000}">
      <formula1>0</formula1>
      <formula2>1</formula2>
    </dataValidation>
  </dataValidations>
  <hyperlinks>
    <hyperlink ref="B60" location="'Custom Snap-Salesmate Kit'!H2" display="Back to Top" xr:uid="{00000000-0004-0000-0800-000000000000}"/>
    <hyperlink ref="H2:I3" location="'Main Menu'!C8" display="Back to Main Menu" xr:uid="{00000000-0004-0000-0800-000001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84</vt:i4>
      </vt:variant>
    </vt:vector>
  </HeadingPairs>
  <TitlesOfParts>
    <vt:vector size="97" baseType="lpstr">
      <vt:lpstr>Main Menu</vt:lpstr>
      <vt:lpstr>Fabric</vt:lpstr>
      <vt:lpstr>Alpha</vt:lpstr>
      <vt:lpstr>Quote</vt:lpstr>
      <vt:lpstr>Synth</vt:lpstr>
      <vt:lpstr>Rigid</vt:lpstr>
      <vt:lpstr>Vinyl Cut</vt:lpstr>
      <vt:lpstr>Custom SEG</vt:lpstr>
      <vt:lpstr>Custom Stretch Kit</vt:lpstr>
      <vt:lpstr>Custom Table Throw</vt:lpstr>
      <vt:lpstr>Training</vt:lpstr>
      <vt:lpstr>Unit Costs</vt:lpstr>
      <vt:lpstr>Formulas</vt:lpstr>
      <vt:lpstr>alpha_custom_cost</vt:lpstr>
      <vt:lpstr>alpha_custom_price</vt:lpstr>
      <vt:lpstr>alpha_cutting</vt:lpstr>
      <vt:lpstr>alpha_disc_calc_disc</vt:lpstr>
      <vt:lpstr>alpha_disc_calc_full</vt:lpstr>
      <vt:lpstr>alpha_disc_fixed</vt:lpstr>
      <vt:lpstr>alpha_disc_percent</vt:lpstr>
      <vt:lpstr>alpha_height_ft</vt:lpstr>
      <vt:lpstr>alpha_height_in</vt:lpstr>
      <vt:lpstr>alpha_height_mm</vt:lpstr>
      <vt:lpstr>alpha_hw</vt:lpstr>
      <vt:lpstr>alpha_left</vt:lpstr>
      <vt:lpstr>alpha_material_left</vt:lpstr>
      <vt:lpstr>alpha_material_right</vt:lpstr>
      <vt:lpstr>alpha_mounting</vt:lpstr>
      <vt:lpstr>alpha_printed</vt:lpstr>
      <vt:lpstr>alpha_qty</vt:lpstr>
      <vt:lpstr>alpha_quote_link</vt:lpstr>
      <vt:lpstr>alpha_reset_sheet</vt:lpstr>
      <vt:lpstr>alpha_right</vt:lpstr>
      <vt:lpstr>alpha_sizes_ft</vt:lpstr>
      <vt:lpstr>alpha_sizes_in</vt:lpstr>
      <vt:lpstr>alpha_sizes_mm</vt:lpstr>
      <vt:lpstr>alpha_width_ft</vt:lpstr>
      <vt:lpstr>alpha_width_in</vt:lpstr>
      <vt:lpstr>alpha_width_mm</vt:lpstr>
      <vt:lpstr>Edges</vt:lpstr>
      <vt:lpstr>fabric_3d_frame</vt:lpstr>
      <vt:lpstr>fabric_bottom_edge</vt:lpstr>
      <vt:lpstr>fabric_bottom_in</vt:lpstr>
      <vt:lpstr>fabric_bottom_mm</vt:lpstr>
      <vt:lpstr>fabric_custom_cost</vt:lpstr>
      <vt:lpstr>fabric_custom_price</vt:lpstr>
      <vt:lpstr>fabric_cutting</vt:lpstr>
      <vt:lpstr>fabric_disc_calc_disc</vt:lpstr>
      <vt:lpstr>fabric_disc_calc_full</vt:lpstr>
      <vt:lpstr>fabric_disc_fixed</vt:lpstr>
      <vt:lpstr>fabric_disc_percent</vt:lpstr>
      <vt:lpstr>fabric_edges</vt:lpstr>
      <vt:lpstr>fabric_edges_in</vt:lpstr>
      <vt:lpstr>fabric_edges_mm</vt:lpstr>
      <vt:lpstr>fabric_height_ft</vt:lpstr>
      <vt:lpstr>fabric_height_in</vt:lpstr>
      <vt:lpstr>fabric_height_mm</vt:lpstr>
      <vt:lpstr>fabric_hw</vt:lpstr>
      <vt:lpstr>fabric_left</vt:lpstr>
      <vt:lpstr>fabric_left_edge</vt:lpstr>
      <vt:lpstr>fabric_left_in</vt:lpstr>
      <vt:lpstr>fabric_left_mm</vt:lpstr>
      <vt:lpstr>fabric_printed</vt:lpstr>
      <vt:lpstr>fabric_printer_left</vt:lpstr>
      <vt:lpstr>fabric_printer_right</vt:lpstr>
      <vt:lpstr>fabric_qty</vt:lpstr>
      <vt:lpstr>fabric_quote_link</vt:lpstr>
      <vt:lpstr>fabric_reset_sheet</vt:lpstr>
      <vt:lpstr>fabric_right</vt:lpstr>
      <vt:lpstr>fabric_right_edge</vt:lpstr>
      <vt:lpstr>fabric_right_in</vt:lpstr>
      <vt:lpstr>fabric_right_mm</vt:lpstr>
      <vt:lpstr>fabric_sided</vt:lpstr>
      <vt:lpstr>fabric_sizes_ft</vt:lpstr>
      <vt:lpstr>fabric_sizes_in</vt:lpstr>
      <vt:lpstr>fabric_sizes_mm</vt:lpstr>
      <vt:lpstr>fabric_sq_height</vt:lpstr>
      <vt:lpstr>fabric_sq_width</vt:lpstr>
      <vt:lpstr>fabric_top_edge</vt:lpstr>
      <vt:lpstr>fabric_top_in</vt:lpstr>
      <vt:lpstr>fabric_top_mm</vt:lpstr>
      <vt:lpstr>fabric_width_ft</vt:lpstr>
      <vt:lpstr>fabric_width_in</vt:lpstr>
      <vt:lpstr>fabric_width_mm</vt:lpstr>
      <vt:lpstr>FabricCutting</vt:lpstr>
      <vt:lpstr>FabricProfile</vt:lpstr>
      <vt:lpstr>Laminate</vt:lpstr>
      <vt:lpstr>Mounting</vt:lpstr>
      <vt:lpstr>Printed</vt:lpstr>
      <vt:lpstr>RigidCutting</vt:lpstr>
      <vt:lpstr>RigidProfileLaminate</vt:lpstr>
      <vt:lpstr>RigidProfileMaterial</vt:lpstr>
      <vt:lpstr>RigidProfileSided</vt:lpstr>
      <vt:lpstr>SegSystem</vt:lpstr>
      <vt:lpstr>SidedBlocker</vt:lpstr>
      <vt:lpstr>SidedNoBlocker</vt:lpstr>
      <vt:lpstr>SynthProfile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Boggs, Richard K (Optima)</dc:creator>
  <cp:lastModifiedBy>Rick Boggs</cp:lastModifiedBy>
  <cp:lastPrinted>2016-06-16T17:26:52Z</cp:lastPrinted>
  <dcterms:created xsi:type="dcterms:W3CDTF">2015-11-18T22:03:02Z</dcterms:created>
  <dcterms:modified xsi:type="dcterms:W3CDTF">2018-12-06T17:33:25Z</dcterms:modified>
</cp:coreProperties>
</file>