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1\"/>
    </mc:Choice>
  </mc:AlternateContent>
  <xr:revisionPtr revIDLastSave="0" documentId="13_ncr:1_{C197F7D4-E062-4E2B-B5D8-E234AC04EFA6}" xr6:coauthVersionLast="44" xr6:coauthVersionMax="44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G41" i="1"/>
  <c r="M8" i="5" s="1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N8" i="1"/>
  <c r="M33" i="5" s="1"/>
  <c r="N9" i="1"/>
  <c r="M34" i="5" s="1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N6" i="1"/>
  <c r="M31" i="5" s="1"/>
  <c r="G7" i="1"/>
  <c r="M49" i="5" s="1"/>
  <c r="G8" i="1"/>
  <c r="M50" i="5" s="1"/>
  <c r="G9" i="1"/>
  <c r="M51" i="5" s="1"/>
  <c r="G10" i="1"/>
  <c r="M52" i="5" s="1"/>
  <c r="G11" i="1"/>
  <c r="M53" i="5" s="1"/>
  <c r="G12" i="1"/>
  <c r="M54" i="5" s="1"/>
  <c r="G13" i="1"/>
  <c r="M55" i="5" s="1"/>
  <c r="G14" i="1"/>
  <c r="M56" i="5" s="1"/>
  <c r="G15" i="1"/>
  <c r="M57" i="5" s="1"/>
  <c r="G16" i="1"/>
  <c r="M58" i="5" s="1"/>
  <c r="G17" i="1"/>
  <c r="M59" i="5" s="1"/>
  <c r="G18" i="1"/>
  <c r="M60" i="5" s="1"/>
  <c r="G19" i="1"/>
  <c r="M61" i="5" s="1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N44" i="5" s="1"/>
  <c r="E43" i="5"/>
  <c r="E42" i="5"/>
  <c r="E41" i="5"/>
  <c r="E40" i="5"/>
  <c r="N40" i="5" s="1"/>
  <c r="E39" i="5"/>
  <c r="E38" i="5"/>
  <c r="E37" i="5"/>
  <c r="E36" i="5"/>
  <c r="N36" i="5" s="1"/>
  <c r="E35" i="5"/>
  <c r="E34" i="5"/>
  <c r="E33" i="5"/>
  <c r="E32" i="5"/>
  <c r="N32" i="5" s="1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22" i="5" l="1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<sst xmlns="http://schemas.openxmlformats.org/spreadsheetml/2006/main" count="402" uniqueCount="97">
  <si>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</si>
  <si>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</si>
  <si>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</si>
  <si>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</si>
  <si>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</si>
  <si>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</si>
  <si>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</si>
  <si>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</si>
  <si>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</si>
  <si>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</si>
  <si>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</si>
  <si>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</si>
  <si>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</si>
  <si>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</si>
  <si>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</si>
  <si>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</si>
  <si>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</si>
  <si>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</si>
  <si>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</si>
  <si>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</si>
  <si>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</si>
  <si>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</si>
  <si>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</si>
  <si>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</si>
  <si>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</si>
  <si>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</si>
  <si>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</si>
  <si>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</si>
  <si>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</si>
  <si>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</si>
  <si>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</si>
  <si>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</si>
  <si>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</si>
  <si>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</si>
  <si>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</si>
  <si>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</si>
  <si>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</si>
  <si>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</si>
  <si>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</si>
  <si>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</si>
  <si>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</si>
  <si>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</si>
  <si>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</si>
  <si>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</si>
  <si>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</si>
  <si>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</si>
  <si>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</si>
  <si>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</si>
  <si>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</si>
  <si>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</si>
  <si>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</si>
  <si>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</si>
  <si>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</si>
  <si>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</si>
  <si>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</si>
  <si>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</si>
  <si>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</si>
  <si>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</si>
  <si>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</si>
  <si>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</si>
  <si>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</si>
  <si>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Eureka Manta 2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</si>
  <si>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</si>
  <si>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</si>
  <si>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</si>
  <si>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</si>
  <si>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</si>
  <si>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</si>
  <si>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</si>
  <si>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</si>
  <si>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</si>
  <si>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</si>
  <si>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</si>
  <si>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</si>
  <si>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</si>
  <si>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</si>
  <si>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</si>
  <si>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</si>
  <si>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</si>
  <si>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</si>
  <si>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</si>
  <si>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</si>
  <si>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</si>
  <si>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</si>
  <si>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</si>
  <si>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</si>
  <si>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</si>
  <si>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</si>
  <si>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</si>
  <si>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</si>
  <si>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</si>
  <si>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</si>
  <si>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</si>
  <si>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</si>
  <si>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</si>
  <si>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 xml:space="preserve"> Ashley</t>
  </si>
  <si>
    <t>Clear, Clam, No wind, 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</si>
</sst>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3" transitionEvaluation="1">
    <pageSetUpPr fitToPage="1"/>
  </sheetPr>
  <dimension ref="A1:AK99"/>
  <sheetViews>
    <sheetView tabSelected="1" zoomScale="115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H59" sqref="H59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44407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7.57</v>
      </c>
      <c r="D6" s="139">
        <v>21.86</v>
      </c>
      <c r="E6" s="139"/>
      <c r="F6" s="139">
        <v>8.2899999999999991</v>
      </c>
      <c r="G6" s="84">
        <f>IF(F6,F6*(33.5+D6)/(475-2.65*C6),"")</f>
        <v>1.0087811676058023</v>
      </c>
      <c r="H6" s="7"/>
      <c r="I6" s="133">
        <v>0</v>
      </c>
      <c r="J6" s="139">
        <v>5.35</v>
      </c>
      <c r="K6" s="139">
        <v>23</v>
      </c>
      <c r="L6" s="139"/>
      <c r="M6" s="139">
        <v>8.6999999999999993</v>
      </c>
      <c r="N6" s="84">
        <f>IF(M6,M6*(33.5+K6)/(475-2.65*J6),"")</f>
        <v>1.0666796868642481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7.68</v>
      </c>
      <c r="D7" s="139">
        <v>21.92</v>
      </c>
      <c r="E7" s="139"/>
      <c r="F7" s="139">
        <v>8.34</v>
      </c>
      <c r="G7" s="84">
        <f t="shared" ref="G7:G25" si="0">IF(F7,F7*(33.5+D7)/(475-2.65*C7),"")</f>
        <v>1.0166168112473826</v>
      </c>
      <c r="H7" s="7"/>
      <c r="I7" s="134">
        <v>1</v>
      </c>
      <c r="J7" s="139">
        <v>7.6</v>
      </c>
      <c r="K7" s="139">
        <v>22.88</v>
      </c>
      <c r="L7" s="139"/>
      <c r="M7" s="139">
        <v>8.74</v>
      </c>
      <c r="N7" s="84">
        <v>8.5599999999999996E-2</v>
      </c>
      <c r="O7" s="8"/>
      <c r="P7" s="7"/>
      <c r="Q7" s="57"/>
      <c r="R7" s="55">
        <f>M7-O7</f>
        <v>8.74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11.39</v>
      </c>
      <c r="D8" s="139">
        <v>20.99</v>
      </c>
      <c r="E8" s="139"/>
      <c r="F8" s="139">
        <v>8.1300000000000008</v>
      </c>
      <c r="G8" s="84">
        <f t="shared" si="0"/>
        <v>0.99592461160950629</v>
      </c>
      <c r="H8" s="7"/>
      <c r="I8" s="134">
        <v>2</v>
      </c>
      <c r="J8" s="139">
        <v>11.04</v>
      </c>
      <c r="K8" s="139">
        <v>21.65</v>
      </c>
      <c r="L8" s="139"/>
      <c r="M8" s="139">
        <v>8.6999999999999993</v>
      </c>
      <c r="N8" s="84">
        <f t="shared" ref="N8:N22" si="1">IF(M8,M8*(33.5+K8)/(475-2.65*J8),"")</f>
        <v>1.07641381600201</v>
      </c>
      <c r="O8" s="9"/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12.52</v>
      </c>
      <c r="D9" s="139">
        <v>20.6</v>
      </c>
      <c r="E9" s="139"/>
      <c r="F9" s="139">
        <v>8.0299999999999994</v>
      </c>
      <c r="G9" s="84">
        <f t="shared" si="0"/>
        <v>0.98325343690445477</v>
      </c>
      <c r="H9" s="7"/>
      <c r="I9" s="134">
        <v>3</v>
      </c>
      <c r="J9" s="139">
        <v>12.62</v>
      </c>
      <c r="K9" s="139">
        <v>20.399999999999999</v>
      </c>
      <c r="L9" s="139"/>
      <c r="M9" s="139">
        <v>8.33</v>
      </c>
      <c r="N9" s="84">
        <f t="shared" si="1"/>
        <v>1.0168268196404993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20.29</v>
      </c>
      <c r="D10" s="139">
        <v>16.72</v>
      </c>
      <c r="E10" s="139"/>
      <c r="F10" s="139">
        <v>7.26</v>
      </c>
      <c r="G10" s="84">
        <f t="shared" si="0"/>
        <v>0.86555065326311065</v>
      </c>
      <c r="H10" s="7"/>
      <c r="I10" s="134">
        <v>4</v>
      </c>
      <c r="J10" s="139">
        <v>30.07</v>
      </c>
      <c r="K10" s="139">
        <v>11.98</v>
      </c>
      <c r="L10" s="139"/>
      <c r="M10" s="139">
        <v>6.26</v>
      </c>
      <c r="N10" s="84">
        <f t="shared" si="1"/>
        <v>0.72019822192203931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20.94</v>
      </c>
      <c r="D11" s="139">
        <v>16.61</v>
      </c>
      <c r="E11" s="139"/>
      <c r="F11" s="139">
        <v>6.98</v>
      </c>
      <c r="G11" s="84">
        <f t="shared" si="0"/>
        <v>0.83375517569348934</v>
      </c>
      <c r="H11" s="7"/>
      <c r="I11" s="134">
        <v>5</v>
      </c>
      <c r="J11" s="139">
        <v>29.92</v>
      </c>
      <c r="K11" s="139">
        <v>11.92</v>
      </c>
      <c r="L11" s="139"/>
      <c r="M11" s="139">
        <v>5.33</v>
      </c>
      <c r="N11" s="84">
        <f t="shared" si="1"/>
        <v>0.61177977923338189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31.45</v>
      </c>
      <c r="D12" s="139">
        <v>10.47</v>
      </c>
      <c r="E12" s="139"/>
      <c r="F12" s="139">
        <v>5.71</v>
      </c>
      <c r="G12" s="84">
        <f t="shared" si="0"/>
        <v>0.64104147118336807</v>
      </c>
      <c r="H12" s="7"/>
      <c r="I12" s="133">
        <v>6</v>
      </c>
      <c r="J12" s="139">
        <v>31.27</v>
      </c>
      <c r="K12" s="139">
        <v>11.06</v>
      </c>
      <c r="L12" s="139"/>
      <c r="M12" s="139">
        <v>4.41</v>
      </c>
      <c r="N12" s="84">
        <f t="shared" si="1"/>
        <v>0.50112805682744055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31.83</v>
      </c>
      <c r="D13" s="139">
        <v>10.1</v>
      </c>
      <c r="E13" s="139"/>
      <c r="F13" s="139">
        <v>4.92</v>
      </c>
      <c r="G13" s="84">
        <f t="shared" si="0"/>
        <v>0.54911487378103951</v>
      </c>
      <c r="H13" s="7"/>
      <c r="I13" s="134">
        <v>7</v>
      </c>
      <c r="J13" s="139">
        <v>31.69</v>
      </c>
      <c r="K13" s="139">
        <v>10.39</v>
      </c>
      <c r="L13" s="139"/>
      <c r="M13" s="139">
        <v>4.3</v>
      </c>
      <c r="N13" s="84">
        <f t="shared" si="1"/>
        <v>0.48265120971608977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31.91</v>
      </c>
      <c r="D14" s="139">
        <v>9.98</v>
      </c>
      <c r="E14" s="139"/>
      <c r="F14" s="139">
        <v>4.49</v>
      </c>
      <c r="G14" s="84">
        <f t="shared" si="0"/>
        <v>0.50001523927584002</v>
      </c>
      <c r="H14" s="7"/>
      <c r="I14" s="134">
        <v>8</v>
      </c>
      <c r="J14" s="139">
        <v>31.79</v>
      </c>
      <c r="K14" s="139">
        <v>10.27</v>
      </c>
      <c r="L14" s="139"/>
      <c r="M14" s="139">
        <v>4.07</v>
      </c>
      <c r="N14" s="84">
        <f t="shared" si="1"/>
        <v>0.4558949115369802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31.99</v>
      </c>
      <c r="D15" s="139">
        <v>9.86</v>
      </c>
      <c r="E15" s="139"/>
      <c r="F15" s="139">
        <v>3.44</v>
      </c>
      <c r="G15" s="84">
        <f t="shared" si="0"/>
        <v>0.38223544531188941</v>
      </c>
      <c r="H15" s="7"/>
      <c r="I15" s="134">
        <v>9</v>
      </c>
      <c r="J15" s="140">
        <v>31.88</v>
      </c>
      <c r="K15" s="141">
        <v>10.07</v>
      </c>
      <c r="L15" s="140"/>
      <c r="M15" s="140">
        <v>3.79</v>
      </c>
      <c r="N15" s="84">
        <f t="shared" si="1"/>
        <v>0.42284939490625273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32</v>
      </c>
      <c r="D16" s="139">
        <v>9.83</v>
      </c>
      <c r="E16" s="139"/>
      <c r="F16" s="139">
        <v>3.25</v>
      </c>
      <c r="G16" s="84">
        <f t="shared" si="0"/>
        <v>0.3608982573039467</v>
      </c>
      <c r="H16" s="138"/>
      <c r="I16" s="134">
        <v>10</v>
      </c>
      <c r="J16" s="140">
        <v>31.93</v>
      </c>
      <c r="K16" s="141">
        <v>9.91</v>
      </c>
      <c r="L16" s="140"/>
      <c r="M16" s="140">
        <v>3.04</v>
      </c>
      <c r="N16" s="84">
        <f t="shared" si="1"/>
        <v>0.33804124384742773</v>
      </c>
      <c r="O16" s="8"/>
      <c r="P16" s="7"/>
      <c r="Q16" s="57"/>
      <c r="R16" s="55">
        <f>M16-O16</f>
        <v>3.04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32.08</v>
      </c>
      <c r="D17" s="139">
        <v>9.6999999999999993</v>
      </c>
      <c r="E17" s="139"/>
      <c r="F17" s="139">
        <v>3.33</v>
      </c>
      <c r="G17" s="84">
        <f t="shared" si="0"/>
        <v>0.36887288839656612</v>
      </c>
      <c r="H17" s="7"/>
      <c r="I17" s="134">
        <v>12</v>
      </c>
      <c r="J17" s="140">
        <v>32.08</v>
      </c>
      <c r="K17" s="141">
        <v>9.69</v>
      </c>
      <c r="L17" s="140"/>
      <c r="M17" s="140">
        <v>2.93</v>
      </c>
      <c r="N17" s="84">
        <f t="shared" si="1"/>
        <v>0.32448870221647846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32.159999999999997</v>
      </c>
      <c r="D18" s="139">
        <v>9.57</v>
      </c>
      <c r="E18" s="139"/>
      <c r="F18" s="139">
        <v>3.3</v>
      </c>
      <c r="G18" s="84">
        <f t="shared" si="0"/>
        <v>0.36464790033249866</v>
      </c>
      <c r="H18" s="7"/>
      <c r="I18" s="134">
        <v>15</v>
      </c>
      <c r="J18" s="140">
        <v>32.15</v>
      </c>
      <c r="K18" s="141">
        <v>9.52</v>
      </c>
      <c r="L18" s="140"/>
      <c r="M18" s="140">
        <v>2.91</v>
      </c>
      <c r="N18" s="84">
        <f t="shared" si="1"/>
        <v>0.32115802233182189</v>
      </c>
      <c r="O18" s="9"/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>
        <v>32.4</v>
      </c>
      <c r="D19" s="139">
        <v>9.2899999999999991</v>
      </c>
      <c r="E19" s="139"/>
      <c r="F19" s="139">
        <v>3.19</v>
      </c>
      <c r="G19" s="84">
        <f t="shared" si="0"/>
        <v>0.35077375751657502</v>
      </c>
      <c r="H19" s="7"/>
      <c r="I19" s="134">
        <v>20</v>
      </c>
      <c r="J19" s="140">
        <v>32.18</v>
      </c>
      <c r="K19" s="141">
        <v>9.39</v>
      </c>
      <c r="L19" s="140"/>
      <c r="M19" s="140">
        <v>2.75</v>
      </c>
      <c r="N19" s="84">
        <f t="shared" si="1"/>
        <v>0.30264444233468385</v>
      </c>
      <c r="O19" s="87"/>
      <c r="P19" s="7"/>
      <c r="Q19" s="57"/>
      <c r="R19" s="55">
        <f>M19-O19</f>
        <v>2.75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>
        <v>32.46</v>
      </c>
      <c r="D20" s="139">
        <v>9.06</v>
      </c>
      <c r="E20" s="139"/>
      <c r="F20" s="139">
        <v>2.5299999999999998</v>
      </c>
      <c r="G20" s="84">
        <f t="shared" si="0"/>
        <v>0.27681763376617369</v>
      </c>
      <c r="H20" s="7"/>
      <c r="I20" s="133">
        <v>25</v>
      </c>
      <c r="J20" s="140">
        <v>32.340000000000003</v>
      </c>
      <c r="K20" s="141">
        <v>9.2100000000000009</v>
      </c>
      <c r="L20" s="140"/>
      <c r="M20" s="140">
        <v>2.4</v>
      </c>
      <c r="N20" s="84">
        <f t="shared" si="1"/>
        <v>0.26330404136666163</v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>
        <v>32.5</v>
      </c>
      <c r="D21" s="139">
        <v>8.93</v>
      </c>
      <c r="E21" s="139"/>
      <c r="F21" s="139">
        <v>2.2999999999999998</v>
      </c>
      <c r="G21" s="84">
        <f t="shared" si="0"/>
        <v>0.25095210543233687</v>
      </c>
      <c r="H21" s="7" t="s">
        <v>34</v>
      </c>
      <c r="I21" s="133">
        <v>30</v>
      </c>
      <c r="J21" s="140">
        <v>32.39</v>
      </c>
      <c r="K21" s="140">
        <v>9.1</v>
      </c>
      <c r="L21" s="140"/>
      <c r="M21" s="140">
        <v>1.7</v>
      </c>
      <c r="N21" s="84">
        <f t="shared" si="1"/>
        <v>0.18609001545610943</v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>
        <v>32.6</v>
      </c>
      <c r="D22" s="139">
        <v>8.85</v>
      </c>
      <c r="E22" s="139"/>
      <c r="F22" s="139">
        <v>2.2400000000000002</v>
      </c>
      <c r="G22" s="84">
        <f t="shared" si="0"/>
        <v>0.24411106250482492</v>
      </c>
      <c r="H22" s="7"/>
      <c r="I22" s="133">
        <v>35</v>
      </c>
      <c r="J22" s="140"/>
      <c r="K22" s="142"/>
      <c r="L22" s="140"/>
      <c r="M22" s="140"/>
      <c r="N22" s="84" t="str">
        <f t="shared" si="1"/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>
        <v>32.43</v>
      </c>
      <c r="D23" s="139">
        <v>8.82</v>
      </c>
      <c r="E23" s="139"/>
      <c r="F23" s="139">
        <v>2.17</v>
      </c>
      <c r="G23" s="84">
        <f t="shared" si="0"/>
        <v>0.23604143828530524</v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>
        <v>32.630000000000003</v>
      </c>
      <c r="D24" s="139">
        <v>8.7899999999999991</v>
      </c>
      <c r="E24" s="139"/>
      <c r="F24" s="139">
        <v>2.0299999999999998</v>
      </c>
      <c r="G24" s="84">
        <f t="shared" si="0"/>
        <v>0.22095742805262394</v>
      </c>
      <c r="H24" s="7"/>
      <c r="I24" s="35" t="s">
        <v>20</v>
      </c>
      <c r="J24" s="184">
        <v>0.38541666666666669</v>
      </c>
      <c r="K24" s="145" t="s">
        <v>84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/>
      <c r="D25" s="139"/>
      <c r="E25" s="139"/>
      <c r="F25" s="139"/>
      <c r="G25" s="84" t="str">
        <f t="shared" si="0"/>
        <v/>
      </c>
      <c r="H25" s="7"/>
      <c r="I25" s="38" t="s">
        <v>22</v>
      </c>
      <c r="J25" s="145" t="s">
        <v>96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56"/>
      <c r="J26" s="147"/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/>
      <c r="D27" s="145" t="s">
        <v>84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96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95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94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/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0.52</v>
      </c>
      <c r="D35" s="153">
        <v>22.45</v>
      </c>
      <c r="E35" s="153"/>
      <c r="F35" s="153">
        <v>8.65</v>
      </c>
      <c r="G35" s="84">
        <f>IF(F35,F35*(33.5+D35)/(475-2.65*C35),"")</f>
        <v>1.0218433687624309</v>
      </c>
      <c r="H35" s="7"/>
      <c r="I35" s="134">
        <v>0</v>
      </c>
      <c r="J35" s="141">
        <v>5.51</v>
      </c>
      <c r="K35" s="141">
        <v>22.89</v>
      </c>
      <c r="L35" s="140"/>
      <c r="M35" s="140">
        <v>8.52</v>
      </c>
      <c r="N35" s="84">
        <f t="shared" ref="N35:N49" si="2">IF(M35,M35*(33.5+K35)/(475-2.65*J35),"")</f>
        <v>1.0435368490557635</v>
      </c>
      <c r="O35" s="9" t="s">
        <v>6</v>
      </c>
      <c r="P35" s="7"/>
      <c r="Q35" s="57"/>
      <c r="R35" s="55">
        <f>M36-O36</f>
        <v>8.52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2.8</v>
      </c>
      <c r="D36" s="140">
        <v>22.85</v>
      </c>
      <c r="E36" s="140"/>
      <c r="F36" s="140">
        <v>7.74</v>
      </c>
      <c r="G36" s="84">
        <f t="shared" ref="G36:G48" si="3">IF(F36,F36*(33.5+D36)/(475-2.65*C36),"")</f>
        <v>0.9327794174258951</v>
      </c>
      <c r="H36" s="7"/>
      <c r="I36" s="134">
        <v>1</v>
      </c>
      <c r="J36" s="141">
        <v>6.75</v>
      </c>
      <c r="K36" s="141">
        <v>22.59</v>
      </c>
      <c r="L36" s="140"/>
      <c r="M36" s="140">
        <v>8.52</v>
      </c>
      <c r="N36" s="84">
        <f t="shared" si="2"/>
        <v>1.0454467992015095</v>
      </c>
      <c r="O36" s="9"/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4.45</v>
      </c>
      <c r="D37" s="140">
        <v>22.91</v>
      </c>
      <c r="E37" s="140"/>
      <c r="F37" s="140">
        <v>7.66</v>
      </c>
      <c r="G37" s="84">
        <f t="shared" si="3"/>
        <v>0.93284456749944678</v>
      </c>
      <c r="H37" s="7"/>
      <c r="I37" s="134">
        <v>2</v>
      </c>
      <c r="J37" s="141">
        <v>9.6</v>
      </c>
      <c r="K37" s="141">
        <v>21.65</v>
      </c>
      <c r="L37" s="140"/>
      <c r="M37" s="140">
        <v>8.26</v>
      </c>
      <c r="N37" s="84">
        <f t="shared" si="2"/>
        <v>1.0132996707892161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9.52</v>
      </c>
      <c r="D38" s="140">
        <v>21.9</v>
      </c>
      <c r="E38" s="140"/>
      <c r="F38" s="140">
        <v>7.68</v>
      </c>
      <c r="G38" s="84">
        <f t="shared" si="3"/>
        <v>0.94597262613057276</v>
      </c>
      <c r="H38" s="7"/>
      <c r="I38" s="134">
        <v>3</v>
      </c>
      <c r="J38" s="141">
        <v>12.23</v>
      </c>
      <c r="K38" s="141">
        <v>20.84</v>
      </c>
      <c r="L38" s="140"/>
      <c r="M38" s="140">
        <v>8.0500000000000007</v>
      </c>
      <c r="N38" s="84">
        <f t="shared" si="2"/>
        <v>0.98835605373364332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11.45</v>
      </c>
      <c r="D39" s="140">
        <v>20.85</v>
      </c>
      <c r="E39" s="140"/>
      <c r="F39" s="140">
        <v>7.8</v>
      </c>
      <c r="G39" s="84">
        <f t="shared" si="3"/>
        <v>0.95338547083991609</v>
      </c>
      <c r="H39" s="7"/>
      <c r="I39" s="134">
        <v>4</v>
      </c>
      <c r="J39" s="141">
        <v>15.33</v>
      </c>
      <c r="K39" s="141">
        <v>18.510000000000002</v>
      </c>
      <c r="L39" s="140"/>
      <c r="M39" s="140">
        <v>5.92</v>
      </c>
      <c r="N39" s="84">
        <f t="shared" si="2"/>
        <v>0.70883187472589959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20.190000000000001</v>
      </c>
      <c r="D40" s="140">
        <v>16.79</v>
      </c>
      <c r="E40" s="140"/>
      <c r="F40" s="140">
        <v>6.88</v>
      </c>
      <c r="G40" s="84">
        <f t="shared" si="3"/>
        <v>0.82087324568531417</v>
      </c>
      <c r="H40" s="7"/>
      <c r="I40" s="134">
        <v>5</v>
      </c>
      <c r="J40" s="141">
        <v>29.95</v>
      </c>
      <c r="K40" s="141">
        <v>11.87</v>
      </c>
      <c r="L40" s="140"/>
      <c r="M40" s="140">
        <v>5.07</v>
      </c>
      <c r="N40" s="84">
        <f t="shared" si="2"/>
        <v>0.58141305378097097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24.34</v>
      </c>
      <c r="D41" s="140">
        <v>14.86</v>
      </c>
      <c r="E41" s="140"/>
      <c r="F41" s="140">
        <v>6.26</v>
      </c>
      <c r="G41" s="84">
        <f t="shared" si="3"/>
        <v>0.7374770705896968</v>
      </c>
      <c r="H41" s="7"/>
      <c r="I41" s="133">
        <v>6</v>
      </c>
      <c r="J41" s="141">
        <v>31.5</v>
      </c>
      <c r="K41" s="140">
        <v>10.67</v>
      </c>
      <c r="L41" s="140"/>
      <c r="M41" s="140">
        <v>4.3</v>
      </c>
      <c r="N41" s="84">
        <f t="shared" si="2"/>
        <v>0.48510567652129499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28.22</v>
      </c>
      <c r="D42" s="140">
        <v>13.63</v>
      </c>
      <c r="E42" s="140"/>
      <c r="F42" s="140">
        <v>4.76</v>
      </c>
      <c r="G42" s="84">
        <f t="shared" si="3"/>
        <v>0.5605429054737805</v>
      </c>
      <c r="H42" s="7"/>
      <c r="I42" s="134">
        <v>7</v>
      </c>
      <c r="J42" s="141">
        <v>31.62</v>
      </c>
      <c r="K42" s="140">
        <v>10.52</v>
      </c>
      <c r="L42" s="140"/>
      <c r="M42" s="140">
        <v>3.98</v>
      </c>
      <c r="N42" s="84">
        <f t="shared" si="2"/>
        <v>0.44784372467772809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31.08</v>
      </c>
      <c r="D43" s="141">
        <v>11.15</v>
      </c>
      <c r="E43" s="141"/>
      <c r="F43" s="141">
        <v>4.33</v>
      </c>
      <c r="G43" s="84">
        <f t="shared" si="3"/>
        <v>0.49239885084989221</v>
      </c>
      <c r="H43" s="7"/>
      <c r="I43" s="134">
        <v>8</v>
      </c>
      <c r="J43" s="141">
        <v>31.92</v>
      </c>
      <c r="K43" s="140">
        <v>9.9700000000000006</v>
      </c>
      <c r="L43" s="140"/>
      <c r="M43" s="140">
        <v>3.56</v>
      </c>
      <c r="N43" s="84">
        <f t="shared" si="2"/>
        <v>0.39638433244879767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31.45</v>
      </c>
      <c r="D44" s="141">
        <v>10.73</v>
      </c>
      <c r="E44" s="141"/>
      <c r="F44" s="141">
        <v>4.0199999999999996</v>
      </c>
      <c r="G44" s="84">
        <f t="shared" si="3"/>
        <v>0.45397981654889791</v>
      </c>
      <c r="H44" s="7"/>
      <c r="I44" s="134">
        <v>9</v>
      </c>
      <c r="J44" s="141">
        <v>31.95</v>
      </c>
      <c r="K44" s="140">
        <v>9.8000000000000007</v>
      </c>
      <c r="L44" s="140"/>
      <c r="M44" s="140">
        <v>3.26</v>
      </c>
      <c r="N44" s="84">
        <f t="shared" si="2"/>
        <v>0.36163527249204203</v>
      </c>
      <c r="O44" s="9" t="s">
        <v>6</v>
      </c>
      <c r="P44" s="7"/>
      <c r="Q44" s="57"/>
      <c r="R44" s="55">
        <f>M45-O45</f>
        <v>2.99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31.75</v>
      </c>
      <c r="D45" s="141">
        <v>10.28</v>
      </c>
      <c r="E45" s="141"/>
      <c r="F45" s="141">
        <v>3.9</v>
      </c>
      <c r="G45" s="84">
        <f t="shared" si="3"/>
        <v>0.43683392497361601</v>
      </c>
      <c r="H45" s="7"/>
      <c r="I45" s="134">
        <v>10</v>
      </c>
      <c r="J45" s="141">
        <v>31.98</v>
      </c>
      <c r="K45" s="140">
        <v>9.81</v>
      </c>
      <c r="L45" s="140"/>
      <c r="M45" s="140">
        <v>2.99</v>
      </c>
      <c r="N45" s="84">
        <f t="shared" si="2"/>
        <v>0.33182807050810631</v>
      </c>
      <c r="O45" s="9"/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>
        <v>31.88</v>
      </c>
      <c r="D46" s="141">
        <v>9.94</v>
      </c>
      <c r="E46" s="141"/>
      <c r="F46" s="141">
        <v>3.72</v>
      </c>
      <c r="G46" s="84">
        <f t="shared" si="3"/>
        <v>0.41380115641276455</v>
      </c>
      <c r="H46" s="7"/>
      <c r="I46" s="134">
        <v>12</v>
      </c>
      <c r="J46" s="141">
        <v>32.04</v>
      </c>
      <c r="K46" s="140">
        <v>9.7200000000000006</v>
      </c>
      <c r="L46" s="140"/>
      <c r="M46" s="140">
        <v>2.92</v>
      </c>
      <c r="N46" s="84">
        <f t="shared" si="2"/>
        <v>0.32351792132152762</v>
      </c>
      <c r="O46" s="9" t="s">
        <v>6</v>
      </c>
      <c r="P46" s="7"/>
      <c r="Q46" s="57"/>
      <c r="R46" s="55">
        <f>M47-O47</f>
        <v>0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3"/>
        <v/>
      </c>
      <c r="H47" s="7"/>
      <c r="I47" s="134">
        <v>15</v>
      </c>
      <c r="J47" s="141"/>
      <c r="K47" s="140"/>
      <c r="L47" s="140"/>
      <c r="M47" s="140"/>
      <c r="N47" s="84" t="str">
        <f t="shared" si="2"/>
        <v/>
      </c>
      <c r="O47" s="9"/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3"/>
        <v/>
      </c>
      <c r="H48" s="7"/>
      <c r="I48" s="135">
        <v>20</v>
      </c>
      <c r="J48" s="162"/>
      <c r="K48" s="159"/>
      <c r="L48" s="159"/>
      <c r="M48" s="159"/>
      <c r="N48" s="84" t="str">
        <f t="shared" si="2"/>
        <v/>
      </c>
      <c r="O48" s="116"/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2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0.41319444444444442</v>
      </c>
      <c r="D51" s="145" t="s">
        <v>84</v>
      </c>
      <c r="E51" s="145"/>
      <c r="F51" s="145"/>
      <c r="H51" s="3"/>
      <c r="I51" s="35" t="s">
        <v>20</v>
      </c>
      <c r="J51" s="185">
        <v>0.40277777777777773</v>
      </c>
      <c r="K51" s="145" t="s">
        <v>84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96</v>
      </c>
      <c r="D52" s="145"/>
      <c r="E52" s="145"/>
      <c r="F52" s="145"/>
      <c r="H52" s="4"/>
      <c r="I52" s="23" t="s">
        <v>22</v>
      </c>
      <c r="J52" s="145" t="s">
        <v>96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85</v>
      </c>
      <c r="I56" s="105" t="s">
        <v>80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87</v>
      </c>
      <c r="H57" s="186">
        <v>2.4</v>
      </c>
      <c r="I57" s="185">
        <v>0.1875</v>
      </c>
      <c r="J57" s="1" t="s">
        <v>86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88</v>
      </c>
      <c r="H58" s="191">
        <v>0.9</v>
      </c>
      <c r="I58" s="185">
        <v>0.44097222222222227</v>
      </c>
      <c r="J58" s="1" t="s">
        <v>86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89</v>
      </c>
      <c r="H59" s="187"/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90</v>
      </c>
      <c r="H60" s="168" t="s">
        <v>61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92</v>
      </c>
      <c r="L64" s="189"/>
      <c r="M64" s="190" t="s">
        <v>93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91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6:D25 D35:D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11" sqref="J11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5.140625" bestFit="1" customWidth="1"/>
    <col min="15" max="15" width="24.7109375" customWidth="1"/>
  </cols>
  <sheetData>
    <row r="1" spans="1:16" s="130" customFormat="1" x14ac:dyDescent="0.2">
      <c r="A1" s="129" t="s">
        <v>65</v>
      </c>
      <c r="B1" s="129" t="s">
        <v>66</v>
      </c>
      <c r="C1" s="129" t="s">
        <v>62</v>
      </c>
      <c r="D1" s="129" t="s">
        <v>63</v>
      </c>
      <c r="E1" s="129" t="s">
        <v>64</v>
      </c>
      <c r="F1" s="129" t="s">
        <v>80</v>
      </c>
      <c r="G1" s="129" t="s">
        <v>81</v>
      </c>
      <c r="H1" s="129" t="s">
        <v>75</v>
      </c>
      <c r="I1" s="129" t="s">
        <v>76</v>
      </c>
      <c r="J1" s="129" t="s">
        <v>74</v>
      </c>
      <c r="K1" s="129" t="s">
        <v>71</v>
      </c>
      <c r="L1" s="129" t="s">
        <v>70</v>
      </c>
      <c r="M1" s="129" t="s">
        <v>72</v>
      </c>
      <c r="N1" s="129" t="s">
        <v>82</v>
      </c>
      <c r="O1" s="129" t="s">
        <v>67</v>
      </c>
      <c r="P1" s="130" t="s">
        <v>83</v>
      </c>
    </row>
    <row r="2" spans="1:16" x14ac:dyDescent="0.2">
      <c r="A2" t="s">
        <v>69</v>
      </c>
      <c r="B2">
        <v>901</v>
      </c>
      <c r="C2">
        <v>0</v>
      </c>
      <c r="D2" t="s">
        <v>68</v>
      </c>
      <c r="E2" s="126">
        <f>Report!$B$2</f>
        <v>44407</v>
      </c>
      <c r="F2" s="127">
        <f>Report!$C$51</f>
        <v>0.41319444444444442</v>
      </c>
      <c r="G2" s="127" t="str">
        <f>Report!$D$51</f>
        <v>PDT</v>
      </c>
      <c r="H2">
        <v>0</v>
      </c>
      <c r="I2">
        <f>IF(Report!C35,Report!C35,"")</f>
        <v>0.52</v>
      </c>
      <c r="J2">
        <f>IF(Report!D35,Report!D35,"")</f>
        <v>22.45</v>
      </c>
      <c r="K2" t="str">
        <f>IF(Report!E35,Report!E35,"")</f>
        <v/>
      </c>
      <c r="L2">
        <f>IF(Report!F35,Report!F35,"")</f>
        <v>8.65</v>
      </c>
      <c r="M2" s="183">
        <f>IF(Report!G35&gt;=0,Report!G35,"")</f>
        <v>1.0218433687624309</v>
      </c>
      <c r="N2" s="128">
        <f>E2+F2</f>
        <v>44407.413194444445</v>
      </c>
      <c r="O2" t="str">
        <f>"River: Flow = " &amp;Report!H59</f>
        <v xml:space="preserve">River: Flow = </v>
      </c>
      <c r="P2" t="str">
        <f>Report!$H$60</f>
        <v>Eureka Manta 2</v>
      </c>
    </row>
    <row r="3" spans="1:16" x14ac:dyDescent="0.2">
      <c r="A3" t="s">
        <v>69</v>
      </c>
      <c r="B3">
        <v>901</v>
      </c>
      <c r="C3">
        <v>1</v>
      </c>
      <c r="D3" t="s">
        <v>73</v>
      </c>
      <c r="E3" s="126">
        <f>Report!$B$2</f>
        <v>44407</v>
      </c>
      <c r="F3" s="127">
        <f>Report!$C$51</f>
        <v>0.41319444444444442</v>
      </c>
      <c r="G3" s="127" t="str">
        <f>Report!$D$51</f>
        <v>PDT</v>
      </c>
      <c r="H3">
        <f>Report!B36</f>
        <v>0</v>
      </c>
      <c r="I3">
        <f>IF(Report!C36,Report!C36,"")</f>
        <v>2.8</v>
      </c>
      <c r="J3">
        <f>IF(Report!D36,Report!D36,"")</f>
        <v>22.85</v>
      </c>
      <c r="K3" t="str">
        <f>IF(Report!E36,Report!E36,"")</f>
        <v/>
      </c>
      <c r="L3">
        <f>IF(Report!F36,Report!F36,"")</f>
        <v>7.74</v>
      </c>
      <c r="M3" s="183">
        <f>IF(Report!G36&gt;=0,Report!G36,"")</f>
        <v>0.9327794174258951</v>
      </c>
      <c r="N3" s="128">
        <f t="shared" ref="N3:N66" si="0">E3+F3</f>
        <v>44407.413194444445</v>
      </c>
      <c r="O3" t="str">
        <f>TRIM("Outfall: "&amp;Report!$C$52&amp;" "&amp;Report!$C$53&amp;" "&amp;Report!$C$54&amp;" "&amp;Report!$C$55)</f>
        <v>Outfall: Clear, Clam, No wind, hot</v>
      </c>
      <c r="P3" t="str">
        <f>Report!$H$60</f>
        <v>Eureka Manta 2</v>
      </c>
    </row>
    <row r="4" spans="1:16" x14ac:dyDescent="0.2">
      <c r="A4" t="s">
        <v>69</v>
      </c>
      <c r="B4">
        <v>901</v>
      </c>
      <c r="C4">
        <v>1</v>
      </c>
      <c r="D4" t="s">
        <v>73</v>
      </c>
      <c r="E4" s="126">
        <f>Report!$B$2</f>
        <v>44407</v>
      </c>
      <c r="F4" s="127">
        <f>Report!$C$51</f>
        <v>0.41319444444444442</v>
      </c>
      <c r="G4" s="127" t="str">
        <f>Report!$D$51</f>
        <v>PDT</v>
      </c>
      <c r="H4">
        <f>Report!B37</f>
        <v>1</v>
      </c>
      <c r="I4">
        <f>IF(Report!C37,Report!C37,"")</f>
        <v>4.45</v>
      </c>
      <c r="J4">
        <f>IF(Report!D37,Report!D37,"")</f>
        <v>22.91</v>
      </c>
      <c r="K4" t="str">
        <f>IF(Report!E37,Report!E37,"")</f>
        <v/>
      </c>
      <c r="L4">
        <f>IF(Report!F37,Report!F37,"")</f>
        <v>7.66</v>
      </c>
      <c r="M4" s="183">
        <f>IF(Report!G37&gt;=0,Report!G37,"")</f>
        <v>0.93284456749944678</v>
      </c>
      <c r="N4" s="128">
        <f t="shared" si="0"/>
        <v>44407.413194444445</v>
      </c>
      <c r="O4" t="str">
        <f>TRIM("Outfall: "&amp;Report!$C$52&amp;" "&amp;Report!$C$53&amp;" "&amp;Report!$C$54&amp;" "&amp;Report!$C$55)</f>
        <v>Outfall: Clear, Clam, No wind, hot</v>
      </c>
      <c r="P4" t="str">
        <f>Report!$H$60</f>
        <v>Eureka Manta 2</v>
      </c>
    </row>
    <row r="5" spans="1:16" x14ac:dyDescent="0.2">
      <c r="A5" t="s">
        <v>69</v>
      </c>
      <c r="B5">
        <v>901</v>
      </c>
      <c r="C5">
        <v>1</v>
      </c>
      <c r="D5" t="s">
        <v>73</v>
      </c>
      <c r="E5" s="126">
        <f>Report!$B$2</f>
        <v>44407</v>
      </c>
      <c r="F5" s="127">
        <f>Report!$C$51</f>
        <v>0.41319444444444442</v>
      </c>
      <c r="G5" s="127" t="str">
        <f>Report!$D$51</f>
        <v>PDT</v>
      </c>
      <c r="H5">
        <f>Report!B38</f>
        <v>2</v>
      </c>
      <c r="I5">
        <f>IF(Report!C38,Report!C38,"")</f>
        <v>9.52</v>
      </c>
      <c r="J5">
        <f>IF(Report!D38,Report!D38,"")</f>
        <v>21.9</v>
      </c>
      <c r="K5" t="str">
        <f>IF(Report!E38,Report!E38,"")</f>
        <v/>
      </c>
      <c r="L5">
        <f>IF(Report!F38,Report!F38,"")</f>
        <v>7.68</v>
      </c>
      <c r="M5" s="183">
        <f>IF(Report!G38&gt;=0,Report!G38,"")</f>
        <v>0.94597262613057276</v>
      </c>
      <c r="N5" s="128">
        <f t="shared" si="0"/>
        <v>44407.413194444445</v>
      </c>
      <c r="O5" t="str">
        <f>TRIM("Outfall: "&amp;Report!$C$52&amp;" "&amp;Report!$C$53&amp;" "&amp;Report!$C$54&amp;" "&amp;Report!$C$55)</f>
        <v>Outfall: Clear, Clam, No wind, hot</v>
      </c>
      <c r="P5" t="str">
        <f>Report!$H$60</f>
        <v>Eureka Manta 2</v>
      </c>
    </row>
    <row r="6" spans="1:16" x14ac:dyDescent="0.2">
      <c r="A6" t="s">
        <v>69</v>
      </c>
      <c r="B6">
        <v>901</v>
      </c>
      <c r="C6">
        <v>1</v>
      </c>
      <c r="D6" t="s">
        <v>73</v>
      </c>
      <c r="E6" s="126">
        <f>Report!$B$2</f>
        <v>44407</v>
      </c>
      <c r="F6" s="127">
        <f>Report!$C$51</f>
        <v>0.41319444444444442</v>
      </c>
      <c r="G6" s="127" t="str">
        <f>Report!$D$51</f>
        <v>PDT</v>
      </c>
      <c r="H6">
        <f>Report!B39</f>
        <v>3</v>
      </c>
      <c r="I6">
        <f>IF(Report!C39,Report!C39,"")</f>
        <v>11.45</v>
      </c>
      <c r="J6">
        <f>IF(Report!D39,Report!D39,"")</f>
        <v>20.85</v>
      </c>
      <c r="K6" t="str">
        <f>IF(Report!E39,Report!E39,"")</f>
        <v/>
      </c>
      <c r="L6">
        <f>IF(Report!F39,Report!F39,"")</f>
        <v>7.8</v>
      </c>
      <c r="M6" s="183">
        <f>IF(Report!G39&gt;=0,Report!G39,"")</f>
        <v>0.95338547083991609</v>
      </c>
      <c r="N6" s="128">
        <f t="shared" si="0"/>
        <v>44407.413194444445</v>
      </c>
      <c r="O6" t="str">
        <f>TRIM("Outfall: "&amp;Report!$C$52&amp;" "&amp;Report!$C$53&amp;" "&amp;Report!$C$54&amp;" "&amp;Report!$C$55)</f>
        <v>Outfall: Clear, Clam, No wind, hot</v>
      </c>
      <c r="P6" t="str">
        <f>Report!$H$60</f>
        <v>Eureka Manta 2</v>
      </c>
    </row>
    <row r="7" spans="1:16" x14ac:dyDescent="0.2">
      <c r="A7" t="s">
        <v>69</v>
      </c>
      <c r="B7">
        <v>901</v>
      </c>
      <c r="C7">
        <v>1</v>
      </c>
      <c r="D7" t="s">
        <v>73</v>
      </c>
      <c r="E7" s="126">
        <f>Report!$B$2</f>
        <v>44407</v>
      </c>
      <c r="F7" s="127">
        <f>Report!$C$51</f>
        <v>0.41319444444444442</v>
      </c>
      <c r="G7" s="127" t="str">
        <f>Report!$D$51</f>
        <v>PDT</v>
      </c>
      <c r="H7">
        <f>Report!B40</f>
        <v>4</v>
      </c>
      <c r="I7">
        <f>IF(Report!C40,Report!C40,"")</f>
        <v>20.190000000000001</v>
      </c>
      <c r="J7">
        <f>IF(Report!D40,Report!D40,"")</f>
        <v>16.79</v>
      </c>
      <c r="K7" t="str">
        <f>IF(Report!E40,Report!E40,"")</f>
        <v/>
      </c>
      <c r="L7">
        <f>IF(Report!F40,Report!F40,"")</f>
        <v>6.88</v>
      </c>
      <c r="M7" s="183">
        <f>IF(Report!G40&gt;=0,Report!G40,"")</f>
        <v>0.82087324568531417</v>
      </c>
      <c r="N7" s="128">
        <f t="shared" si="0"/>
        <v>44407.413194444445</v>
      </c>
      <c r="O7" t="str">
        <f>TRIM("Outfall: "&amp;Report!$C$52&amp;" "&amp;Report!$C$53&amp;" "&amp;Report!$C$54&amp;" "&amp;Report!$C$55)</f>
        <v>Outfall: Clear, Clam, No wind, hot</v>
      </c>
      <c r="P7" t="str">
        <f>Report!$H$60</f>
        <v>Eureka Manta 2</v>
      </c>
    </row>
    <row r="8" spans="1:16" x14ac:dyDescent="0.2">
      <c r="A8" t="s">
        <v>69</v>
      </c>
      <c r="B8">
        <v>901</v>
      </c>
      <c r="C8">
        <v>1</v>
      </c>
      <c r="D8" t="s">
        <v>73</v>
      </c>
      <c r="E8" s="126">
        <f>Report!$B$2</f>
        <v>44407</v>
      </c>
      <c r="F8" s="127">
        <f>Report!$C$51</f>
        <v>0.41319444444444442</v>
      </c>
      <c r="G8" s="127" t="str">
        <f>Report!$D$51</f>
        <v>PDT</v>
      </c>
      <c r="H8">
        <f>Report!B41</f>
        <v>5</v>
      </c>
      <c r="I8">
        <f>IF(Report!C41,Report!C41,"")</f>
        <v>24.34</v>
      </c>
      <c r="J8">
        <f>IF(Report!D41,Report!D41,"")</f>
        <v>14.86</v>
      </c>
      <c r="K8" t="str">
        <f>IF(Report!E41,Report!E41,"")</f>
        <v/>
      </c>
      <c r="L8">
        <f>IF(Report!F41,Report!F41,"")</f>
        <v>6.26</v>
      </c>
      <c r="M8" s="183">
        <f>IF(Report!G41&gt;=0,Report!G41,"")</f>
        <v>0.7374770705896968</v>
      </c>
      <c r="N8" s="128">
        <f t="shared" si="0"/>
        <v>44407.413194444445</v>
      </c>
      <c r="O8" t="str">
        <f>TRIM("Outfall: "&amp;Report!$C$52&amp;" "&amp;Report!$C$53&amp;" "&amp;Report!$C$54&amp;" "&amp;Report!$C$55)</f>
        <v>Outfall: Clear, Clam, No wind, hot</v>
      </c>
      <c r="P8" t="str">
        <f>Report!$H$60</f>
        <v>Eureka Manta 2</v>
      </c>
    </row>
    <row r="9" spans="1:16" x14ac:dyDescent="0.2">
      <c r="A9" t="s">
        <v>69</v>
      </c>
      <c r="B9">
        <v>901</v>
      </c>
      <c r="C9">
        <v>1</v>
      </c>
      <c r="D9" t="s">
        <v>73</v>
      </c>
      <c r="E9" s="126">
        <f>Report!$B$2</f>
        <v>44407</v>
      </c>
      <c r="F9" s="127">
        <f>Report!$C$51</f>
        <v>0.41319444444444442</v>
      </c>
      <c r="G9" s="127" t="str">
        <f>Report!$D$51</f>
        <v>PDT</v>
      </c>
      <c r="H9">
        <f>Report!B42</f>
        <v>6</v>
      </c>
      <c r="I9">
        <f>IF(Report!C42,Report!C42,"")</f>
        <v>28.22</v>
      </c>
      <c r="J9">
        <f>IF(Report!D42,Report!D42,"")</f>
        <v>13.63</v>
      </c>
      <c r="K9" t="str">
        <f>IF(Report!E42,Report!E42,"")</f>
        <v/>
      </c>
      <c r="L9">
        <f>IF(Report!F42,Report!F42,"")</f>
        <v>4.76</v>
      </c>
      <c r="M9" s="183">
        <f>IF(Report!G42&gt;=0,Report!G42,"")</f>
        <v>0.5605429054737805</v>
      </c>
      <c r="N9" s="128">
        <f t="shared" si="0"/>
        <v>44407.413194444445</v>
      </c>
      <c r="O9" t="str">
        <f>TRIM("Outfall: "&amp;Report!$C$52&amp;" "&amp;Report!$C$53&amp;" "&amp;Report!$C$54&amp;" "&amp;Report!$C$55)</f>
        <v>Outfall: Clear, Clam, No wind, hot</v>
      </c>
      <c r="P9" t="str">
        <f>Report!$H$60</f>
        <v>Eureka Manta 2</v>
      </c>
    </row>
    <row r="10" spans="1:16" x14ac:dyDescent="0.2">
      <c r="A10" t="s">
        <v>69</v>
      </c>
      <c r="B10">
        <v>901</v>
      </c>
      <c r="C10">
        <v>1</v>
      </c>
      <c r="D10" t="s">
        <v>73</v>
      </c>
      <c r="E10" s="126">
        <f>Report!$B$2</f>
        <v>44407</v>
      </c>
      <c r="F10" s="127">
        <f>Report!$C$51</f>
        <v>0.41319444444444442</v>
      </c>
      <c r="G10" s="127" t="str">
        <f>Report!$D$51</f>
        <v>PDT</v>
      </c>
      <c r="H10">
        <f>Report!B43</f>
        <v>7</v>
      </c>
      <c r="I10">
        <f>IF(Report!C43,Report!C43,"")</f>
        <v>31.08</v>
      </c>
      <c r="J10">
        <f>IF(Report!D43,Report!D43,"")</f>
        <v>11.15</v>
      </c>
      <c r="K10" t="str">
        <f>IF(Report!E43,Report!E43,"")</f>
        <v/>
      </c>
      <c r="L10">
        <f>IF(Report!F43,Report!F43,"")</f>
        <v>4.33</v>
      </c>
      <c r="M10" s="183">
        <f>IF(Report!G43&gt;=0,Report!G43,"")</f>
        <v>0.49239885084989221</v>
      </c>
      <c r="N10" s="128">
        <f t="shared" si="0"/>
        <v>44407.413194444445</v>
      </c>
      <c r="O10" t="str">
        <f>TRIM("Outfall: "&amp;Report!$C$52&amp;" "&amp;Report!$C$53&amp;" "&amp;Report!$C$54&amp;" "&amp;Report!$C$55)</f>
        <v>Outfall: Clear, Clam, No wind, hot</v>
      </c>
      <c r="P10" t="str">
        <f>Report!$H$60</f>
        <v>Eureka Manta 2</v>
      </c>
    </row>
    <row r="11" spans="1:16" x14ac:dyDescent="0.2">
      <c r="A11" t="s">
        <v>69</v>
      </c>
      <c r="B11">
        <v>901</v>
      </c>
      <c r="C11">
        <v>1</v>
      </c>
      <c r="D11" t="s">
        <v>73</v>
      </c>
      <c r="E11" s="126">
        <f>Report!$B$2</f>
        <v>44407</v>
      </c>
      <c r="F11" s="127">
        <f>Report!$C$51</f>
        <v>0.41319444444444442</v>
      </c>
      <c r="G11" s="127" t="str">
        <f>Report!$D$51</f>
        <v>PDT</v>
      </c>
      <c r="H11">
        <f>Report!B44</f>
        <v>8</v>
      </c>
      <c r="I11">
        <f>IF(Report!C44,Report!C44,"")</f>
        <v>31.45</v>
      </c>
      <c r="J11">
        <f>IF(Report!D44,Report!D44,"")</f>
        <v>10.73</v>
      </c>
      <c r="K11" t="str">
        <f>IF(Report!E44,Report!E44,"")</f>
        <v/>
      </c>
      <c r="L11">
        <f>IF(Report!F44,Report!F44,"")</f>
        <v>4.0199999999999996</v>
      </c>
      <c r="M11" s="183">
        <f>IF(Report!G44&gt;=0,Report!G44,"")</f>
        <v>0.45397981654889791</v>
      </c>
      <c r="N11" s="128">
        <f t="shared" si="0"/>
        <v>44407.413194444445</v>
      </c>
      <c r="O11" t="str">
        <f>TRIM("Outfall: "&amp;Report!$C$52&amp;" "&amp;Report!$C$53&amp;" "&amp;Report!$C$54&amp;" "&amp;Report!$C$55)</f>
        <v>Outfall: Clear, Clam, No wind, hot</v>
      </c>
      <c r="P11" t="str">
        <f>Report!$H$60</f>
        <v>Eureka Manta 2</v>
      </c>
    </row>
    <row r="12" spans="1:16" x14ac:dyDescent="0.2">
      <c r="A12" t="s">
        <v>69</v>
      </c>
      <c r="B12">
        <v>901</v>
      </c>
      <c r="C12">
        <v>1</v>
      </c>
      <c r="D12" t="s">
        <v>73</v>
      </c>
      <c r="E12" s="126">
        <f>Report!$B$2</f>
        <v>44407</v>
      </c>
      <c r="F12" s="127">
        <f>Report!$C$51</f>
        <v>0.41319444444444442</v>
      </c>
      <c r="G12" s="127" t="str">
        <f>Report!$D$51</f>
        <v>PDT</v>
      </c>
      <c r="H12">
        <f>Report!B45</f>
        <v>9</v>
      </c>
      <c r="I12">
        <f>IF(Report!C45,Report!C45,"")</f>
        <v>31.75</v>
      </c>
      <c r="J12">
        <f>IF(Report!D45,Report!D45,"")</f>
        <v>10.28</v>
      </c>
      <c r="K12" t="str">
        <f>IF(Report!E45,Report!E45,"")</f>
        <v/>
      </c>
      <c r="L12">
        <f>IF(Report!F45,Report!F45,"")</f>
        <v>3.9</v>
      </c>
      <c r="M12" s="183">
        <f>IF(Report!G45&gt;=0,Report!G45,"")</f>
        <v>0.43683392497361601</v>
      </c>
      <c r="N12" s="128">
        <f t="shared" si="0"/>
        <v>44407.413194444445</v>
      </c>
      <c r="O12" t="str">
        <f>TRIM("Outfall: "&amp;Report!$C$52&amp;" "&amp;Report!$C$53&amp;" "&amp;Report!$C$54&amp;" "&amp;Report!$C$55)</f>
        <v>Outfall: Clear, Clam, No wind, hot</v>
      </c>
      <c r="P12" t="str">
        <f>Report!$H$60</f>
        <v>Eureka Manta 2</v>
      </c>
    </row>
    <row r="13" spans="1:16" x14ac:dyDescent="0.2">
      <c r="A13" t="s">
        <v>69</v>
      </c>
      <c r="B13">
        <v>901</v>
      </c>
      <c r="C13">
        <v>1</v>
      </c>
      <c r="D13" t="s">
        <v>73</v>
      </c>
      <c r="E13" s="126">
        <f>Report!$B$2</f>
        <v>44407</v>
      </c>
      <c r="F13" s="127">
        <f>Report!$C$51</f>
        <v>0.41319444444444442</v>
      </c>
      <c r="G13" s="127" t="str">
        <f>Report!$D$51</f>
        <v>PDT</v>
      </c>
      <c r="H13">
        <f>Report!B46</f>
        <v>10</v>
      </c>
      <c r="I13">
        <f>IF(Report!C46,Report!C46,"")</f>
        <v>31.88</v>
      </c>
      <c r="J13">
        <f>IF(Report!D46,Report!D46,"")</f>
        <v>9.94</v>
      </c>
      <c r="K13" t="str">
        <f>IF(Report!E46,Report!E46,"")</f>
        <v/>
      </c>
      <c r="L13">
        <f>IF(Report!F46,Report!F46,"")</f>
        <v>3.72</v>
      </c>
      <c r="M13" s="183">
        <f>IF(Report!G46&gt;=0,Report!G46,"")</f>
        <v>0.41380115641276455</v>
      </c>
      <c r="N13" s="128">
        <f t="shared" si="0"/>
        <v>44407.413194444445</v>
      </c>
      <c r="O13" t="str">
        <f>TRIM("Outfall: "&amp;Report!$C$52&amp;" "&amp;Report!$C$53&amp;" "&amp;Report!$C$54&amp;" "&amp;Report!$C$55)</f>
        <v>Outfall: Clear, Clam, No wind, hot</v>
      </c>
      <c r="P13" t="str">
        <f>Report!$H$60</f>
        <v>Eureka Manta 2</v>
      </c>
    </row>
    <row r="14" spans="1:16" x14ac:dyDescent="0.2">
      <c r="A14" t="s">
        <v>69</v>
      </c>
      <c r="B14">
        <v>901</v>
      </c>
      <c r="C14">
        <v>1</v>
      </c>
      <c r="D14" t="s">
        <v>73</v>
      </c>
      <c r="E14" s="126">
        <f>Report!$B$2</f>
        <v>44407</v>
      </c>
      <c r="F14" s="127">
        <f>Report!$C$51</f>
        <v>0.41319444444444442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44407.413194444445</v>
      </c>
      <c r="O14" t="str">
        <f>TRIM("Outfall: "&amp;Report!$C$52&amp;" "&amp;Report!$C$53&amp;" "&amp;Report!$C$54&amp;" "&amp;Report!$C$55)</f>
        <v>Outfall: Clear, Clam, No wind, hot</v>
      </c>
      <c r="P14" t="str">
        <f>Report!$H$60</f>
        <v>Eureka Manta 2</v>
      </c>
    </row>
    <row r="15" spans="1:16" x14ac:dyDescent="0.2">
      <c r="A15" t="s">
        <v>69</v>
      </c>
      <c r="B15">
        <v>901</v>
      </c>
      <c r="C15">
        <v>1</v>
      </c>
      <c r="D15" t="s">
        <v>73</v>
      </c>
      <c r="E15" s="126">
        <f>Report!$B$2</f>
        <v>44407</v>
      </c>
      <c r="F15" s="127">
        <f>Report!$C$51</f>
        <v>0.41319444444444442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44407.413194444445</v>
      </c>
      <c r="O15" t="str">
        <f>TRIM("Outfall: "&amp;Report!$C$52&amp;" "&amp;Report!$C$53&amp;" "&amp;Report!$C$54&amp;" "&amp;Report!$C$55)</f>
        <v>Outfall: Clear, Clam, No wind, hot</v>
      </c>
      <c r="P15" t="str">
        <f>Report!$H$60</f>
        <v>Eureka Manta 2</v>
      </c>
    </row>
    <row r="16" spans="1:16" x14ac:dyDescent="0.2">
      <c r="A16" t="s">
        <v>69</v>
      </c>
      <c r="B16">
        <v>901</v>
      </c>
      <c r="C16">
        <v>2</v>
      </c>
      <c r="D16" t="s">
        <v>77</v>
      </c>
      <c r="E16" s="126">
        <f>Report!$B$2</f>
        <v>44407</v>
      </c>
      <c r="F16" s="127">
        <f>Report!$J$51</f>
        <v>0.40277777777777773</v>
      </c>
      <c r="G16" s="127" t="str">
        <f>Report!$K$51</f>
        <v>PDT</v>
      </c>
      <c r="H16">
        <f>Report!I35</f>
        <v>0</v>
      </c>
      <c r="I16">
        <f>IF(Report!J35,Report!J35,"")</f>
        <v>5.51</v>
      </c>
      <c r="J16">
        <f>IF(Report!K35,Report!K35,"")</f>
        <v>22.89</v>
      </c>
      <c r="K16" t="str">
        <f>IF(Report!L35,Report!L35,"")</f>
        <v/>
      </c>
      <c r="L16">
        <f>IF(Report!M35,Report!M35,"")</f>
        <v>8.52</v>
      </c>
      <c r="M16" s="183">
        <f>IF(Report!N35&gt;=0,Report!N35,"")</f>
        <v>1.0435368490557635</v>
      </c>
      <c r="N16" s="128">
        <f t="shared" si="0"/>
        <v>44407.402777777781</v>
      </c>
      <c r="O16" t="str">
        <f>TRIM("Hohm: "&amp;Report!$J$52&amp;" "&amp;Report!$J$53&amp;" "&amp;Report!$J$54&amp;" "&amp;Report!$J$55)</f>
        <v>Hohm: Clear, Clam, No wind, hot</v>
      </c>
      <c r="P16" t="str">
        <f>Report!$H$60</f>
        <v>Eureka Manta 2</v>
      </c>
    </row>
    <row r="17" spans="1:16" x14ac:dyDescent="0.2">
      <c r="A17" t="s">
        <v>69</v>
      </c>
      <c r="B17">
        <v>901</v>
      </c>
      <c r="C17">
        <v>2</v>
      </c>
      <c r="D17" t="s">
        <v>77</v>
      </c>
      <c r="E17" s="126">
        <f>Report!$B$2</f>
        <v>44407</v>
      </c>
      <c r="F17" s="127">
        <f>Report!$J$51</f>
        <v>0.40277777777777773</v>
      </c>
      <c r="G17" s="127" t="str">
        <f>Report!$K$51</f>
        <v>PDT</v>
      </c>
      <c r="H17">
        <f>Report!I36</f>
        <v>1</v>
      </c>
      <c r="I17">
        <f>IF(Report!J36,Report!J36,"")</f>
        <v>6.75</v>
      </c>
      <c r="J17">
        <f>IF(Report!K36,Report!K36,"")</f>
        <v>22.59</v>
      </c>
      <c r="K17" t="str">
        <f>IF(Report!L36,Report!L36,"")</f>
        <v/>
      </c>
      <c r="L17">
        <f>IF(Report!M36,Report!M36,"")</f>
        <v>8.52</v>
      </c>
      <c r="M17" s="183">
        <f>IF(Report!N36&gt;=0,Report!N36,"")</f>
        <v>1.0454467992015095</v>
      </c>
      <c r="N17" s="128">
        <f t="shared" si="0"/>
        <v>44407.402777777781</v>
      </c>
      <c r="O17" t="str">
        <f>TRIM("Hohm: "&amp;Report!$J$52&amp;" "&amp;Report!$J$53&amp;" "&amp;Report!$J$54&amp;" "&amp;Report!$J$55)</f>
        <v>Hohm: Clear, Clam, No wind, hot</v>
      </c>
      <c r="P17" t="str">
        <f>Report!$H$60</f>
        <v>Eureka Manta 2</v>
      </c>
    </row>
    <row r="18" spans="1:16" x14ac:dyDescent="0.2">
      <c r="A18" t="s">
        <v>69</v>
      </c>
      <c r="B18">
        <v>901</v>
      </c>
      <c r="C18">
        <v>2</v>
      </c>
      <c r="D18" t="s">
        <v>77</v>
      </c>
      <c r="E18" s="126">
        <f>Report!$B$2</f>
        <v>44407</v>
      </c>
      <c r="F18" s="127">
        <f>Report!$J$51</f>
        <v>0.40277777777777773</v>
      </c>
      <c r="G18" s="127" t="str">
        <f>Report!$K$51</f>
        <v>PDT</v>
      </c>
      <c r="H18">
        <f>Report!I37</f>
        <v>2</v>
      </c>
      <c r="I18">
        <f>IF(Report!J37,Report!J37,"")</f>
        <v>9.6</v>
      </c>
      <c r="J18">
        <f>IF(Report!K37,Report!K37,"")</f>
        <v>21.65</v>
      </c>
      <c r="K18" t="str">
        <f>IF(Report!L37,Report!L37,"")</f>
        <v/>
      </c>
      <c r="L18">
        <f>IF(Report!M37,Report!M37,"")</f>
        <v>8.26</v>
      </c>
      <c r="M18" s="183">
        <f>IF(Report!N37&gt;=0,Report!N37,"")</f>
        <v>1.0132996707892161</v>
      </c>
      <c r="N18" s="128">
        <f t="shared" si="0"/>
        <v>44407.402777777781</v>
      </c>
      <c r="O18" t="str">
        <f>TRIM("Hohm: "&amp;Report!$J$52&amp;" "&amp;Report!$J$53&amp;" "&amp;Report!$J$54&amp;" "&amp;Report!$J$55)</f>
        <v>Hohm: Clear, Clam, No wind, hot</v>
      </c>
      <c r="P18" t="str">
        <f>Report!$H$60</f>
        <v>Eureka Manta 2</v>
      </c>
    </row>
    <row r="19" spans="1:16" x14ac:dyDescent="0.2">
      <c r="A19" t="s">
        <v>69</v>
      </c>
      <c r="B19">
        <v>901</v>
      </c>
      <c r="C19">
        <v>2</v>
      </c>
      <c r="D19" t="s">
        <v>77</v>
      </c>
      <c r="E19" s="126">
        <f>Report!$B$2</f>
        <v>44407</v>
      </c>
      <c r="F19" s="127">
        <f>Report!$J$51</f>
        <v>0.40277777777777773</v>
      </c>
      <c r="G19" s="127" t="str">
        <f>Report!$K$51</f>
        <v>PDT</v>
      </c>
      <c r="H19">
        <f>Report!I38</f>
        <v>3</v>
      </c>
      <c r="I19">
        <f>IF(Report!J38,Report!J38,"")</f>
        <v>12.23</v>
      </c>
      <c r="J19">
        <f>IF(Report!K38,Report!K38,"")</f>
        <v>20.84</v>
      </c>
      <c r="K19" t="str">
        <f>IF(Report!L38,Report!L38,"")</f>
        <v/>
      </c>
      <c r="L19">
        <f>IF(Report!M38,Report!M38,"")</f>
        <v>8.0500000000000007</v>
      </c>
      <c r="M19" s="183">
        <f>IF(Report!N38&gt;=0,Report!N38,"")</f>
        <v>0.98835605373364332</v>
      </c>
      <c r="N19" s="128">
        <f t="shared" si="0"/>
        <v>44407.402777777781</v>
      </c>
      <c r="O19" t="str">
        <f>TRIM("Hohm: "&amp;Report!$J$52&amp;" "&amp;Report!$J$53&amp;" "&amp;Report!$J$54&amp;" "&amp;Report!$J$55)</f>
        <v>Hohm: Clear, Clam, No wind, hot</v>
      </c>
      <c r="P19" t="str">
        <f>Report!$H$60</f>
        <v>Eureka Manta 2</v>
      </c>
    </row>
    <row r="20" spans="1:16" x14ac:dyDescent="0.2">
      <c r="A20" t="s">
        <v>69</v>
      </c>
      <c r="B20">
        <v>901</v>
      </c>
      <c r="C20">
        <v>2</v>
      </c>
      <c r="D20" t="s">
        <v>77</v>
      </c>
      <c r="E20" s="126">
        <f>Report!$B$2</f>
        <v>44407</v>
      </c>
      <c r="F20" s="127">
        <f>Report!$J$51</f>
        <v>0.40277777777777773</v>
      </c>
      <c r="G20" s="127" t="str">
        <f>Report!$K$51</f>
        <v>PDT</v>
      </c>
      <c r="H20">
        <f>Report!I39</f>
        <v>4</v>
      </c>
      <c r="I20">
        <f>IF(Report!J39,Report!J39,"")</f>
        <v>15.33</v>
      </c>
      <c r="J20">
        <f>IF(Report!K39,Report!K39,"")</f>
        <v>18.510000000000002</v>
      </c>
      <c r="K20" t="str">
        <f>IF(Report!L39,Report!L39,"")</f>
        <v/>
      </c>
      <c r="L20">
        <f>IF(Report!M39,Report!M39,"")</f>
        <v>5.92</v>
      </c>
      <c r="M20" s="183">
        <f>IF(Report!N39&gt;=0,Report!N39,"")</f>
        <v>0.70883187472589959</v>
      </c>
      <c r="N20" s="128">
        <f t="shared" si="0"/>
        <v>44407.402777777781</v>
      </c>
      <c r="O20" t="str">
        <f>TRIM("Hohm: "&amp;Report!$J$52&amp;" "&amp;Report!$J$53&amp;" "&amp;Report!$J$54&amp;" "&amp;Report!$J$55)</f>
        <v>Hohm: Clear, Clam, No wind, hot</v>
      </c>
      <c r="P20" t="str">
        <f>Report!$H$60</f>
        <v>Eureka Manta 2</v>
      </c>
    </row>
    <row r="21" spans="1:16" x14ac:dyDescent="0.2">
      <c r="A21" t="s">
        <v>69</v>
      </c>
      <c r="B21">
        <v>901</v>
      </c>
      <c r="C21">
        <v>2</v>
      </c>
      <c r="D21" t="s">
        <v>77</v>
      </c>
      <c r="E21" s="126">
        <f>Report!$B$2</f>
        <v>44407</v>
      </c>
      <c r="F21" s="127">
        <f>Report!$J$51</f>
        <v>0.40277777777777773</v>
      </c>
      <c r="G21" s="127" t="str">
        <f>Report!$K$51</f>
        <v>PDT</v>
      </c>
      <c r="H21">
        <f>Report!I40</f>
        <v>5</v>
      </c>
      <c r="I21">
        <f>IF(Report!J40,Report!J40,"")</f>
        <v>29.95</v>
      </c>
      <c r="J21">
        <f>IF(Report!K40,Report!K40,"")</f>
        <v>11.87</v>
      </c>
      <c r="K21" t="str">
        <f>IF(Report!L40,Report!L40,"")</f>
        <v/>
      </c>
      <c r="L21">
        <f>IF(Report!M40,Report!M40,"")</f>
        <v>5.07</v>
      </c>
      <c r="M21" s="183">
        <f>IF(Report!N40&gt;=0,Report!N40,"")</f>
        <v>0.58141305378097097</v>
      </c>
      <c r="N21" s="128">
        <f t="shared" si="0"/>
        <v>44407.402777777781</v>
      </c>
      <c r="O21" t="str">
        <f>TRIM("Hohm: "&amp;Report!$J$52&amp;" "&amp;Report!$J$53&amp;" "&amp;Report!$J$54&amp;" "&amp;Report!$J$55)</f>
        <v>Hohm: Clear, Clam, No wind, hot</v>
      </c>
      <c r="P21" t="str">
        <f>Report!$H$60</f>
        <v>Eureka Manta 2</v>
      </c>
    </row>
    <row r="22" spans="1:16" x14ac:dyDescent="0.2">
      <c r="A22" t="s">
        <v>69</v>
      </c>
      <c r="B22">
        <v>901</v>
      </c>
      <c r="C22">
        <v>2</v>
      </c>
      <c r="D22" t="s">
        <v>77</v>
      </c>
      <c r="E22" s="126">
        <f>Report!$B$2</f>
        <v>44407</v>
      </c>
      <c r="F22" s="127">
        <f>Report!$J$51</f>
        <v>0.40277777777777773</v>
      </c>
      <c r="G22" s="127" t="str">
        <f>Report!$K$51</f>
        <v>PDT</v>
      </c>
      <c r="H22">
        <f>Report!I41</f>
        <v>6</v>
      </c>
      <c r="I22">
        <f>IF(Report!J41,Report!J41,"")</f>
        <v>31.5</v>
      </c>
      <c r="J22">
        <f>IF(Report!K41,Report!K41,"")</f>
        <v>10.67</v>
      </c>
      <c r="K22" t="str">
        <f>IF(Report!L41,Report!L41,"")</f>
        <v/>
      </c>
      <c r="L22">
        <f>IF(Report!M41,Report!M41,"")</f>
        <v>4.3</v>
      </c>
      <c r="M22" s="183">
        <f>IF(Report!N41&gt;=0,Report!N41,"")</f>
        <v>0.48510567652129499</v>
      </c>
      <c r="N22" s="128">
        <f t="shared" si="0"/>
        <v>44407.402777777781</v>
      </c>
      <c r="O22" t="str">
        <f>TRIM("Hohm: "&amp;Report!$J$52&amp;" "&amp;Report!$J$53&amp;" "&amp;Report!$J$54&amp;" "&amp;Report!$J$55)</f>
        <v>Hohm: Clear, Clam, No wind, hot</v>
      </c>
      <c r="P22" t="str">
        <f>Report!$H$60</f>
        <v>Eureka Manta 2</v>
      </c>
    </row>
    <row r="23" spans="1:16" x14ac:dyDescent="0.2">
      <c r="A23" t="s">
        <v>69</v>
      </c>
      <c r="B23">
        <v>901</v>
      </c>
      <c r="C23">
        <v>2</v>
      </c>
      <c r="D23" t="s">
        <v>77</v>
      </c>
      <c r="E23" s="126">
        <f>Report!$B$2</f>
        <v>44407</v>
      </c>
      <c r="F23" s="127">
        <f>Report!$J$51</f>
        <v>0.40277777777777773</v>
      </c>
      <c r="G23" s="127" t="str">
        <f>Report!$K$51</f>
        <v>PDT</v>
      </c>
      <c r="H23">
        <f>Report!I42</f>
        <v>7</v>
      </c>
      <c r="I23">
        <f>IF(Report!J42,Report!J42,"")</f>
        <v>31.62</v>
      </c>
      <c r="J23">
        <f>IF(Report!K42,Report!K42,"")</f>
        <v>10.52</v>
      </c>
      <c r="K23" t="str">
        <f>IF(Report!L42,Report!L42,"")</f>
        <v/>
      </c>
      <c r="L23">
        <f>IF(Report!M42,Report!M42,"")</f>
        <v>3.98</v>
      </c>
      <c r="M23" s="183">
        <f>IF(Report!N42&gt;=0,Report!N42,"")</f>
        <v>0.44784372467772809</v>
      </c>
      <c r="N23" s="128">
        <f t="shared" si="0"/>
        <v>44407.402777777781</v>
      </c>
      <c r="O23" t="str">
        <f>TRIM("Hohm: "&amp;Report!$J$52&amp;" "&amp;Report!$J$53&amp;" "&amp;Report!$J$54&amp;" "&amp;Report!$J$55)</f>
        <v>Hohm: Clear, Clam, No wind, hot</v>
      </c>
      <c r="P23" t="str">
        <f>Report!$H$60</f>
        <v>Eureka Manta 2</v>
      </c>
    </row>
    <row r="24" spans="1:16" x14ac:dyDescent="0.2">
      <c r="A24" t="s">
        <v>69</v>
      </c>
      <c r="B24">
        <v>901</v>
      </c>
      <c r="C24">
        <v>2</v>
      </c>
      <c r="D24" t="s">
        <v>77</v>
      </c>
      <c r="E24" s="126">
        <f>Report!$B$2</f>
        <v>44407</v>
      </c>
      <c r="F24" s="127">
        <f>Report!$J$51</f>
        <v>0.40277777777777773</v>
      </c>
      <c r="G24" s="127" t="str">
        <f>Report!$K$51</f>
        <v>PDT</v>
      </c>
      <c r="H24">
        <f>Report!I43</f>
        <v>8</v>
      </c>
      <c r="I24">
        <f>IF(Report!J43,Report!J43,"")</f>
        <v>31.92</v>
      </c>
      <c r="J24">
        <f>IF(Report!K43,Report!K43,"")</f>
        <v>9.9700000000000006</v>
      </c>
      <c r="K24" t="str">
        <f>IF(Report!L43,Report!L43,"")</f>
        <v/>
      </c>
      <c r="L24">
        <f>IF(Report!M43,Report!M43,"")</f>
        <v>3.56</v>
      </c>
      <c r="M24" s="183">
        <f>IF(Report!N43&gt;=0,Report!N43,"")</f>
        <v>0.39638433244879767</v>
      </c>
      <c r="N24" s="128">
        <f t="shared" si="0"/>
        <v>44407.402777777781</v>
      </c>
      <c r="O24" t="str">
        <f>TRIM("Hohm: "&amp;Report!$J$52&amp;" "&amp;Report!$J$53&amp;" "&amp;Report!$J$54&amp;" "&amp;Report!$J$55)</f>
        <v>Hohm: Clear, Clam, No wind, hot</v>
      </c>
      <c r="P24" t="str">
        <f>Report!$H$60</f>
        <v>Eureka Manta 2</v>
      </c>
    </row>
    <row r="25" spans="1:16" x14ac:dyDescent="0.2">
      <c r="A25" t="s">
        <v>69</v>
      </c>
      <c r="B25">
        <v>901</v>
      </c>
      <c r="C25">
        <v>2</v>
      </c>
      <c r="D25" t="s">
        <v>77</v>
      </c>
      <c r="E25" s="126">
        <f>Report!$B$2</f>
        <v>44407</v>
      </c>
      <c r="F25" s="127">
        <f>Report!$J$51</f>
        <v>0.40277777777777773</v>
      </c>
      <c r="G25" s="127" t="str">
        <f>Report!$K$51</f>
        <v>PDT</v>
      </c>
      <c r="H25">
        <f>Report!I44</f>
        <v>9</v>
      </c>
      <c r="I25">
        <f>IF(Report!J44,Report!J44,"")</f>
        <v>31.95</v>
      </c>
      <c r="J25">
        <f>IF(Report!K44,Report!K44,"")</f>
        <v>9.8000000000000007</v>
      </c>
      <c r="K25" t="str">
        <f>IF(Report!L44,Report!L44,"")</f>
        <v/>
      </c>
      <c r="L25">
        <f>IF(Report!M44,Report!M44,"")</f>
        <v>3.26</v>
      </c>
      <c r="M25" s="183">
        <f>IF(Report!N44&gt;=0,Report!N44,"")</f>
        <v>0.36163527249204203</v>
      </c>
      <c r="N25" s="128">
        <f t="shared" si="0"/>
        <v>44407.402777777781</v>
      </c>
      <c r="O25" t="str">
        <f>TRIM("Hohm: "&amp;Report!$J$52&amp;" "&amp;Report!$J$53&amp;" "&amp;Report!$J$54&amp;" "&amp;Report!$J$55)</f>
        <v>Hohm: Clear, Clam, No wind, hot</v>
      </c>
      <c r="P25" t="str">
        <f>Report!$H$60</f>
        <v>Eureka Manta 2</v>
      </c>
    </row>
    <row r="26" spans="1:16" x14ac:dyDescent="0.2">
      <c r="A26" t="s">
        <v>69</v>
      </c>
      <c r="B26">
        <v>901</v>
      </c>
      <c r="C26">
        <v>2</v>
      </c>
      <c r="D26" t="s">
        <v>77</v>
      </c>
      <c r="E26" s="126">
        <f>Report!$B$2</f>
        <v>44407</v>
      </c>
      <c r="F26" s="127">
        <f>Report!$J$51</f>
        <v>0.40277777777777773</v>
      </c>
      <c r="G26" s="127" t="str">
        <f>Report!$K$51</f>
        <v>PDT</v>
      </c>
      <c r="H26">
        <f>Report!I45</f>
        <v>10</v>
      </c>
      <c r="I26">
        <f>IF(Report!J45,Report!J45,"")</f>
        <v>31.98</v>
      </c>
      <c r="J26">
        <f>IF(Report!K45,Report!K45,"")</f>
        <v>9.81</v>
      </c>
      <c r="K26" t="str">
        <f>IF(Report!L45,Report!L45,"")</f>
        <v/>
      </c>
      <c r="L26">
        <f>IF(Report!M45,Report!M45,"")</f>
        <v>2.99</v>
      </c>
      <c r="M26" s="183">
        <f>IF(Report!N45&gt;=0,Report!N45,"")</f>
        <v>0.33182807050810631</v>
      </c>
      <c r="N26" s="128">
        <f t="shared" si="0"/>
        <v>44407.402777777781</v>
      </c>
      <c r="O26" t="str">
        <f>TRIM("Hohm: "&amp;Report!$J$52&amp;" "&amp;Report!$J$53&amp;" "&amp;Report!$J$54&amp;" "&amp;Report!$J$55)</f>
        <v>Hohm: Clear, Clam, No wind, hot</v>
      </c>
      <c r="P26" t="str">
        <f>Report!$H$60</f>
        <v>Eureka Manta 2</v>
      </c>
    </row>
    <row r="27" spans="1:16" x14ac:dyDescent="0.2">
      <c r="A27" t="s">
        <v>69</v>
      </c>
      <c r="B27">
        <v>901</v>
      </c>
      <c r="C27">
        <v>2</v>
      </c>
      <c r="D27" t="s">
        <v>77</v>
      </c>
      <c r="E27" s="126">
        <f>Report!$B$2</f>
        <v>44407</v>
      </c>
      <c r="F27" s="127">
        <f>Report!$J$51</f>
        <v>0.40277777777777773</v>
      </c>
      <c r="G27" s="127" t="str">
        <f>Report!$K$51</f>
        <v>PDT</v>
      </c>
      <c r="H27">
        <f>Report!I46</f>
        <v>12</v>
      </c>
      <c r="I27">
        <f>IF(Report!J46,Report!J46,"")</f>
        <v>32.04</v>
      </c>
      <c r="J27">
        <f>IF(Report!K46,Report!K46,"")</f>
        <v>9.7200000000000006</v>
      </c>
      <c r="K27" t="str">
        <f>IF(Report!L46,Report!L46,"")</f>
        <v/>
      </c>
      <c r="L27">
        <f>IF(Report!M46,Report!M46,"")</f>
        <v>2.92</v>
      </c>
      <c r="M27" s="183">
        <f>IF(Report!N46&gt;=0,Report!N46,"")</f>
        <v>0.32351792132152762</v>
      </c>
      <c r="N27" s="128">
        <f t="shared" si="0"/>
        <v>44407.402777777781</v>
      </c>
      <c r="O27" t="str">
        <f>TRIM("Hohm: "&amp;Report!$J$52&amp;" "&amp;Report!$J$53&amp;" "&amp;Report!$J$54&amp;" "&amp;Report!$J$55)</f>
        <v>Hohm: Clear, Clam, No wind, hot</v>
      </c>
      <c r="P27" t="str">
        <f>Report!$H$60</f>
        <v>Eureka Manta 2</v>
      </c>
    </row>
    <row r="28" spans="1:16" x14ac:dyDescent="0.2">
      <c r="A28" t="s">
        <v>69</v>
      </c>
      <c r="B28">
        <v>901</v>
      </c>
      <c r="C28">
        <v>2</v>
      </c>
      <c r="D28" t="s">
        <v>77</v>
      </c>
      <c r="E28" s="126">
        <f>Report!$B$2</f>
        <v>44407</v>
      </c>
      <c r="F28" s="127">
        <f>Report!$J$51</f>
        <v>0.40277777777777773</v>
      </c>
      <c r="G28" s="127" t="str">
        <f>Report!$K$51</f>
        <v>PDT</v>
      </c>
      <c r="H28">
        <f>Report!I47</f>
        <v>15</v>
      </c>
      <c r="I28" t="str">
        <f>IF(Report!J47,Report!J47,"")</f>
        <v/>
      </c>
      <c r="J28" t="str">
        <f>IF(Report!K47,Report!K47,"")</f>
        <v/>
      </c>
      <c r="K28" t="str">
        <f>IF(Report!L47,Report!L47,"")</f>
        <v/>
      </c>
      <c r="L28" t="str">
        <f>IF(Report!M47,Report!M47,"")</f>
        <v/>
      </c>
      <c r="M28" s="183" t="str">
        <f>IF(Report!N47&gt;=0,Report!N47,"")</f>
        <v/>
      </c>
      <c r="N28" s="128">
        <f t="shared" si="0"/>
        <v>44407.402777777781</v>
      </c>
      <c r="O28" t="str">
        <f>TRIM("Hohm: "&amp;Report!$J$52&amp;" "&amp;Report!$J$53&amp;" "&amp;Report!$J$54&amp;" "&amp;Report!$J$55)</f>
        <v>Hohm: Clear, Clam, No wind, hot</v>
      </c>
      <c r="P28" t="str">
        <f>Report!$H$60</f>
        <v>Eureka Manta 2</v>
      </c>
    </row>
    <row r="29" spans="1:16" x14ac:dyDescent="0.2">
      <c r="A29" t="s">
        <v>69</v>
      </c>
      <c r="B29">
        <v>901</v>
      </c>
      <c r="C29">
        <v>2</v>
      </c>
      <c r="D29" t="s">
        <v>77</v>
      </c>
      <c r="E29" s="126">
        <f>Report!$B$2</f>
        <v>44407</v>
      </c>
      <c r="F29" s="127">
        <f>Report!$J$51</f>
        <v>0.40277777777777773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44407.402777777781</v>
      </c>
      <c r="O29" t="str">
        <f>TRIM("Hohm: "&amp;Report!$J$52&amp;" "&amp;Report!$J$53&amp;" "&amp;Report!$J$54&amp;" "&amp;Report!$J$55)</f>
        <v>Hohm: Clear, Clam, No wind, hot</v>
      </c>
      <c r="P29" t="str">
        <f>Report!$H$60</f>
        <v>Eureka Manta 2</v>
      </c>
    </row>
    <row r="30" spans="1:16" x14ac:dyDescent="0.2">
      <c r="A30" t="s">
        <v>69</v>
      </c>
      <c r="B30">
        <v>901</v>
      </c>
      <c r="C30">
        <v>2</v>
      </c>
      <c r="D30" t="s">
        <v>77</v>
      </c>
      <c r="E30" s="126">
        <f>Report!$B$2</f>
        <v>44407</v>
      </c>
      <c r="F30" s="127">
        <f>Report!$J$51</f>
        <v>0.40277777777777773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44407.402777777781</v>
      </c>
      <c r="O30" t="str">
        <f>TRIM("Hohm: "&amp;Report!$J$52&amp;" "&amp;Report!$J$53&amp;" "&amp;Report!$J$54&amp;" "&amp;Report!$J$55)</f>
        <v>Hohm: Clear, Clam, No wind, hot</v>
      </c>
      <c r="P30" t="str">
        <f>Report!$H$60</f>
        <v>Eureka Manta 2</v>
      </c>
    </row>
    <row r="31" spans="1:16" x14ac:dyDescent="0.2">
      <c r="A31" t="s">
        <v>69</v>
      </c>
      <c r="B31">
        <v>901</v>
      </c>
      <c r="C31">
        <v>4</v>
      </c>
      <c r="D31" t="s">
        <v>78</v>
      </c>
      <c r="E31" s="126">
        <f>Report!$B$2</f>
        <v>44407</v>
      </c>
      <c r="F31" s="127">
        <f>Report!$C$27</f>
        <v>0</v>
      </c>
      <c r="G31" s="127" t="str">
        <f>Report!$D$27</f>
        <v>PDT</v>
      </c>
      <c r="H31">
        <f>Report!I6</f>
        <v>0</v>
      </c>
      <c r="I31">
        <f>IF(Report!J6,Report!J6,"")</f>
        <v>5.35</v>
      </c>
      <c r="J31">
        <f>IF(Report!K6,Report!K6,"")</f>
        <v>23</v>
      </c>
      <c r="K31" t="str">
        <f>IF(Report!L6,Report!L6,"")</f>
        <v/>
      </c>
      <c r="L31">
        <f>IF(Report!M6,Report!M6,"")</f>
        <v>8.6999999999999993</v>
      </c>
      <c r="M31" s="183">
        <f>IF(Report!N6&gt;=0,Report!N6,"")</f>
        <v>1.0666796868642481</v>
      </c>
      <c r="N31" s="128">
        <f t="shared" si="0"/>
        <v>44407</v>
      </c>
      <c r="O31" t="str">
        <f>TRIM("Polly: "&amp;Report!$J$25&amp;" "&amp;Report!$J$26&amp;" "&amp;Report!$J$27&amp;" "&amp;Report!$J$28)</f>
        <v>Polly: Clear, Clam, No wind, hot</v>
      </c>
      <c r="P31" t="str">
        <f>Report!$H$60</f>
        <v>Eureka Manta 2</v>
      </c>
    </row>
    <row r="32" spans="1:16" x14ac:dyDescent="0.2">
      <c r="A32" t="s">
        <v>69</v>
      </c>
      <c r="B32">
        <v>901</v>
      </c>
      <c r="C32">
        <v>4</v>
      </c>
      <c r="D32" t="s">
        <v>78</v>
      </c>
      <c r="E32" s="126">
        <f>Report!$B$2</f>
        <v>44407</v>
      </c>
      <c r="F32" s="127">
        <f>Report!$C$27</f>
        <v>0</v>
      </c>
      <c r="G32" s="127" t="str">
        <f>Report!$D$27</f>
        <v>PDT</v>
      </c>
      <c r="H32">
        <f>Report!I7</f>
        <v>1</v>
      </c>
      <c r="I32">
        <f>IF(Report!J7,Report!J7,"")</f>
        <v>7.6</v>
      </c>
      <c r="J32">
        <f>IF(Report!K7,Report!K7,"")</f>
        <v>22.88</v>
      </c>
      <c r="K32" t="str">
        <f>IF(Report!L7,Report!L7,"")</f>
        <v/>
      </c>
      <c r="L32">
        <f>IF(Report!M7,Report!M7,"")</f>
        <v>8.74</v>
      </c>
      <c r="M32" s="183">
        <f>IF(Report!N7&gt;=0,Report!N7,"")</f>
        <v>8.5599999999999996E-2</v>
      </c>
      <c r="N32" s="128">
        <f t="shared" si="0"/>
        <v>44407</v>
      </c>
      <c r="O32" t="str">
        <f>TRIM("Polly: "&amp;Report!$J$25&amp;" "&amp;Report!$J$26&amp;" "&amp;Report!$J$27&amp;" "&amp;Report!$J$28)</f>
        <v>Polly: Clear, Clam, No wind, hot</v>
      </c>
      <c r="P32" t="str">
        <f>Report!$H$60</f>
        <v>Eureka Manta 2</v>
      </c>
    </row>
    <row r="33" spans="1:16" x14ac:dyDescent="0.2">
      <c r="A33" t="s">
        <v>69</v>
      </c>
      <c r="B33">
        <v>901</v>
      </c>
      <c r="C33">
        <v>4</v>
      </c>
      <c r="D33" t="s">
        <v>78</v>
      </c>
      <c r="E33" s="126">
        <f>Report!$B$2</f>
        <v>44407</v>
      </c>
      <c r="F33" s="127">
        <f>Report!$C$27</f>
        <v>0</v>
      </c>
      <c r="G33" s="127" t="str">
        <f>Report!$D$27</f>
        <v>PDT</v>
      </c>
      <c r="H33">
        <f>Report!I8</f>
        <v>2</v>
      </c>
      <c r="I33">
        <f>IF(Report!J8,Report!J8,"")</f>
        <v>11.04</v>
      </c>
      <c r="J33">
        <f>IF(Report!K8,Report!K8,"")</f>
        <v>21.65</v>
      </c>
      <c r="K33" t="str">
        <f>IF(Report!L8,Report!L8,"")</f>
        <v/>
      </c>
      <c r="L33">
        <f>IF(Report!M8,Report!M8,"")</f>
        <v>8.6999999999999993</v>
      </c>
      <c r="M33" s="183">
        <f>IF(Report!N8&gt;=0,Report!N8,"")</f>
        <v>1.07641381600201</v>
      </c>
      <c r="N33" s="128">
        <f t="shared" si="0"/>
        <v>44407</v>
      </c>
      <c r="O33" t="str">
        <f>TRIM("Polly: "&amp;Report!$J$25&amp;" "&amp;Report!$J$26&amp;" "&amp;Report!$J$27&amp;" "&amp;Report!$J$28)</f>
        <v>Polly: Clear, Clam, No wind, hot</v>
      </c>
      <c r="P33" t="str">
        <f>Report!$H$60</f>
        <v>Eureka Manta 2</v>
      </c>
    </row>
    <row r="34" spans="1:16" x14ac:dyDescent="0.2">
      <c r="A34" t="s">
        <v>69</v>
      </c>
      <c r="B34">
        <v>901</v>
      </c>
      <c r="C34">
        <v>4</v>
      </c>
      <c r="D34" t="s">
        <v>78</v>
      </c>
      <c r="E34" s="126">
        <f>Report!$B$2</f>
        <v>44407</v>
      </c>
      <c r="F34" s="127">
        <f>Report!$C$27</f>
        <v>0</v>
      </c>
      <c r="G34" s="127" t="str">
        <f>Report!$D$27</f>
        <v>PDT</v>
      </c>
      <c r="H34">
        <f>Report!I9</f>
        <v>3</v>
      </c>
      <c r="I34">
        <f>IF(Report!J9,Report!J9,"")</f>
        <v>12.62</v>
      </c>
      <c r="J34">
        <f>IF(Report!K9,Report!K9,"")</f>
        <v>20.399999999999999</v>
      </c>
      <c r="K34" t="str">
        <f>IF(Report!L9,Report!L9,"")</f>
        <v/>
      </c>
      <c r="L34">
        <f>IF(Report!M9,Report!M9,"")</f>
        <v>8.33</v>
      </c>
      <c r="M34" s="183">
        <f>IF(Report!N9&gt;=0,Report!N9,"")</f>
        <v>1.0168268196404993</v>
      </c>
      <c r="N34" s="128">
        <f t="shared" si="0"/>
        <v>44407</v>
      </c>
      <c r="O34" t="str">
        <f>TRIM("Polly: "&amp;Report!$J$25&amp;" "&amp;Report!$J$26&amp;" "&amp;Report!$J$27&amp;" "&amp;Report!$J$28)</f>
        <v>Polly: Clear, Clam, No wind, hot</v>
      </c>
      <c r="P34" t="str">
        <f>Report!$H$60</f>
        <v>Eureka Manta 2</v>
      </c>
    </row>
    <row r="35" spans="1:16" x14ac:dyDescent="0.2">
      <c r="A35" t="s">
        <v>69</v>
      </c>
      <c r="B35">
        <v>901</v>
      </c>
      <c r="C35">
        <v>4</v>
      </c>
      <c r="D35" t="s">
        <v>78</v>
      </c>
      <c r="E35" s="126">
        <f>Report!$B$2</f>
        <v>44407</v>
      </c>
      <c r="F35" s="127">
        <f>Report!$C$27</f>
        <v>0</v>
      </c>
      <c r="G35" s="127" t="str">
        <f>Report!$D$27</f>
        <v>PDT</v>
      </c>
      <c r="H35">
        <f>Report!I10</f>
        <v>4</v>
      </c>
      <c r="I35">
        <f>IF(Report!J10,Report!J10,"")</f>
        <v>30.07</v>
      </c>
      <c r="J35">
        <f>IF(Report!K10,Report!K10,"")</f>
        <v>11.98</v>
      </c>
      <c r="K35" t="str">
        <f>IF(Report!L10,Report!L10,"")</f>
        <v/>
      </c>
      <c r="L35">
        <f>IF(Report!M10,Report!M10,"")</f>
        <v>6.26</v>
      </c>
      <c r="M35" s="183">
        <f>IF(Report!N10&gt;=0,Report!N10,"")</f>
        <v>0.72019822192203931</v>
      </c>
      <c r="N35" s="128">
        <f t="shared" si="0"/>
        <v>44407</v>
      </c>
      <c r="O35" t="str">
        <f>TRIM("Polly: "&amp;Report!$J$25&amp;" "&amp;Report!$J$26&amp;" "&amp;Report!$J$27&amp;" "&amp;Report!$J$28)</f>
        <v>Polly: Clear, Clam, No wind, hot</v>
      </c>
      <c r="P35" t="str">
        <f>Report!$H$60</f>
        <v>Eureka Manta 2</v>
      </c>
    </row>
    <row r="36" spans="1:16" x14ac:dyDescent="0.2">
      <c r="A36" t="s">
        <v>69</v>
      </c>
      <c r="B36">
        <v>901</v>
      </c>
      <c r="C36">
        <v>4</v>
      </c>
      <c r="D36" t="s">
        <v>78</v>
      </c>
      <c r="E36" s="126">
        <f>Report!$B$2</f>
        <v>44407</v>
      </c>
      <c r="F36" s="127">
        <f>Report!$C$27</f>
        <v>0</v>
      </c>
      <c r="G36" s="127" t="str">
        <f>Report!$D$27</f>
        <v>PDT</v>
      </c>
      <c r="H36">
        <f>Report!I11</f>
        <v>5</v>
      </c>
      <c r="I36">
        <f>IF(Report!J11,Report!J11,"")</f>
        <v>29.92</v>
      </c>
      <c r="J36">
        <f>IF(Report!K11,Report!K11,"")</f>
        <v>11.92</v>
      </c>
      <c r="K36" t="str">
        <f>IF(Report!L11,Report!L11,"")</f>
        <v/>
      </c>
      <c r="L36">
        <f>IF(Report!M11,Report!M11,"")</f>
        <v>5.33</v>
      </c>
      <c r="M36" s="183">
        <f>IF(Report!N11&gt;=0,Report!N11,"")</f>
        <v>0.61177977923338189</v>
      </c>
      <c r="N36" s="128">
        <f t="shared" si="0"/>
        <v>44407</v>
      </c>
      <c r="O36" t="str">
        <f>TRIM("Polly: "&amp;Report!$J$25&amp;" "&amp;Report!$J$26&amp;" "&amp;Report!$J$27&amp;" "&amp;Report!$J$28)</f>
        <v>Polly: Clear, Clam, No wind, hot</v>
      </c>
      <c r="P36" t="str">
        <f>Report!$H$60</f>
        <v>Eureka Manta 2</v>
      </c>
    </row>
    <row r="37" spans="1:16" x14ac:dyDescent="0.2">
      <c r="A37" t="s">
        <v>69</v>
      </c>
      <c r="B37">
        <v>901</v>
      </c>
      <c r="C37">
        <v>4</v>
      </c>
      <c r="D37" t="s">
        <v>78</v>
      </c>
      <c r="E37" s="126">
        <f>Report!$B$2</f>
        <v>44407</v>
      </c>
      <c r="F37" s="127">
        <f>Report!$C$27</f>
        <v>0</v>
      </c>
      <c r="G37" s="127" t="str">
        <f>Report!$D$27</f>
        <v>PDT</v>
      </c>
      <c r="H37">
        <f>Report!I12</f>
        <v>6</v>
      </c>
      <c r="I37">
        <f>IF(Report!J12,Report!J12,"")</f>
        <v>31.27</v>
      </c>
      <c r="J37">
        <f>IF(Report!K12,Report!K12,"")</f>
        <v>11.06</v>
      </c>
      <c r="K37" t="str">
        <f>IF(Report!L12,Report!L12,"")</f>
        <v/>
      </c>
      <c r="L37">
        <f>IF(Report!M12,Report!M12,"")</f>
        <v>4.41</v>
      </c>
      <c r="M37" s="183">
        <f>IF(Report!N12&gt;=0,Report!N12,"")</f>
        <v>0.50112805682744055</v>
      </c>
      <c r="N37" s="128">
        <f t="shared" si="0"/>
        <v>44407</v>
      </c>
      <c r="O37" t="str">
        <f>TRIM("Polly: "&amp;Report!$J$25&amp;" "&amp;Report!$J$26&amp;" "&amp;Report!$J$27&amp;" "&amp;Report!$J$28)</f>
        <v>Polly: Clear, Clam, No wind, hot</v>
      </c>
      <c r="P37" t="str">
        <f>Report!$H$60</f>
        <v>Eureka Manta 2</v>
      </c>
    </row>
    <row r="38" spans="1:16" x14ac:dyDescent="0.2">
      <c r="A38" t="s">
        <v>69</v>
      </c>
      <c r="B38">
        <v>901</v>
      </c>
      <c r="C38">
        <v>4</v>
      </c>
      <c r="D38" t="s">
        <v>78</v>
      </c>
      <c r="E38" s="126">
        <f>Report!$B$2</f>
        <v>44407</v>
      </c>
      <c r="F38" s="127">
        <f>Report!$C$27</f>
        <v>0</v>
      </c>
      <c r="G38" s="127" t="str">
        <f>Report!$D$27</f>
        <v>PDT</v>
      </c>
      <c r="H38">
        <f>Report!I13</f>
        <v>7</v>
      </c>
      <c r="I38">
        <f>IF(Report!J13,Report!J13,"")</f>
        <v>31.69</v>
      </c>
      <c r="J38">
        <f>IF(Report!K13,Report!K13,"")</f>
        <v>10.39</v>
      </c>
      <c r="K38" t="str">
        <f>IF(Report!L13,Report!L13,"")</f>
        <v/>
      </c>
      <c r="L38">
        <f>IF(Report!M13,Report!M13,"")</f>
        <v>4.3</v>
      </c>
      <c r="M38" s="183">
        <f>IF(Report!N13&gt;=0,Report!N13,"")</f>
        <v>0.48265120971608977</v>
      </c>
      <c r="N38" s="128">
        <f t="shared" si="0"/>
        <v>44407</v>
      </c>
      <c r="O38" t="str">
        <f>TRIM("Polly: "&amp;Report!$J$25&amp;" "&amp;Report!$J$26&amp;" "&amp;Report!$J$27&amp;" "&amp;Report!$J$28)</f>
        <v>Polly: Clear, Clam, No wind, hot</v>
      </c>
      <c r="P38" t="str">
        <f>Report!$H$60</f>
        <v>Eureka Manta 2</v>
      </c>
    </row>
    <row r="39" spans="1:16" x14ac:dyDescent="0.2">
      <c r="A39" t="s">
        <v>69</v>
      </c>
      <c r="B39">
        <v>901</v>
      </c>
      <c r="C39">
        <v>4</v>
      </c>
      <c r="D39" t="s">
        <v>78</v>
      </c>
      <c r="E39" s="126">
        <f>Report!$B$2</f>
        <v>44407</v>
      </c>
      <c r="F39" s="127">
        <f>Report!$C$27</f>
        <v>0</v>
      </c>
      <c r="G39" s="127" t="str">
        <f>Report!$D$27</f>
        <v>PDT</v>
      </c>
      <c r="H39">
        <f>Report!I14</f>
        <v>8</v>
      </c>
      <c r="I39">
        <f>IF(Report!J14,Report!J14,"")</f>
        <v>31.79</v>
      </c>
      <c r="J39">
        <f>IF(Report!K14,Report!K14,"")</f>
        <v>10.27</v>
      </c>
      <c r="K39" t="str">
        <f>IF(Report!L14,Report!L14,"")</f>
        <v/>
      </c>
      <c r="L39">
        <f>IF(Report!M14,Report!M14,"")</f>
        <v>4.07</v>
      </c>
      <c r="M39" s="183">
        <f>IF(Report!N14&gt;=0,Report!N14,"")</f>
        <v>0.4558949115369802</v>
      </c>
      <c r="N39" s="128">
        <f t="shared" si="0"/>
        <v>44407</v>
      </c>
      <c r="O39" t="str">
        <f>TRIM("Polly: "&amp;Report!$J$25&amp;" "&amp;Report!$J$26&amp;" "&amp;Report!$J$27&amp;" "&amp;Report!$J$28)</f>
        <v>Polly: Clear, Clam, No wind, hot</v>
      </c>
      <c r="P39" t="str">
        <f>Report!$H$60</f>
        <v>Eureka Manta 2</v>
      </c>
    </row>
    <row r="40" spans="1:16" x14ac:dyDescent="0.2">
      <c r="A40" t="s">
        <v>69</v>
      </c>
      <c r="B40">
        <v>901</v>
      </c>
      <c r="C40">
        <v>4</v>
      </c>
      <c r="D40" t="s">
        <v>78</v>
      </c>
      <c r="E40" s="126">
        <f>Report!$B$2</f>
        <v>44407</v>
      </c>
      <c r="F40" s="127">
        <f>Report!$C$27</f>
        <v>0</v>
      </c>
      <c r="G40" s="127" t="str">
        <f>Report!$D$27</f>
        <v>PDT</v>
      </c>
      <c r="H40">
        <f>Report!I15</f>
        <v>9</v>
      </c>
      <c r="I40">
        <f>IF(Report!J15,Report!J15,"")</f>
        <v>31.88</v>
      </c>
      <c r="J40">
        <f>IF(Report!K15,Report!K15,"")</f>
        <v>10.07</v>
      </c>
      <c r="K40" t="str">
        <f>IF(Report!L15,Report!L15,"")</f>
        <v/>
      </c>
      <c r="L40">
        <f>IF(Report!M15,Report!M15,"")</f>
        <v>3.79</v>
      </c>
      <c r="M40" s="183">
        <f>IF(Report!N15&gt;=0,Report!N15,"")</f>
        <v>0.42284939490625273</v>
      </c>
      <c r="N40" s="128">
        <f t="shared" si="0"/>
        <v>44407</v>
      </c>
      <c r="O40" t="str">
        <f>TRIM("Polly: "&amp;Report!$J$25&amp;" "&amp;Report!$J$26&amp;" "&amp;Report!$J$27&amp;" "&amp;Report!$J$28)</f>
        <v>Polly: Clear, Clam, No wind, hot</v>
      </c>
      <c r="P40" t="str">
        <f>Report!$H$60</f>
        <v>Eureka Manta 2</v>
      </c>
    </row>
    <row r="41" spans="1:16" x14ac:dyDescent="0.2">
      <c r="A41" t="s">
        <v>69</v>
      </c>
      <c r="B41">
        <v>901</v>
      </c>
      <c r="C41">
        <v>4</v>
      </c>
      <c r="D41" t="s">
        <v>78</v>
      </c>
      <c r="E41" s="126">
        <f>Report!$B$2</f>
        <v>44407</v>
      </c>
      <c r="F41" s="127">
        <f>Report!$C$27</f>
        <v>0</v>
      </c>
      <c r="G41" s="127" t="str">
        <f>Report!$D$27</f>
        <v>PDT</v>
      </c>
      <c r="H41">
        <f>Report!I16</f>
        <v>10</v>
      </c>
      <c r="I41">
        <f>IF(Report!J16,Report!J16,"")</f>
        <v>31.93</v>
      </c>
      <c r="J41">
        <f>IF(Report!K16,Report!K16,"")</f>
        <v>9.91</v>
      </c>
      <c r="K41" t="str">
        <f>IF(Report!L16,Report!L16,"")</f>
        <v/>
      </c>
      <c r="L41">
        <f>IF(Report!M16,Report!M16,"")</f>
        <v>3.04</v>
      </c>
      <c r="M41" s="183">
        <f>IF(Report!N16&gt;=0,Report!N16,"")</f>
        <v>0.33804124384742773</v>
      </c>
      <c r="N41" s="128">
        <f t="shared" si="0"/>
        <v>44407</v>
      </c>
      <c r="O41" t="str">
        <f>TRIM("Polly: "&amp;Report!$J$25&amp;" "&amp;Report!$J$26&amp;" "&amp;Report!$J$27&amp;" "&amp;Report!$J$28)</f>
        <v>Polly: Clear, Clam, No wind, hot</v>
      </c>
      <c r="P41" t="str">
        <f>Report!$H$60</f>
        <v>Eureka Manta 2</v>
      </c>
    </row>
    <row r="42" spans="1:16" x14ac:dyDescent="0.2">
      <c r="A42" t="s">
        <v>69</v>
      </c>
      <c r="B42">
        <v>901</v>
      </c>
      <c r="C42">
        <v>4</v>
      </c>
      <c r="D42" t="s">
        <v>78</v>
      </c>
      <c r="E42" s="126">
        <f>Report!$B$2</f>
        <v>44407</v>
      </c>
      <c r="F42" s="127">
        <f>Report!$C$27</f>
        <v>0</v>
      </c>
      <c r="G42" s="127" t="str">
        <f>Report!$D$27</f>
        <v>PDT</v>
      </c>
      <c r="H42">
        <f>Report!I17</f>
        <v>12</v>
      </c>
      <c r="I42">
        <f>IF(Report!J17,Report!J17,"")</f>
        <v>32.08</v>
      </c>
      <c r="J42">
        <f>IF(Report!K17,Report!K17,"")</f>
        <v>9.69</v>
      </c>
      <c r="K42" t="str">
        <f>IF(Report!L17,Report!L17,"")</f>
        <v/>
      </c>
      <c r="L42">
        <f>IF(Report!M17,Report!M17,"")</f>
        <v>2.93</v>
      </c>
      <c r="M42" s="183">
        <f>IF(Report!N17&gt;=0,Report!N17,"")</f>
        <v>0.32448870221647846</v>
      </c>
      <c r="N42" s="128">
        <f t="shared" si="0"/>
        <v>44407</v>
      </c>
      <c r="O42" t="str">
        <f>TRIM("Polly: "&amp;Report!$J$25&amp;" "&amp;Report!$J$26&amp;" "&amp;Report!$J$27&amp;" "&amp;Report!$J$28)</f>
        <v>Polly: Clear, Clam, No wind, hot</v>
      </c>
      <c r="P42" t="str">
        <f>Report!$H$60</f>
        <v>Eureka Manta 2</v>
      </c>
    </row>
    <row r="43" spans="1:16" x14ac:dyDescent="0.2">
      <c r="A43" t="s">
        <v>69</v>
      </c>
      <c r="B43">
        <v>901</v>
      </c>
      <c r="C43">
        <v>4</v>
      </c>
      <c r="D43" t="s">
        <v>78</v>
      </c>
      <c r="E43" s="126">
        <f>Report!$B$2</f>
        <v>44407</v>
      </c>
      <c r="F43" s="127">
        <f>Report!$C$27</f>
        <v>0</v>
      </c>
      <c r="G43" s="127" t="str">
        <f>Report!$D$27</f>
        <v>PDT</v>
      </c>
      <c r="H43">
        <f>Report!I18</f>
        <v>15</v>
      </c>
      <c r="I43">
        <f>IF(Report!J18,Report!J18,"")</f>
        <v>32.15</v>
      </c>
      <c r="J43">
        <f>IF(Report!K18,Report!K18,"")</f>
        <v>9.52</v>
      </c>
      <c r="K43" t="str">
        <f>IF(Report!L18,Report!L18,"")</f>
        <v/>
      </c>
      <c r="L43">
        <f>IF(Report!M18,Report!M18,"")</f>
        <v>2.91</v>
      </c>
      <c r="M43" s="183">
        <f>IF(Report!N18&gt;=0,Report!N18,"")</f>
        <v>0.32115802233182189</v>
      </c>
      <c r="N43" s="128">
        <f t="shared" si="0"/>
        <v>44407</v>
      </c>
      <c r="O43" t="str">
        <f>TRIM("Polly: "&amp;Report!$J$25&amp;" "&amp;Report!$J$26&amp;" "&amp;Report!$J$27&amp;" "&amp;Report!$J$28)</f>
        <v>Polly: Clear, Clam, No wind, hot</v>
      </c>
      <c r="P43" t="str">
        <f>Report!$H$60</f>
        <v>Eureka Manta 2</v>
      </c>
    </row>
    <row r="44" spans="1:16" x14ac:dyDescent="0.2">
      <c r="A44" t="s">
        <v>69</v>
      </c>
      <c r="B44">
        <v>901</v>
      </c>
      <c r="C44">
        <v>4</v>
      </c>
      <c r="D44" t="s">
        <v>78</v>
      </c>
      <c r="E44" s="126">
        <f>Report!$B$2</f>
        <v>44407</v>
      </c>
      <c r="F44" s="127">
        <f>Report!$C$27</f>
        <v>0</v>
      </c>
      <c r="G44" s="127" t="str">
        <f>Report!$D$27</f>
        <v>PDT</v>
      </c>
      <c r="H44">
        <f>Report!I19</f>
        <v>20</v>
      </c>
      <c r="I44">
        <f>IF(Report!J19,Report!J19,"")</f>
        <v>32.18</v>
      </c>
      <c r="J44">
        <f>IF(Report!K19,Report!K19,"")</f>
        <v>9.39</v>
      </c>
      <c r="K44" t="str">
        <f>IF(Report!L19,Report!L19,"")</f>
        <v/>
      </c>
      <c r="L44">
        <f>IF(Report!M19,Report!M19,"")</f>
        <v>2.75</v>
      </c>
      <c r="M44" s="183">
        <f>IF(Report!N19&gt;=0,Report!N19,"")</f>
        <v>0.30264444233468385</v>
      </c>
      <c r="N44" s="128">
        <f t="shared" si="0"/>
        <v>44407</v>
      </c>
      <c r="O44" t="str">
        <f>TRIM("Polly: "&amp;Report!$J$25&amp;" "&amp;Report!$J$26&amp;" "&amp;Report!$J$27&amp;" "&amp;Report!$J$28)</f>
        <v>Polly: Clear, Clam, No wind, hot</v>
      </c>
      <c r="P44" t="str">
        <f>Report!$H$60</f>
        <v>Eureka Manta 2</v>
      </c>
    </row>
    <row r="45" spans="1:16" x14ac:dyDescent="0.2">
      <c r="A45" t="s">
        <v>69</v>
      </c>
      <c r="B45">
        <v>901</v>
      </c>
      <c r="C45">
        <v>4</v>
      </c>
      <c r="D45" t="s">
        <v>78</v>
      </c>
      <c r="E45" s="126">
        <f>Report!$B$2</f>
        <v>44407</v>
      </c>
      <c r="F45" s="127">
        <f>Report!$C$27</f>
        <v>0</v>
      </c>
      <c r="G45" s="127" t="str">
        <f>Report!$D$27</f>
        <v>PDT</v>
      </c>
      <c r="H45">
        <f>Report!I20</f>
        <v>25</v>
      </c>
      <c r="I45">
        <f>IF(Report!J20,Report!J20,"")</f>
        <v>32.340000000000003</v>
      </c>
      <c r="J45">
        <f>IF(Report!K20,Report!K20,"")</f>
        <v>9.2100000000000009</v>
      </c>
      <c r="K45" t="str">
        <f>IF(Report!L20,Report!L20,"")</f>
        <v/>
      </c>
      <c r="L45">
        <f>IF(Report!M20,Report!M20,"")</f>
        <v>2.4</v>
      </c>
      <c r="M45" s="183">
        <f>IF(Report!N20&gt;=0,Report!N20,"")</f>
        <v>0.26330404136666163</v>
      </c>
      <c r="N45" s="128">
        <f t="shared" si="0"/>
        <v>44407</v>
      </c>
      <c r="O45" t="str">
        <f>TRIM("Polly: "&amp;Report!$J$25&amp;" "&amp;Report!$J$26&amp;" "&amp;Report!$J$27&amp;" "&amp;Report!$J$28)</f>
        <v>Polly: Clear, Clam, No wind, hot</v>
      </c>
      <c r="P45" t="str">
        <f>Report!$H$60</f>
        <v>Eureka Manta 2</v>
      </c>
    </row>
    <row r="46" spans="1:16" x14ac:dyDescent="0.2">
      <c r="A46" t="s">
        <v>69</v>
      </c>
      <c r="B46">
        <v>901</v>
      </c>
      <c r="C46">
        <v>4</v>
      </c>
      <c r="D46" t="s">
        <v>78</v>
      </c>
      <c r="E46" s="126">
        <f>Report!$B$2</f>
        <v>44407</v>
      </c>
      <c r="F46" s="127">
        <f>Report!$C$27</f>
        <v>0</v>
      </c>
      <c r="G46" s="127" t="str">
        <f>Report!$D$27</f>
        <v>PDT</v>
      </c>
      <c r="H46">
        <f>Report!I21</f>
        <v>30</v>
      </c>
      <c r="I46">
        <f>IF(Report!J21,Report!J21,"")</f>
        <v>32.39</v>
      </c>
      <c r="J46">
        <f>IF(Report!K21,Report!K21,"")</f>
        <v>9.1</v>
      </c>
      <c r="K46" t="str">
        <f>IF(Report!L21,Report!L21,"")</f>
        <v/>
      </c>
      <c r="L46">
        <f>IF(Report!M21,Report!M21,"")</f>
        <v>1.7</v>
      </c>
      <c r="M46" s="183">
        <f>IF(Report!N21&gt;=0,Report!N21,"")</f>
        <v>0.18609001545610943</v>
      </c>
      <c r="N46" s="128">
        <f t="shared" si="0"/>
        <v>44407</v>
      </c>
      <c r="O46" t="str">
        <f>TRIM("Polly: "&amp;Report!$J$25&amp;" "&amp;Report!$J$26&amp;" "&amp;Report!$J$27&amp;" "&amp;Report!$J$28)</f>
        <v>Polly: Clear, Clam, No wind, hot</v>
      </c>
      <c r="P46" t="str">
        <f>Report!$H$60</f>
        <v>Eureka Manta 2</v>
      </c>
    </row>
    <row r="47" spans="1:16" x14ac:dyDescent="0.2">
      <c r="A47" t="s">
        <v>69</v>
      </c>
      <c r="B47">
        <v>901</v>
      </c>
      <c r="C47">
        <v>4</v>
      </c>
      <c r="D47" t="s">
        <v>78</v>
      </c>
      <c r="E47" s="126">
        <f>Report!$B$2</f>
        <v>44407</v>
      </c>
      <c r="F47" s="127">
        <f>Report!$C$27</f>
        <v>0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44407</v>
      </c>
      <c r="O47" t="str">
        <f>TRIM("Polly: "&amp;Report!$J$25&amp;" "&amp;Report!$J$26&amp;" "&amp;Report!$J$27&amp;" "&amp;Report!$J$28)</f>
        <v>Polly: Clear, Clam, No wind, hot</v>
      </c>
      <c r="P47" t="str">
        <f>Report!$H$60</f>
        <v>Eureka Manta 2</v>
      </c>
    </row>
    <row r="48" spans="1:16" x14ac:dyDescent="0.2">
      <c r="A48" t="s">
        <v>69</v>
      </c>
      <c r="B48">
        <v>901</v>
      </c>
      <c r="C48">
        <v>5</v>
      </c>
      <c r="D48" t="s">
        <v>79</v>
      </c>
      <c r="E48" s="126">
        <f>Report!$B$2</f>
        <v>44407</v>
      </c>
      <c r="F48" s="127">
        <f>Report!$J$24</f>
        <v>0.38541666666666669</v>
      </c>
      <c r="G48" s="127" t="str">
        <f>Report!$K$24</f>
        <v>PDT</v>
      </c>
      <c r="H48">
        <f>Report!B6</f>
        <v>0</v>
      </c>
      <c r="I48">
        <f>IF(Report!C6,Report!C6,"")</f>
        <v>7.57</v>
      </c>
      <c r="J48">
        <f>IF(Report!D6,Report!D6,"")</f>
        <v>21.86</v>
      </c>
      <c r="K48" t="str">
        <f>IF(Report!E6,Report!E6,"")</f>
        <v/>
      </c>
      <c r="L48">
        <f>IF(Report!F6,Report!F6,"")</f>
        <v>8.2899999999999991</v>
      </c>
      <c r="M48" s="183">
        <f>IF(Report!G6&gt;=0,Report!G6,"")</f>
        <v>1.0087811676058023</v>
      </c>
      <c r="N48" s="128">
        <f t="shared" si="0"/>
        <v>44407.385416666664</v>
      </c>
      <c r="O48" t="str">
        <f>TRIM("5KM: "&amp;Report!$C$28&amp;" "&amp;Report!$C$29&amp;" "&amp;Report!$C$30&amp;" "&amp;Report!$C$31)</f>
        <v>5KM: Clear, Clam, No wind, hot Ashley Using charter boat (Greg Pilgrim)</v>
      </c>
      <c r="P48" t="str">
        <f>Report!$H$60</f>
        <v>Eureka Manta 2</v>
      </c>
    </row>
    <row r="49" spans="1:16" x14ac:dyDescent="0.2">
      <c r="A49" t="s">
        <v>69</v>
      </c>
      <c r="B49">
        <v>901</v>
      </c>
      <c r="C49">
        <v>5</v>
      </c>
      <c r="D49" t="s">
        <v>79</v>
      </c>
      <c r="E49" s="126">
        <f>Report!$B$2</f>
        <v>44407</v>
      </c>
      <c r="F49" s="127">
        <f>Report!$J$24</f>
        <v>0.38541666666666669</v>
      </c>
      <c r="G49" s="127" t="str">
        <f>Report!$K$24</f>
        <v>PDT</v>
      </c>
      <c r="H49">
        <f>Report!B7</f>
        <v>1</v>
      </c>
      <c r="I49">
        <f>IF(Report!C7,Report!C7,"")</f>
        <v>7.68</v>
      </c>
      <c r="J49">
        <f>IF(Report!D7,Report!D7,"")</f>
        <v>21.92</v>
      </c>
      <c r="K49" t="str">
        <f>IF(Report!E7,Report!E7,"")</f>
        <v/>
      </c>
      <c r="L49">
        <f>IF(Report!F7,Report!F7,"")</f>
        <v>8.34</v>
      </c>
      <c r="M49" s="183">
        <f>IF(Report!G7&gt;=0,Report!G7,"")</f>
        <v>1.0166168112473826</v>
      </c>
      <c r="N49" s="128">
        <f t="shared" si="0"/>
        <v>44407.385416666664</v>
      </c>
      <c r="O49" t="str">
        <f>TRIM("5KM: "&amp;Report!$C$28&amp;" "&amp;Report!$C$29&amp;" "&amp;Report!$C$30&amp;" "&amp;Report!$C$31)</f>
        <v>5KM: Clear, Clam, No wind, hot Ashley Using charter boat (Greg Pilgrim)</v>
      </c>
      <c r="P49" t="str">
        <f>Report!$H$60</f>
        <v>Eureka Manta 2</v>
      </c>
    </row>
    <row r="50" spans="1:16" x14ac:dyDescent="0.2">
      <c r="A50" t="s">
        <v>69</v>
      </c>
      <c r="B50">
        <v>901</v>
      </c>
      <c r="C50">
        <v>5</v>
      </c>
      <c r="D50" t="s">
        <v>79</v>
      </c>
      <c r="E50" s="126">
        <f>Report!$B$2</f>
        <v>44407</v>
      </c>
      <c r="F50" s="127">
        <f>Report!$J$24</f>
        <v>0.38541666666666669</v>
      </c>
      <c r="G50" s="127" t="str">
        <f>Report!$K$24</f>
        <v>PDT</v>
      </c>
      <c r="H50">
        <f>Report!B8</f>
        <v>2</v>
      </c>
      <c r="I50">
        <f>IF(Report!C8,Report!C8,"")</f>
        <v>11.39</v>
      </c>
      <c r="J50">
        <f>IF(Report!D8,Report!D8,"")</f>
        <v>20.99</v>
      </c>
      <c r="K50" t="str">
        <f>IF(Report!E8,Report!E8,"")</f>
        <v/>
      </c>
      <c r="L50">
        <f>IF(Report!F8,Report!F8,"")</f>
        <v>8.1300000000000008</v>
      </c>
      <c r="M50" s="183">
        <f>IF(Report!G8&gt;=0,Report!G8,"")</f>
        <v>0.99592461160950629</v>
      </c>
      <c r="N50" s="128">
        <f t="shared" si="0"/>
        <v>44407.385416666664</v>
      </c>
      <c r="O50" t="str">
        <f>TRIM("5KM: "&amp;Report!$C$28&amp;" "&amp;Report!$C$29&amp;" "&amp;Report!$C$30&amp;" "&amp;Report!$C$31)</f>
        <v>5KM: Clear, Clam, No wind, hot Ashley Using charter boat (Greg Pilgrim)</v>
      </c>
      <c r="P50" t="str">
        <f>Report!$H$60</f>
        <v>Eureka Manta 2</v>
      </c>
    </row>
    <row r="51" spans="1:16" x14ac:dyDescent="0.2">
      <c r="A51" t="s">
        <v>69</v>
      </c>
      <c r="B51">
        <v>901</v>
      </c>
      <c r="C51">
        <v>5</v>
      </c>
      <c r="D51" t="s">
        <v>79</v>
      </c>
      <c r="E51" s="126">
        <f>Report!$B$2</f>
        <v>44407</v>
      </c>
      <c r="F51" s="127">
        <f>Report!$J$24</f>
        <v>0.38541666666666669</v>
      </c>
      <c r="G51" s="127" t="str">
        <f>Report!$K$24</f>
        <v>PDT</v>
      </c>
      <c r="H51">
        <f>Report!B9</f>
        <v>3</v>
      </c>
      <c r="I51">
        <f>IF(Report!C9,Report!C9,"")</f>
        <v>12.52</v>
      </c>
      <c r="J51">
        <f>IF(Report!D9,Report!D9,"")</f>
        <v>20.6</v>
      </c>
      <c r="K51" t="str">
        <f>IF(Report!E9,Report!E9,"")</f>
        <v/>
      </c>
      <c r="L51">
        <f>IF(Report!F9,Report!F9,"")</f>
        <v>8.0299999999999994</v>
      </c>
      <c r="M51" s="183">
        <f>IF(Report!G9&gt;=0,Report!G9,"")</f>
        <v>0.98325343690445477</v>
      </c>
      <c r="N51" s="128">
        <f t="shared" si="0"/>
        <v>44407.385416666664</v>
      </c>
      <c r="O51" t="str">
        <f>TRIM("5KM: "&amp;Report!$C$28&amp;" "&amp;Report!$C$29&amp;" "&amp;Report!$C$30&amp;" "&amp;Report!$C$31)</f>
        <v>5KM: Clear, Clam, No wind, hot Ashley Using charter boat (Greg Pilgrim)</v>
      </c>
      <c r="P51" t="str">
        <f>Report!$H$60</f>
        <v>Eureka Manta 2</v>
      </c>
    </row>
    <row r="52" spans="1:16" x14ac:dyDescent="0.2">
      <c r="A52" t="s">
        <v>69</v>
      </c>
      <c r="B52">
        <v>901</v>
      </c>
      <c r="C52">
        <v>5</v>
      </c>
      <c r="D52" t="s">
        <v>79</v>
      </c>
      <c r="E52" s="126">
        <f>Report!$B$2</f>
        <v>44407</v>
      </c>
      <c r="F52" s="127">
        <f>Report!$J$24</f>
        <v>0.38541666666666669</v>
      </c>
      <c r="G52" s="127" t="str">
        <f>Report!$K$24</f>
        <v>PDT</v>
      </c>
      <c r="H52">
        <f>Report!B10</f>
        <v>4</v>
      </c>
      <c r="I52">
        <f>IF(Report!C10,Report!C10,"")</f>
        <v>20.29</v>
      </c>
      <c r="J52">
        <f>IF(Report!D10,Report!D10,"")</f>
        <v>16.72</v>
      </c>
      <c r="K52" t="str">
        <f>IF(Report!E10,Report!E10,"")</f>
        <v/>
      </c>
      <c r="L52">
        <f>IF(Report!F10,Report!F10,"")</f>
        <v>7.26</v>
      </c>
      <c r="M52" s="183">
        <f>IF(Report!G10&gt;=0,Report!G10,"")</f>
        <v>0.86555065326311065</v>
      </c>
      <c r="N52" s="128">
        <f t="shared" si="0"/>
        <v>44407.385416666664</v>
      </c>
      <c r="O52" t="str">
        <f>TRIM("5KM: "&amp;Report!$C$28&amp;" "&amp;Report!$C$29&amp;" "&amp;Report!$C$30&amp;" "&amp;Report!$C$31)</f>
        <v>5KM: Clear, Clam, No wind, hot Ashley Using charter boat (Greg Pilgrim)</v>
      </c>
      <c r="P52" t="str">
        <f>Report!$H$60</f>
        <v>Eureka Manta 2</v>
      </c>
    </row>
    <row r="53" spans="1:16" x14ac:dyDescent="0.2">
      <c r="A53" t="s">
        <v>69</v>
      </c>
      <c r="B53">
        <v>901</v>
      </c>
      <c r="C53">
        <v>5</v>
      </c>
      <c r="D53" t="s">
        <v>79</v>
      </c>
      <c r="E53" s="126">
        <f>Report!$B$2</f>
        <v>44407</v>
      </c>
      <c r="F53" s="127">
        <f>Report!$J$24</f>
        <v>0.38541666666666669</v>
      </c>
      <c r="G53" s="127" t="str">
        <f>Report!$K$24</f>
        <v>PDT</v>
      </c>
      <c r="H53">
        <f>Report!B11</f>
        <v>5</v>
      </c>
      <c r="I53">
        <f>IF(Report!C11,Report!C11,"")</f>
        <v>20.94</v>
      </c>
      <c r="J53">
        <f>IF(Report!D11,Report!D11,"")</f>
        <v>16.61</v>
      </c>
      <c r="K53" t="str">
        <f>IF(Report!E11,Report!E11,"")</f>
        <v/>
      </c>
      <c r="L53">
        <f>IF(Report!F11,Report!F11,"")</f>
        <v>6.98</v>
      </c>
      <c r="M53" s="183">
        <f>IF(Report!G11&gt;=0,Report!G11,"")</f>
        <v>0.83375517569348934</v>
      </c>
      <c r="N53" s="128">
        <f t="shared" si="0"/>
        <v>44407.385416666664</v>
      </c>
      <c r="O53" t="str">
        <f>TRIM("5KM: "&amp;Report!$C$28&amp;" "&amp;Report!$C$29&amp;" "&amp;Report!$C$30&amp;" "&amp;Report!$C$31)</f>
        <v>5KM: Clear, Clam, No wind, hot Ashley Using charter boat (Greg Pilgrim)</v>
      </c>
      <c r="P53" t="str">
        <f>Report!$H$60</f>
        <v>Eureka Manta 2</v>
      </c>
    </row>
    <row r="54" spans="1:16" x14ac:dyDescent="0.2">
      <c r="A54" t="s">
        <v>69</v>
      </c>
      <c r="B54">
        <v>901</v>
      </c>
      <c r="C54">
        <v>5</v>
      </c>
      <c r="D54" t="s">
        <v>79</v>
      </c>
      <c r="E54" s="126">
        <f>Report!$B$2</f>
        <v>44407</v>
      </c>
      <c r="F54" s="127">
        <f>Report!$J$24</f>
        <v>0.38541666666666669</v>
      </c>
      <c r="G54" s="127" t="str">
        <f>Report!$K$24</f>
        <v>PDT</v>
      </c>
      <c r="H54">
        <f>Report!B12</f>
        <v>6</v>
      </c>
      <c r="I54">
        <f>IF(Report!C12,Report!C12,"")</f>
        <v>31.45</v>
      </c>
      <c r="J54">
        <f>IF(Report!D12,Report!D12,"")</f>
        <v>10.47</v>
      </c>
      <c r="K54" t="str">
        <f>IF(Report!E12,Report!E12,"")</f>
        <v/>
      </c>
      <c r="L54">
        <f>IF(Report!F12,Report!F12,"")</f>
        <v>5.71</v>
      </c>
      <c r="M54" s="183">
        <f>IF(Report!G12&gt;=0,Report!G12,"")</f>
        <v>0.64104147118336807</v>
      </c>
      <c r="N54" s="128">
        <f t="shared" si="0"/>
        <v>44407.385416666664</v>
      </c>
      <c r="O54" t="str">
        <f>TRIM("5KM: "&amp;Report!$C$28&amp;" "&amp;Report!$C$29&amp;" "&amp;Report!$C$30&amp;" "&amp;Report!$C$31)</f>
        <v>5KM: Clear, Clam, No wind, hot Ashley Using charter boat (Greg Pilgrim)</v>
      </c>
      <c r="P54" t="str">
        <f>Report!$H$60</f>
        <v>Eureka Manta 2</v>
      </c>
    </row>
    <row r="55" spans="1:16" x14ac:dyDescent="0.2">
      <c r="A55" t="s">
        <v>69</v>
      </c>
      <c r="B55">
        <v>901</v>
      </c>
      <c r="C55">
        <v>5</v>
      </c>
      <c r="D55" t="s">
        <v>79</v>
      </c>
      <c r="E55" s="126">
        <f>Report!$B$2</f>
        <v>44407</v>
      </c>
      <c r="F55" s="127">
        <f>Report!$J$24</f>
        <v>0.38541666666666669</v>
      </c>
      <c r="G55" s="127" t="str">
        <f>Report!$K$24</f>
        <v>PDT</v>
      </c>
      <c r="H55">
        <f>Report!B13</f>
        <v>7</v>
      </c>
      <c r="I55">
        <f>IF(Report!C13,Report!C13,"")</f>
        <v>31.83</v>
      </c>
      <c r="J55">
        <f>IF(Report!D13,Report!D13,"")</f>
        <v>10.1</v>
      </c>
      <c r="K55" t="str">
        <f>IF(Report!E13,Report!E13,"")</f>
        <v/>
      </c>
      <c r="L55">
        <f>IF(Report!F13,Report!F13,"")</f>
        <v>4.92</v>
      </c>
      <c r="M55" s="183">
        <f>IF(Report!G13&gt;=0,Report!G13,"")</f>
        <v>0.54911487378103951</v>
      </c>
      <c r="N55" s="128">
        <f t="shared" si="0"/>
        <v>44407.385416666664</v>
      </c>
      <c r="O55" t="str">
        <f>TRIM("5KM: "&amp;Report!$C$28&amp;" "&amp;Report!$C$29&amp;" "&amp;Report!$C$30&amp;" "&amp;Report!$C$31)</f>
        <v>5KM: Clear, Clam, No wind, hot Ashley Using charter boat (Greg Pilgrim)</v>
      </c>
      <c r="P55" t="str">
        <f>Report!$H$60</f>
        <v>Eureka Manta 2</v>
      </c>
    </row>
    <row r="56" spans="1:16" x14ac:dyDescent="0.2">
      <c r="A56" t="s">
        <v>69</v>
      </c>
      <c r="B56">
        <v>901</v>
      </c>
      <c r="C56">
        <v>5</v>
      </c>
      <c r="D56" t="s">
        <v>79</v>
      </c>
      <c r="E56" s="126">
        <f>Report!$B$2</f>
        <v>44407</v>
      </c>
      <c r="F56" s="127">
        <f>Report!$J$24</f>
        <v>0.38541666666666669</v>
      </c>
      <c r="G56" s="127" t="str">
        <f>Report!$K$24</f>
        <v>PDT</v>
      </c>
      <c r="H56">
        <f>Report!B14</f>
        <v>8</v>
      </c>
      <c r="I56">
        <f>IF(Report!C14,Report!C14,"")</f>
        <v>31.91</v>
      </c>
      <c r="J56">
        <f>IF(Report!D14,Report!D14,"")</f>
        <v>9.98</v>
      </c>
      <c r="K56" t="str">
        <f>IF(Report!E14,Report!E14,"")</f>
        <v/>
      </c>
      <c r="L56">
        <f>IF(Report!F14,Report!F14,"")</f>
        <v>4.49</v>
      </c>
      <c r="M56" s="183">
        <f>IF(Report!G14&gt;=0,Report!G14,"")</f>
        <v>0.50001523927584002</v>
      </c>
      <c r="N56" s="128">
        <f t="shared" si="0"/>
        <v>44407.385416666664</v>
      </c>
      <c r="O56" t="str">
        <f>TRIM("5KM: "&amp;Report!$C$28&amp;" "&amp;Report!$C$29&amp;" "&amp;Report!$C$30&amp;" "&amp;Report!$C$31)</f>
        <v>5KM: Clear, Clam, No wind, hot Ashley Using charter boat (Greg Pilgrim)</v>
      </c>
      <c r="P56" t="str">
        <f>Report!$H$60</f>
        <v>Eureka Manta 2</v>
      </c>
    </row>
    <row r="57" spans="1:16" x14ac:dyDescent="0.2">
      <c r="A57" t="s">
        <v>69</v>
      </c>
      <c r="B57">
        <v>901</v>
      </c>
      <c r="C57">
        <v>5</v>
      </c>
      <c r="D57" t="s">
        <v>79</v>
      </c>
      <c r="E57" s="126">
        <f>Report!$B$2</f>
        <v>44407</v>
      </c>
      <c r="F57" s="127">
        <f>Report!$J$24</f>
        <v>0.38541666666666669</v>
      </c>
      <c r="G57" s="127" t="str">
        <f>Report!$K$24</f>
        <v>PDT</v>
      </c>
      <c r="H57">
        <f>Report!B15</f>
        <v>9</v>
      </c>
      <c r="I57">
        <f>IF(Report!C15,Report!C15,"")</f>
        <v>31.99</v>
      </c>
      <c r="J57">
        <f>IF(Report!D15,Report!D15,"")</f>
        <v>9.86</v>
      </c>
      <c r="K57" t="str">
        <f>IF(Report!E15,Report!E15,"")</f>
        <v/>
      </c>
      <c r="L57">
        <f>IF(Report!F15,Report!F15,"")</f>
        <v>3.44</v>
      </c>
      <c r="M57" s="183">
        <f>IF(Report!G15&gt;=0,Report!G15,"")</f>
        <v>0.38223544531188941</v>
      </c>
      <c r="N57" s="128">
        <f t="shared" si="0"/>
        <v>44407.385416666664</v>
      </c>
      <c r="O57" t="str">
        <f>TRIM("5KM: "&amp;Report!$C$28&amp;" "&amp;Report!$C$29&amp;" "&amp;Report!$C$30&amp;" "&amp;Report!$C$31)</f>
        <v>5KM: Clear, Clam, No wind, hot Ashley Using charter boat (Greg Pilgrim)</v>
      </c>
      <c r="P57" t="str">
        <f>Report!$H$60</f>
        <v>Eureka Manta 2</v>
      </c>
    </row>
    <row r="58" spans="1:16" x14ac:dyDescent="0.2">
      <c r="A58" t="s">
        <v>69</v>
      </c>
      <c r="B58">
        <v>901</v>
      </c>
      <c r="C58">
        <v>5</v>
      </c>
      <c r="D58" t="s">
        <v>79</v>
      </c>
      <c r="E58" s="126">
        <f>Report!$B$2</f>
        <v>44407</v>
      </c>
      <c r="F58" s="127">
        <f>Report!$J$24</f>
        <v>0.38541666666666669</v>
      </c>
      <c r="G58" s="127" t="str">
        <f>Report!$K$24</f>
        <v>PDT</v>
      </c>
      <c r="H58">
        <f>Report!B16</f>
        <v>10</v>
      </c>
      <c r="I58">
        <f>IF(Report!C16,Report!C16,"")</f>
        <v>32</v>
      </c>
      <c r="J58">
        <f>IF(Report!D16,Report!D16,"")</f>
        <v>9.83</v>
      </c>
      <c r="K58" t="str">
        <f>IF(Report!E16,Report!E16,"")</f>
        <v/>
      </c>
      <c r="L58">
        <f>IF(Report!F16,Report!F16,"")</f>
        <v>3.25</v>
      </c>
      <c r="M58" s="183">
        <f>IF(Report!G16&gt;=0,Report!G16,"")</f>
        <v>0.3608982573039467</v>
      </c>
      <c r="N58" s="128">
        <f t="shared" si="0"/>
        <v>44407.385416666664</v>
      </c>
      <c r="O58" t="str">
        <f>TRIM("5KM: "&amp;Report!$C$28&amp;" "&amp;Report!$C$29&amp;" "&amp;Report!$C$30&amp;" "&amp;Report!$C$31)</f>
        <v>5KM: Clear, Clam, No wind, hot Ashley Using charter boat (Greg Pilgrim)</v>
      </c>
      <c r="P58" t="str">
        <f>Report!$H$60</f>
        <v>Eureka Manta 2</v>
      </c>
    </row>
    <row r="59" spans="1:16" x14ac:dyDescent="0.2">
      <c r="A59" t="s">
        <v>69</v>
      </c>
      <c r="B59">
        <v>901</v>
      </c>
      <c r="C59">
        <v>5</v>
      </c>
      <c r="D59" t="s">
        <v>79</v>
      </c>
      <c r="E59" s="126">
        <f>Report!$B$2</f>
        <v>44407</v>
      </c>
      <c r="F59" s="127">
        <f>Report!$J$24</f>
        <v>0.38541666666666669</v>
      </c>
      <c r="G59" s="127" t="str">
        <f>Report!$K$24</f>
        <v>PDT</v>
      </c>
      <c r="H59">
        <f>Report!B17</f>
        <v>12</v>
      </c>
      <c r="I59">
        <f>IF(Report!C17,Report!C17,"")</f>
        <v>32.08</v>
      </c>
      <c r="J59">
        <f>IF(Report!D17,Report!D17,"")</f>
        <v>9.6999999999999993</v>
      </c>
      <c r="K59" t="str">
        <f>IF(Report!E17,Report!E17,"")</f>
        <v/>
      </c>
      <c r="L59">
        <f>IF(Report!F17,Report!F17,"")</f>
        <v>3.33</v>
      </c>
      <c r="M59" s="183">
        <f>IF(Report!G17&gt;=0,Report!G17,"")</f>
        <v>0.36887288839656612</v>
      </c>
      <c r="N59" s="128">
        <f t="shared" si="0"/>
        <v>44407.385416666664</v>
      </c>
      <c r="O59" t="str">
        <f>TRIM("5KM: "&amp;Report!$C$28&amp;" "&amp;Report!$C$29&amp;" "&amp;Report!$C$30&amp;" "&amp;Report!$C$31)</f>
        <v>5KM: Clear, Clam, No wind, hot Ashley Using charter boat (Greg Pilgrim)</v>
      </c>
      <c r="P59" t="str">
        <f>Report!$H$60</f>
        <v>Eureka Manta 2</v>
      </c>
    </row>
    <row r="60" spans="1:16" x14ac:dyDescent="0.2">
      <c r="A60" t="s">
        <v>69</v>
      </c>
      <c r="B60">
        <v>901</v>
      </c>
      <c r="C60">
        <v>5</v>
      </c>
      <c r="D60" t="s">
        <v>79</v>
      </c>
      <c r="E60" s="126">
        <f>Report!$B$2</f>
        <v>44407</v>
      </c>
      <c r="F60" s="127">
        <f>Report!$J$24</f>
        <v>0.38541666666666669</v>
      </c>
      <c r="G60" s="127" t="str">
        <f>Report!$K$24</f>
        <v>PDT</v>
      </c>
      <c r="H60">
        <f>Report!B18</f>
        <v>15</v>
      </c>
      <c r="I60">
        <f>IF(Report!C18,Report!C18,"")</f>
        <v>32.159999999999997</v>
      </c>
      <c r="J60">
        <f>IF(Report!D18,Report!D18,"")</f>
        <v>9.57</v>
      </c>
      <c r="K60" t="str">
        <f>IF(Report!E18,Report!E18,"")</f>
        <v/>
      </c>
      <c r="L60">
        <f>IF(Report!F18,Report!F18,"")</f>
        <v>3.3</v>
      </c>
      <c r="M60" s="183">
        <f>IF(Report!G18&gt;=0,Report!G18,"")</f>
        <v>0.36464790033249866</v>
      </c>
      <c r="N60" s="128">
        <f t="shared" si="0"/>
        <v>44407.385416666664</v>
      </c>
      <c r="O60" t="str">
        <f>TRIM("5KM: "&amp;Report!$C$28&amp;" "&amp;Report!$C$29&amp;" "&amp;Report!$C$30&amp;" "&amp;Report!$C$31)</f>
        <v>5KM: Clear, Clam, No wind, hot Ashley Using charter boat (Greg Pilgrim)</v>
      </c>
      <c r="P60" t="str">
        <f>Report!$H$60</f>
        <v>Eureka Manta 2</v>
      </c>
    </row>
    <row r="61" spans="1:16" x14ac:dyDescent="0.2">
      <c r="A61" t="s">
        <v>69</v>
      </c>
      <c r="B61">
        <v>901</v>
      </c>
      <c r="C61">
        <v>5</v>
      </c>
      <c r="D61" t="s">
        <v>79</v>
      </c>
      <c r="E61" s="126">
        <f>Report!$B$2</f>
        <v>44407</v>
      </c>
      <c r="F61" s="127">
        <f>Report!$J$24</f>
        <v>0.38541666666666669</v>
      </c>
      <c r="G61" s="127" t="str">
        <f>Report!$K$24</f>
        <v>PDT</v>
      </c>
      <c r="H61">
        <f>Report!B19</f>
        <v>20</v>
      </c>
      <c r="I61">
        <f>IF(Report!C19,Report!C19,"")</f>
        <v>32.4</v>
      </c>
      <c r="J61">
        <f>IF(Report!D19,Report!D19,"")</f>
        <v>9.2899999999999991</v>
      </c>
      <c r="K61" t="str">
        <f>IF(Report!E19,Report!E19,"")</f>
        <v/>
      </c>
      <c r="L61">
        <f>IF(Report!F19,Report!F19,"")</f>
        <v>3.19</v>
      </c>
      <c r="M61" s="183">
        <f>IF(Report!G19&gt;=0,Report!G19,"")</f>
        <v>0.35077375751657502</v>
      </c>
      <c r="N61" s="128">
        <f t="shared" si="0"/>
        <v>44407.385416666664</v>
      </c>
      <c r="O61" t="str">
        <f>TRIM("5KM: "&amp;Report!$C$28&amp;" "&amp;Report!$C$29&amp;" "&amp;Report!$C$30&amp;" "&amp;Report!$C$31)</f>
        <v>5KM: Clear, Clam, No wind, hot Ashley Using charter boat (Greg Pilgrim)</v>
      </c>
      <c r="P61" t="str">
        <f>Report!$H$60</f>
        <v>Eureka Manta 2</v>
      </c>
    </row>
    <row r="62" spans="1:16" x14ac:dyDescent="0.2">
      <c r="A62" t="s">
        <v>69</v>
      </c>
      <c r="B62">
        <v>901</v>
      </c>
      <c r="C62">
        <v>5</v>
      </c>
      <c r="D62" t="s">
        <v>79</v>
      </c>
      <c r="E62" s="126">
        <f>Report!$B$2</f>
        <v>44407</v>
      </c>
      <c r="F62" s="127">
        <f>Report!$J$24</f>
        <v>0.38541666666666669</v>
      </c>
      <c r="G62" s="127" t="str">
        <f>Report!$K$24</f>
        <v>PDT</v>
      </c>
      <c r="H62">
        <f>Report!B20</f>
        <v>25</v>
      </c>
      <c r="I62">
        <f>IF(Report!C20,Report!C20,"")</f>
        <v>32.46</v>
      </c>
      <c r="J62">
        <f>IF(Report!D20,Report!D20,"")</f>
        <v>9.06</v>
      </c>
      <c r="K62" t="str">
        <f>IF(Report!E20,Report!E20,"")</f>
        <v/>
      </c>
      <c r="L62">
        <f>IF(Report!F20,Report!F20,"")</f>
        <v>2.5299999999999998</v>
      </c>
      <c r="M62" s="183">
        <f>IF(Report!G20&gt;=0,Report!G20,"")</f>
        <v>0.27681763376617369</v>
      </c>
      <c r="N62" s="128">
        <f t="shared" si="0"/>
        <v>44407.385416666664</v>
      </c>
      <c r="O62" t="str">
        <f>TRIM("5KM: "&amp;Report!$C$28&amp;" "&amp;Report!$C$29&amp;" "&amp;Report!$C$30&amp;" "&amp;Report!$C$31)</f>
        <v>5KM: Clear, Clam, No wind, hot Ashley Using charter boat (Greg Pilgrim)</v>
      </c>
      <c r="P62" t="str">
        <f>Report!$H$60</f>
        <v>Eureka Manta 2</v>
      </c>
    </row>
    <row r="63" spans="1:16" x14ac:dyDescent="0.2">
      <c r="A63" t="s">
        <v>69</v>
      </c>
      <c r="B63">
        <v>901</v>
      </c>
      <c r="C63">
        <v>5</v>
      </c>
      <c r="D63" t="s">
        <v>79</v>
      </c>
      <c r="E63" s="126">
        <f>Report!$B$2</f>
        <v>44407</v>
      </c>
      <c r="F63" s="127">
        <f>Report!$J$24</f>
        <v>0.38541666666666669</v>
      </c>
      <c r="G63" s="127" t="str">
        <f>Report!$K$24</f>
        <v>PDT</v>
      </c>
      <c r="H63">
        <f>Report!B21</f>
        <v>30</v>
      </c>
      <c r="I63">
        <f>IF(Report!C21,Report!C21,"")</f>
        <v>32.5</v>
      </c>
      <c r="J63">
        <f>IF(Report!D21,Report!D21,"")</f>
        <v>8.93</v>
      </c>
      <c r="K63" t="str">
        <f>IF(Report!E21,Report!E21,"")</f>
        <v/>
      </c>
      <c r="L63">
        <f>IF(Report!F21,Report!F21,"")</f>
        <v>2.2999999999999998</v>
      </c>
      <c r="M63" s="183">
        <f>IF(Report!G21&gt;=0,Report!G21,"")</f>
        <v>0.25095210543233687</v>
      </c>
      <c r="N63" s="128">
        <f t="shared" si="0"/>
        <v>44407.385416666664</v>
      </c>
      <c r="O63" t="str">
        <f>TRIM("5KM: "&amp;Report!$C$28&amp;" "&amp;Report!$C$29&amp;" "&amp;Report!$C$30&amp;" "&amp;Report!$C$31)</f>
        <v>5KM: Clear, Clam, No wind, hot Ashley Using charter boat (Greg Pilgrim)</v>
      </c>
      <c r="P63" t="str">
        <f>Report!$H$60</f>
        <v>Eureka Manta 2</v>
      </c>
    </row>
    <row r="64" spans="1:16" x14ac:dyDescent="0.2">
      <c r="A64" t="s">
        <v>69</v>
      </c>
      <c r="B64">
        <v>901</v>
      </c>
      <c r="C64">
        <v>5</v>
      </c>
      <c r="D64" t="s">
        <v>79</v>
      </c>
      <c r="E64" s="126">
        <f>Report!$B$2</f>
        <v>44407</v>
      </c>
      <c r="F64" s="127">
        <f>Report!$J$24</f>
        <v>0.38541666666666669</v>
      </c>
      <c r="G64" s="127" t="str">
        <f>Report!$K$24</f>
        <v>PDT</v>
      </c>
      <c r="H64">
        <f>Report!B22</f>
        <v>35</v>
      </c>
      <c r="I64">
        <f>IF(Report!C22,Report!C22,"")</f>
        <v>32.6</v>
      </c>
      <c r="J64">
        <f>IF(Report!D22,Report!D22,"")</f>
        <v>8.85</v>
      </c>
      <c r="K64" t="str">
        <f>IF(Report!E22,Report!E22,"")</f>
        <v/>
      </c>
      <c r="L64">
        <f>IF(Report!F22,Report!F22,"")</f>
        <v>2.2400000000000002</v>
      </c>
      <c r="M64" s="183">
        <f>IF(Report!G22&gt;=0,Report!G22,"")</f>
        <v>0.24411106250482492</v>
      </c>
      <c r="N64" s="128">
        <f t="shared" si="0"/>
        <v>44407.385416666664</v>
      </c>
      <c r="O64" t="str">
        <f>TRIM("5KM: "&amp;Report!$C$28&amp;" "&amp;Report!$C$29&amp;" "&amp;Report!$C$30&amp;" "&amp;Report!$C$31)</f>
        <v>5KM: Clear, Clam, No wind, hot Ashley Using charter boat (Greg Pilgrim)</v>
      </c>
      <c r="P64" t="str">
        <f>Report!$H$60</f>
        <v>Eureka Manta 2</v>
      </c>
    </row>
    <row r="65" spans="1:16" x14ac:dyDescent="0.2">
      <c r="A65" t="s">
        <v>69</v>
      </c>
      <c r="B65">
        <v>901</v>
      </c>
      <c r="C65">
        <v>5</v>
      </c>
      <c r="D65" t="s">
        <v>79</v>
      </c>
      <c r="E65" s="126">
        <f>Report!$B$2</f>
        <v>44407</v>
      </c>
      <c r="F65" s="127">
        <f>Report!$J$24</f>
        <v>0.38541666666666669</v>
      </c>
      <c r="G65" s="127" t="str">
        <f>Report!$K$24</f>
        <v>PDT</v>
      </c>
      <c r="H65">
        <f>Report!B23</f>
        <v>40</v>
      </c>
      <c r="I65">
        <f>IF(Report!C23,Report!C23,"")</f>
        <v>32.43</v>
      </c>
      <c r="J65">
        <f>IF(Report!D23,Report!D23,"")</f>
        <v>8.82</v>
      </c>
      <c r="K65" t="str">
        <f>IF(Report!E23,Report!E23,"")</f>
        <v/>
      </c>
      <c r="L65">
        <f>IF(Report!F23,Report!F23,"")</f>
        <v>2.17</v>
      </c>
      <c r="M65" s="183">
        <f>IF(Report!G23&gt;=0,Report!G23,"")</f>
        <v>0.23604143828530524</v>
      </c>
      <c r="N65" s="128">
        <f t="shared" si="0"/>
        <v>44407.385416666664</v>
      </c>
      <c r="O65" t="str">
        <f>TRIM("5KM: "&amp;Report!$C$28&amp;" "&amp;Report!$C$29&amp;" "&amp;Report!$C$30&amp;" "&amp;Report!$C$31)</f>
        <v>5KM: Clear, Clam, No wind, hot Ashley Using charter boat (Greg Pilgrim)</v>
      </c>
      <c r="P65" t="str">
        <f>Report!$H$60</f>
        <v>Eureka Manta 2</v>
      </c>
    </row>
    <row r="66" spans="1:16" x14ac:dyDescent="0.2">
      <c r="A66" t="s">
        <v>69</v>
      </c>
      <c r="B66">
        <v>901</v>
      </c>
      <c r="C66">
        <v>5</v>
      </c>
      <c r="D66" t="s">
        <v>79</v>
      </c>
      <c r="E66" s="126">
        <f>Report!$B$2</f>
        <v>44407</v>
      </c>
      <c r="F66" s="127">
        <f>Report!$J$24</f>
        <v>0.38541666666666669</v>
      </c>
      <c r="G66" s="127" t="str">
        <f>Report!$K$24</f>
        <v>PDT</v>
      </c>
      <c r="H66">
        <f>Report!B24</f>
        <v>45</v>
      </c>
      <c r="I66">
        <f>IF(Report!C24,Report!C24,"")</f>
        <v>32.630000000000003</v>
      </c>
      <c r="J66">
        <f>IF(Report!D24,Report!D24,"")</f>
        <v>8.7899999999999991</v>
      </c>
      <c r="K66" t="str">
        <f>IF(Report!E24,Report!E24,"")</f>
        <v/>
      </c>
      <c r="L66">
        <f>IF(Report!F24,Report!F24,"")</f>
        <v>2.0299999999999998</v>
      </c>
      <c r="M66" s="183">
        <f>IF(Report!G24&gt;=0,Report!G24,"")</f>
        <v>0.22095742805262394</v>
      </c>
      <c r="N66" s="128">
        <f t="shared" si="0"/>
        <v>44407.385416666664</v>
      </c>
      <c r="O66" t="str">
        <f>TRIM("5KM: "&amp;Report!$C$28&amp;" "&amp;Report!$C$29&amp;" "&amp;Report!$C$30&amp;" "&amp;Report!$C$31)</f>
        <v>5KM: Clear, Clam, No wind, hot Ashley Using charter boat (Greg Pilgrim)</v>
      </c>
      <c r="P66" t="str">
        <f>Report!$H$60</f>
        <v>Eureka Manta 2</v>
      </c>
    </row>
    <row r="67" spans="1:16" x14ac:dyDescent="0.2">
      <c r="A67" t="s">
        <v>69</v>
      </c>
      <c r="B67">
        <v>901</v>
      </c>
      <c r="C67">
        <v>5</v>
      </c>
      <c r="D67" t="s">
        <v>79</v>
      </c>
      <c r="E67" s="126">
        <f>Report!$B$2</f>
        <v>44407</v>
      </c>
      <c r="F67" s="127">
        <f>Report!$J$24</f>
        <v>0.38541666666666669</v>
      </c>
      <c r="G67" s="127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83" t="str">
        <f>IF(Report!G25&gt;=0,Report!G25,"")</f>
        <v/>
      </c>
      <c r="N67" s="128">
        <f t="shared" ref="N67" si="1">E67+F67</f>
        <v>44407.385416666664</v>
      </c>
      <c r="O67" t="str">
        <f>TRIM("5KM: "&amp;Report!$C$28&amp;" "&amp;Report!$C$29&amp;" "&amp;Report!$C$30&amp;" "&amp;Report!$C$31)</f>
        <v>5KM: Clear, Clam, No wind, hot Ashley Using charter boat (Greg Pilgrim)</v>
      </c>
      <c r="P67" t="str">
        <f>Report!$H$60</f>
        <v>Eureka Manta 2</v>
      </c>
    </row>
  </sheetData>
  <sheetProtection sheet="1" objects="1" scenarios="1"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Tanner, Kate (Port Alberni)</cp:lastModifiedBy>
  <cp:lastPrinted>2021-05-11T22:18:11Z</cp:lastPrinted>
  <dcterms:created xsi:type="dcterms:W3CDTF">2002-07-08T18:19:10Z</dcterms:created>
  <dcterms:modified xsi:type="dcterms:W3CDTF">2021-08-03T16:05:30Z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