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Current projects\CTFS Large Plots\SCBI Virginia\"/>
    </mc:Choice>
  </mc:AlternateContent>
  <bookViews>
    <workbookView xWindow="1755" yWindow="45" windowWidth="22995" windowHeight="10035" activeTab="1"/>
  </bookViews>
  <sheets>
    <sheet name="Sampling scheme" sheetId="4" r:id="rId1"/>
    <sheet name="Carbon" sheetId="1" r:id="rId2"/>
    <sheet name="Stone sizes" sheetId="2" r:id="rId3"/>
    <sheet name="Stone density" sheetId="3" r:id="rId4"/>
    <sheet name="Pit bulk density" sheetId="5" r:id="rId5"/>
  </sheets>
  <definedNames>
    <definedName name="_xlnm._FilterDatabase" localSheetId="1" hidden="1">Carbon!$AC$1:$AC$270</definedName>
    <definedName name="_xlnm._FilterDatabase" localSheetId="2" hidden="1">'Stone sizes'!$B$1:$B$3</definedName>
  </definedNames>
  <calcPr calcId="152511"/>
</workbook>
</file>

<file path=xl/calcChain.xml><?xml version="1.0" encoding="utf-8"?>
<calcChain xmlns="http://schemas.openxmlformats.org/spreadsheetml/2006/main">
  <c r="AB10" i="1" l="1"/>
  <c r="AB9" i="1"/>
  <c r="AB8" i="1"/>
  <c r="AB7" i="1"/>
  <c r="AB264" i="1"/>
  <c r="AB263" i="1"/>
  <c r="AB262" i="1"/>
  <c r="AB261" i="1"/>
  <c r="AB252" i="1"/>
  <c r="AB251" i="1"/>
  <c r="AB250" i="1"/>
  <c r="AB260" i="1"/>
  <c r="AB249" i="1"/>
  <c r="AB239" i="1"/>
  <c r="AB238" i="1"/>
  <c r="S43" i="1"/>
  <c r="S42" i="1"/>
  <c r="S41" i="1"/>
  <c r="S54" i="1"/>
  <c r="S53" i="1"/>
  <c r="S52" i="1"/>
  <c r="S64" i="1"/>
  <c r="S63" i="1"/>
  <c r="S81" i="1"/>
  <c r="S80" i="1"/>
  <c r="S79" i="1"/>
  <c r="S78" i="1"/>
  <c r="S77" i="1"/>
  <c r="S76" i="1"/>
  <c r="S75" i="1"/>
  <c r="S74" i="1"/>
  <c r="S87" i="1"/>
  <c r="S86" i="1"/>
  <c r="S85" i="1"/>
  <c r="S99" i="1"/>
  <c r="S98" i="1"/>
  <c r="S97" i="1"/>
  <c r="S96" i="1"/>
  <c r="S109" i="1"/>
  <c r="S108" i="1"/>
  <c r="S107" i="1"/>
  <c r="S125" i="1"/>
  <c r="S124" i="1"/>
  <c r="S123" i="1"/>
  <c r="S122" i="1"/>
  <c r="S121" i="1"/>
  <c r="S120" i="1"/>
  <c r="S119" i="1"/>
  <c r="S118" i="1"/>
  <c r="S133" i="1"/>
  <c r="S132" i="1"/>
  <c r="S131" i="1"/>
  <c r="S130" i="1"/>
  <c r="S129" i="1"/>
  <c r="S143" i="1"/>
  <c r="S142" i="1"/>
  <c r="S141" i="1"/>
  <c r="S140" i="1"/>
  <c r="S154" i="1"/>
  <c r="S153" i="1"/>
  <c r="S152" i="1"/>
  <c r="S151" i="1"/>
  <c r="S169" i="1"/>
  <c r="S168" i="1"/>
  <c r="S167" i="1"/>
  <c r="S166" i="1"/>
  <c r="S165" i="1"/>
  <c r="S164" i="1"/>
  <c r="S163" i="1"/>
  <c r="S162" i="1"/>
  <c r="S176" i="1"/>
  <c r="S175" i="1"/>
  <c r="S174" i="1"/>
  <c r="S173" i="1"/>
  <c r="S187" i="1"/>
  <c r="S186" i="1"/>
  <c r="S185" i="1"/>
  <c r="S184" i="1"/>
  <c r="S198" i="1"/>
  <c r="S197" i="1"/>
  <c r="S196" i="1"/>
  <c r="S195" i="1"/>
  <c r="S209" i="1"/>
  <c r="S208" i="1"/>
  <c r="S207" i="1"/>
  <c r="S206" i="1"/>
  <c r="S220" i="1"/>
  <c r="S219" i="1"/>
  <c r="S218" i="1"/>
  <c r="S217" i="1"/>
  <c r="S230" i="1"/>
  <c r="S229" i="1"/>
  <c r="S228" i="1"/>
  <c r="S241" i="1"/>
  <c r="S240" i="1"/>
  <c r="S239" i="1"/>
  <c r="AC250" i="1"/>
  <c r="AC249" i="1"/>
  <c r="S250" i="1"/>
  <c r="S252" i="1"/>
  <c r="S251" i="1"/>
  <c r="AK12" i="1"/>
  <c r="J41" i="1"/>
  <c r="J42" i="1"/>
  <c r="J43" i="1"/>
  <c r="J52" i="1"/>
  <c r="J53" i="1"/>
  <c r="J54" i="1"/>
  <c r="J63" i="1"/>
  <c r="J64" i="1"/>
  <c r="J74" i="1"/>
  <c r="J75" i="1"/>
  <c r="J76" i="1"/>
  <c r="J77" i="1"/>
  <c r="J78" i="1"/>
  <c r="J79" i="1"/>
  <c r="J80" i="1"/>
  <c r="J81" i="1"/>
  <c r="J85" i="1"/>
  <c r="J86" i="1"/>
  <c r="J87" i="1"/>
  <c r="J96" i="1"/>
  <c r="J97" i="1"/>
  <c r="J98" i="1"/>
  <c r="J99" i="1"/>
  <c r="J107" i="1"/>
  <c r="J108" i="1"/>
  <c r="J109" i="1"/>
  <c r="J118" i="1"/>
  <c r="J119" i="1"/>
  <c r="J120" i="1"/>
  <c r="J121" i="1"/>
  <c r="J122" i="1"/>
  <c r="J123" i="1"/>
  <c r="J124" i="1"/>
  <c r="J125" i="1"/>
  <c r="J129" i="1"/>
  <c r="J130" i="1"/>
  <c r="J131" i="1"/>
  <c r="J132" i="1"/>
  <c r="J133" i="1"/>
  <c r="J140" i="1"/>
  <c r="J141" i="1"/>
  <c r="J142" i="1"/>
  <c r="J143" i="1"/>
  <c r="J151" i="1"/>
  <c r="J152" i="1"/>
  <c r="J153" i="1"/>
  <c r="J154" i="1"/>
  <c r="J162" i="1"/>
  <c r="J163" i="1"/>
  <c r="J164" i="1"/>
  <c r="J165" i="1"/>
  <c r="J166" i="1"/>
  <c r="J167" i="1"/>
  <c r="J168" i="1"/>
  <c r="J169" i="1"/>
  <c r="J173" i="1"/>
  <c r="J174" i="1"/>
  <c r="J175" i="1"/>
  <c r="J176" i="1"/>
  <c r="J184" i="1"/>
  <c r="J185" i="1"/>
  <c r="J186" i="1"/>
  <c r="J187" i="1"/>
  <c r="J195" i="1"/>
  <c r="J196" i="1"/>
  <c r="J197" i="1"/>
  <c r="J206" i="1"/>
  <c r="J207" i="1"/>
  <c r="J208" i="1"/>
  <c r="J209" i="1"/>
  <c r="J217" i="1"/>
  <c r="J218" i="1"/>
  <c r="J219" i="1"/>
  <c r="J220" i="1"/>
  <c r="J228" i="1"/>
  <c r="J229" i="1"/>
  <c r="J230" i="1"/>
  <c r="J239" i="1"/>
  <c r="J240" i="1"/>
  <c r="J241" i="1"/>
  <c r="J238" i="1"/>
  <c r="S262" i="1"/>
  <c r="S263" i="1"/>
  <c r="S264" i="1"/>
  <c r="S261" i="1"/>
  <c r="V62" i="1"/>
  <c r="V63" i="1"/>
  <c r="V74" i="1" s="1"/>
  <c r="V85" i="1" s="1"/>
  <c r="V96" i="1" s="1"/>
  <c r="V107" i="1" s="1"/>
  <c r="V118" i="1" s="1"/>
  <c r="V129" i="1" s="1"/>
  <c r="V140" i="1" s="1"/>
  <c r="V151" i="1" s="1"/>
  <c r="V162" i="1" s="1"/>
  <c r="V173" i="1" s="1"/>
  <c r="V184" i="1" s="1"/>
  <c r="V195" i="1" s="1"/>
  <c r="V206" i="1" s="1"/>
  <c r="V217" i="1" s="1"/>
  <c r="V228" i="1" s="1"/>
  <c r="V239" i="1" s="1"/>
  <c r="V250" i="1" s="1"/>
  <c r="V261" i="1" s="1"/>
  <c r="V64" i="1"/>
  <c r="V65" i="1"/>
  <c r="V66" i="1"/>
  <c r="V67" i="1"/>
  <c r="V78" i="1" s="1"/>
  <c r="V89" i="1" s="1"/>
  <c r="V100" i="1" s="1"/>
  <c r="V111" i="1" s="1"/>
  <c r="V122" i="1" s="1"/>
  <c r="V133" i="1" s="1"/>
  <c r="V144" i="1" s="1"/>
  <c r="V155" i="1" s="1"/>
  <c r="V166" i="1" s="1"/>
  <c r="V177" i="1" s="1"/>
  <c r="V188" i="1" s="1"/>
  <c r="V199" i="1" s="1"/>
  <c r="V210" i="1" s="1"/>
  <c r="V221" i="1" s="1"/>
  <c r="V232" i="1" s="1"/>
  <c r="V243" i="1" s="1"/>
  <c r="V254" i="1" s="1"/>
  <c r="V265" i="1" s="1"/>
  <c r="V68" i="1"/>
  <c r="V69" i="1"/>
  <c r="V70" i="1"/>
  <c r="V73" i="1"/>
  <c r="V84" i="1" s="1"/>
  <c r="V95" i="1" s="1"/>
  <c r="V106" i="1" s="1"/>
  <c r="V117" i="1" s="1"/>
  <c r="V128" i="1" s="1"/>
  <c r="V139" i="1" s="1"/>
  <c r="V150" i="1" s="1"/>
  <c r="V161" i="1" s="1"/>
  <c r="V172" i="1" s="1"/>
  <c r="V183" i="1" s="1"/>
  <c r="V194" i="1" s="1"/>
  <c r="V205" i="1" s="1"/>
  <c r="V216" i="1" s="1"/>
  <c r="V227" i="1" s="1"/>
  <c r="V238" i="1" s="1"/>
  <c r="V249" i="1" s="1"/>
  <c r="V260" i="1" s="1"/>
  <c r="V75" i="1"/>
  <c r="V76" i="1"/>
  <c r="V77" i="1"/>
  <c r="V88" i="1" s="1"/>
  <c r="V99" i="1" s="1"/>
  <c r="V110" i="1" s="1"/>
  <c r="V79" i="1"/>
  <c r="V80" i="1"/>
  <c r="V81" i="1"/>
  <c r="V92" i="1" s="1"/>
  <c r="V103" i="1" s="1"/>
  <c r="V114" i="1" s="1"/>
  <c r="V86" i="1"/>
  <c r="V87" i="1"/>
  <c r="V98" i="1" s="1"/>
  <c r="V109" i="1" s="1"/>
  <c r="V120" i="1" s="1"/>
  <c r="V90" i="1"/>
  <c r="V91" i="1"/>
  <c r="V102" i="1" s="1"/>
  <c r="V113" i="1" s="1"/>
  <c r="V124" i="1" s="1"/>
  <c r="V135" i="1" s="1"/>
  <c r="V146" i="1" s="1"/>
  <c r="V157" i="1" s="1"/>
  <c r="V168" i="1" s="1"/>
  <c r="V179" i="1" s="1"/>
  <c r="V190" i="1" s="1"/>
  <c r="V201" i="1" s="1"/>
  <c r="V212" i="1" s="1"/>
  <c r="V223" i="1" s="1"/>
  <c r="V234" i="1" s="1"/>
  <c r="V245" i="1" s="1"/>
  <c r="V256" i="1" s="1"/>
  <c r="V267" i="1" s="1"/>
  <c r="V97" i="1"/>
  <c r="V108" i="1" s="1"/>
  <c r="V119" i="1" s="1"/>
  <c r="V101" i="1"/>
  <c r="V112" i="1" s="1"/>
  <c r="V123" i="1" s="1"/>
  <c r="V134" i="1" s="1"/>
  <c r="V145" i="1" s="1"/>
  <c r="V156" i="1" s="1"/>
  <c r="V167" i="1" s="1"/>
  <c r="V178" i="1" s="1"/>
  <c r="V189" i="1" s="1"/>
  <c r="V200" i="1" s="1"/>
  <c r="V211" i="1" s="1"/>
  <c r="V222" i="1" s="1"/>
  <c r="V233" i="1" s="1"/>
  <c r="V244" i="1" s="1"/>
  <c r="V255" i="1" s="1"/>
  <c r="V266" i="1" s="1"/>
  <c r="V121" i="1"/>
  <c r="V132" i="1" s="1"/>
  <c r="V143" i="1" s="1"/>
  <c r="V154" i="1" s="1"/>
  <c r="V165" i="1" s="1"/>
  <c r="V176" i="1" s="1"/>
  <c r="V187" i="1" s="1"/>
  <c r="V198" i="1" s="1"/>
  <c r="V209" i="1" s="1"/>
  <c r="V220" i="1" s="1"/>
  <c r="V231" i="1" s="1"/>
  <c r="V242" i="1" s="1"/>
  <c r="V253" i="1" s="1"/>
  <c r="V264" i="1" s="1"/>
  <c r="V125" i="1"/>
  <c r="V136" i="1" s="1"/>
  <c r="V147" i="1" s="1"/>
  <c r="V130" i="1"/>
  <c r="V131" i="1"/>
  <c r="V142" i="1" s="1"/>
  <c r="V153" i="1" s="1"/>
  <c r="V164" i="1" s="1"/>
  <c r="V175" i="1" s="1"/>
  <c r="V186" i="1" s="1"/>
  <c r="V197" i="1" s="1"/>
  <c r="V208" i="1" s="1"/>
  <c r="V219" i="1" s="1"/>
  <c r="V230" i="1" s="1"/>
  <c r="V241" i="1" s="1"/>
  <c r="V252" i="1" s="1"/>
  <c r="V263" i="1" s="1"/>
  <c r="V141" i="1"/>
  <c r="V152" i="1" s="1"/>
  <c r="V163" i="1" s="1"/>
  <c r="V174" i="1" s="1"/>
  <c r="V185" i="1" s="1"/>
  <c r="V196" i="1" s="1"/>
  <c r="V207" i="1" s="1"/>
  <c r="V218" i="1" s="1"/>
  <c r="V229" i="1" s="1"/>
  <c r="V240" i="1" s="1"/>
  <c r="V251" i="1" s="1"/>
  <c r="V262" i="1" s="1"/>
  <c r="V158" i="1"/>
  <c r="V169" i="1"/>
  <c r="V180" i="1" s="1"/>
  <c r="V191" i="1" s="1"/>
  <c r="V202" i="1" s="1"/>
  <c r="V213" i="1" s="1"/>
  <c r="V224" i="1" s="1"/>
  <c r="V235" i="1" s="1"/>
  <c r="V246" i="1" s="1"/>
  <c r="V257" i="1" s="1"/>
  <c r="V268" i="1" s="1"/>
  <c r="V59" i="1"/>
  <c r="V58" i="1"/>
  <c r="V52" i="1"/>
  <c r="V53" i="1"/>
  <c r="V54" i="1"/>
  <c r="V55" i="1"/>
  <c r="V56" i="1"/>
  <c r="V57" i="1"/>
  <c r="V51" i="1"/>
  <c r="V18" i="1"/>
  <c r="V19" i="1"/>
  <c r="V30" i="1" s="1"/>
  <c r="V41" i="1" s="1"/>
  <c r="V20" i="1"/>
  <c r="V21" i="1"/>
  <c r="V22" i="1"/>
  <c r="V29" i="1"/>
  <c r="V40" i="1" s="1"/>
  <c r="V31" i="1"/>
  <c r="V32" i="1"/>
  <c r="V33" i="1"/>
  <c r="V44" i="1" s="1"/>
  <c r="V42" i="1"/>
  <c r="V43" i="1"/>
  <c r="V7" i="1"/>
  <c r="V8" i="1"/>
  <c r="V9" i="1"/>
  <c r="V10" i="1"/>
  <c r="V11" i="1"/>
  <c r="M5" i="5"/>
  <c r="M6" i="5"/>
  <c r="M7" i="5"/>
  <c r="M8" i="5"/>
  <c r="M9" i="5"/>
  <c r="M10" i="5"/>
  <c r="M13" i="5"/>
  <c r="AD5" i="5" s="1"/>
  <c r="M14" i="5"/>
  <c r="AD6" i="5" s="1"/>
  <c r="M15" i="5"/>
  <c r="AD7" i="5" s="1"/>
  <c r="M16" i="5"/>
  <c r="M17" i="5"/>
  <c r="AD9" i="5" s="1"/>
  <c r="M18" i="5"/>
  <c r="AD10" i="5" s="1"/>
  <c r="M19" i="5"/>
  <c r="AD11" i="5" s="1"/>
  <c r="M21" i="5"/>
  <c r="M22" i="5"/>
  <c r="M23" i="5"/>
  <c r="M24" i="5"/>
  <c r="AD8" i="5" s="1"/>
  <c r="M25" i="5"/>
  <c r="M26" i="5"/>
  <c r="M27" i="5"/>
  <c r="M30" i="5"/>
  <c r="M31" i="5"/>
  <c r="M32" i="5"/>
  <c r="M33" i="5"/>
  <c r="M37" i="5"/>
  <c r="M38" i="5"/>
  <c r="M39" i="5"/>
  <c r="M40" i="5"/>
  <c r="M41" i="5"/>
  <c r="M42" i="5"/>
  <c r="M43" i="5"/>
  <c r="M45" i="5"/>
  <c r="M46" i="5"/>
  <c r="M47" i="5"/>
  <c r="M48" i="5"/>
  <c r="M49" i="5"/>
  <c r="M50" i="5"/>
  <c r="M51" i="5"/>
  <c r="J252" i="1"/>
  <c r="J251" i="1"/>
  <c r="J250" i="1"/>
  <c r="J262" i="1"/>
  <c r="J263" i="1"/>
  <c r="J264" i="1"/>
  <c r="J261" i="1"/>
  <c r="AD264" i="1"/>
  <c r="AD263" i="1"/>
  <c r="AD262" i="1"/>
  <c r="AD261" i="1"/>
  <c r="AH260" i="1" s="1"/>
  <c r="AD260" i="1"/>
  <c r="AD252" i="1"/>
  <c r="AD251" i="1"/>
  <c r="AD250" i="1"/>
  <c r="AD249" i="1"/>
  <c r="AD241" i="1"/>
  <c r="AD240" i="1"/>
  <c r="AD239" i="1"/>
  <c r="AH238" i="1" s="1"/>
  <c r="AD238" i="1"/>
  <c r="AD230" i="1"/>
  <c r="AD229" i="1"/>
  <c r="AD228" i="1"/>
  <c r="AD227" i="1"/>
  <c r="AD220" i="1"/>
  <c r="AD219" i="1"/>
  <c r="AD218" i="1"/>
  <c r="AD217" i="1"/>
  <c r="AD216" i="1"/>
  <c r="AD209" i="1"/>
  <c r="AD208" i="1"/>
  <c r="AD207" i="1"/>
  <c r="AD206" i="1"/>
  <c r="AD205" i="1"/>
  <c r="AD197" i="1"/>
  <c r="AD196" i="1"/>
  <c r="AD195" i="1"/>
  <c r="AD194" i="1"/>
  <c r="AD187" i="1"/>
  <c r="AD186" i="1"/>
  <c r="AD185" i="1"/>
  <c r="AD184" i="1"/>
  <c r="AD183" i="1"/>
  <c r="AH183" i="1" s="1"/>
  <c r="AD176" i="1"/>
  <c r="AD175" i="1"/>
  <c r="AD174" i="1"/>
  <c r="AD173" i="1"/>
  <c r="AH172" i="1" s="1"/>
  <c r="AD172" i="1"/>
  <c r="AD166" i="1"/>
  <c r="AD167" i="1"/>
  <c r="AD168" i="1"/>
  <c r="AD169" i="1"/>
  <c r="AD165" i="1"/>
  <c r="AD164" i="1"/>
  <c r="AD163" i="1"/>
  <c r="AD162" i="1"/>
  <c r="AD161" i="1"/>
  <c r="AD154" i="1"/>
  <c r="AD153" i="1"/>
  <c r="AD152" i="1"/>
  <c r="AD151" i="1"/>
  <c r="AD150" i="1"/>
  <c r="AD143" i="1"/>
  <c r="AD142" i="1"/>
  <c r="AD141" i="1"/>
  <c r="AD140" i="1"/>
  <c r="AD139" i="1"/>
  <c r="AD133" i="1"/>
  <c r="AD132" i="1"/>
  <c r="AD131" i="1"/>
  <c r="AD130" i="1"/>
  <c r="AD129" i="1"/>
  <c r="AD128" i="1"/>
  <c r="AD124" i="1"/>
  <c r="AD121" i="1"/>
  <c r="AD122" i="1"/>
  <c r="AD123" i="1"/>
  <c r="AD125" i="1"/>
  <c r="AD120" i="1"/>
  <c r="AD119" i="1"/>
  <c r="AD118" i="1"/>
  <c r="AD117" i="1"/>
  <c r="AD109" i="1"/>
  <c r="AD108" i="1"/>
  <c r="AD107" i="1"/>
  <c r="AD106" i="1"/>
  <c r="AD99" i="1"/>
  <c r="AD98" i="1"/>
  <c r="AD97" i="1"/>
  <c r="AD96" i="1"/>
  <c r="AD95" i="1"/>
  <c r="AH95" i="1" s="1"/>
  <c r="AD87" i="1"/>
  <c r="AD86" i="1"/>
  <c r="AD85" i="1"/>
  <c r="AD84" i="1"/>
  <c r="AH84" i="1" s="1"/>
  <c r="AD77" i="1"/>
  <c r="AD78" i="1"/>
  <c r="AD79" i="1"/>
  <c r="AD80" i="1"/>
  <c r="AD81" i="1"/>
  <c r="AD76" i="1"/>
  <c r="AD75" i="1"/>
  <c r="AD74" i="1"/>
  <c r="AD73" i="1"/>
  <c r="AD64" i="1"/>
  <c r="AD63" i="1"/>
  <c r="AD62" i="1"/>
  <c r="AD54" i="1"/>
  <c r="AD53" i="1"/>
  <c r="AD52" i="1"/>
  <c r="AD51" i="1"/>
  <c r="AH51" i="1" s="1"/>
  <c r="AD43" i="1"/>
  <c r="AD42" i="1"/>
  <c r="AD41" i="1"/>
  <c r="AD40" i="1"/>
  <c r="AD33" i="1"/>
  <c r="AD32" i="1"/>
  <c r="AD31" i="1"/>
  <c r="AD30" i="1"/>
  <c r="AD29" i="1"/>
  <c r="AD22" i="1"/>
  <c r="AD21" i="1"/>
  <c r="AD20" i="1"/>
  <c r="AD19" i="1"/>
  <c r="AD18" i="1"/>
  <c r="AD7" i="1"/>
  <c r="AD9" i="1"/>
  <c r="AD10" i="1"/>
  <c r="AD8" i="1"/>
  <c r="AB259" i="1"/>
  <c r="AB248" i="1"/>
  <c r="AB237" i="1"/>
  <c r="AB226" i="1"/>
  <c r="AB215" i="1"/>
  <c r="AB204" i="1"/>
  <c r="AB193" i="1"/>
  <c r="AB182" i="1"/>
  <c r="AB171" i="1"/>
  <c r="AB160" i="1"/>
  <c r="AB149" i="1"/>
  <c r="AB138" i="1"/>
  <c r="AB127" i="1"/>
  <c r="AB116" i="1"/>
  <c r="AB105" i="1"/>
  <c r="AB94" i="1"/>
  <c r="AB83" i="1"/>
  <c r="AB72" i="1"/>
  <c r="AB61" i="1"/>
  <c r="AB50" i="1"/>
  <c r="AB39" i="1"/>
  <c r="AB28" i="1"/>
  <c r="AB17" i="1"/>
  <c r="AB6" i="1"/>
  <c r="AH40" i="1" l="1"/>
  <c r="AH62" i="1"/>
  <c r="AH139" i="1"/>
  <c r="AH7" i="1"/>
  <c r="AH117" i="1"/>
  <c r="AH205" i="1"/>
  <c r="AH18" i="1"/>
  <c r="AH106" i="1"/>
  <c r="AH128" i="1"/>
  <c r="AH150" i="1"/>
  <c r="AH161" i="1"/>
  <c r="AH194" i="1"/>
  <c r="AH216" i="1"/>
  <c r="AH29" i="1"/>
  <c r="AH73" i="1"/>
  <c r="AH227" i="1"/>
  <c r="AH249" i="1"/>
  <c r="AK7" i="1"/>
  <c r="O5" i="5"/>
  <c r="P5" i="5"/>
  <c r="O6" i="5"/>
  <c r="P6" i="5"/>
  <c r="O7" i="5"/>
  <c r="P7" i="5"/>
  <c r="O8" i="5"/>
  <c r="P8" i="5"/>
  <c r="O9" i="5"/>
  <c r="P9" i="5"/>
  <c r="O10" i="5"/>
  <c r="P10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30" i="5"/>
  <c r="P30" i="5"/>
  <c r="O31" i="5"/>
  <c r="P31" i="5"/>
  <c r="O32" i="5"/>
  <c r="P32" i="5"/>
  <c r="O33" i="5"/>
  <c r="P33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AA22" i="1"/>
  <c r="AA33" i="1"/>
  <c r="K5" i="5"/>
  <c r="K6" i="5"/>
  <c r="K7" i="5"/>
  <c r="K8" i="5"/>
  <c r="K9" i="5"/>
  <c r="K10" i="5"/>
  <c r="K13" i="5"/>
  <c r="K14" i="5"/>
  <c r="K15" i="5"/>
  <c r="K16" i="5"/>
  <c r="K17" i="5"/>
  <c r="K18" i="5"/>
  <c r="K19" i="5"/>
  <c r="K21" i="5"/>
  <c r="K22" i="5"/>
  <c r="K23" i="5"/>
  <c r="K24" i="5"/>
  <c r="K25" i="5"/>
  <c r="K26" i="5"/>
  <c r="K27" i="5"/>
  <c r="K30" i="5"/>
  <c r="K31" i="5"/>
  <c r="K32" i="5"/>
  <c r="K33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AL55" i="1"/>
  <c r="AL56" i="1"/>
  <c r="AL57" i="1"/>
  <c r="AL58" i="1"/>
  <c r="AL59" i="1"/>
  <c r="AK60" i="1"/>
  <c r="AL60" i="1"/>
  <c r="AM60" i="1" s="1"/>
  <c r="AK61" i="1"/>
  <c r="AL61" i="1"/>
  <c r="AL62" i="1"/>
  <c r="AL63" i="1"/>
  <c r="AL64" i="1"/>
  <c r="AL65" i="1"/>
  <c r="AL66" i="1"/>
  <c r="AL67" i="1"/>
  <c r="AL68" i="1"/>
  <c r="AL69" i="1"/>
  <c r="AL70" i="1"/>
  <c r="AK71" i="1"/>
  <c r="AL71" i="1"/>
  <c r="AK72" i="1"/>
  <c r="AL72" i="1"/>
  <c r="AL73" i="1"/>
  <c r="AL74" i="1"/>
  <c r="AL75" i="1"/>
  <c r="AL76" i="1"/>
  <c r="AL77" i="1"/>
  <c r="AL78" i="1"/>
  <c r="AL79" i="1"/>
  <c r="AL80" i="1"/>
  <c r="AL81" i="1"/>
  <c r="AK82" i="1"/>
  <c r="AL82" i="1"/>
  <c r="AM82" i="1" s="1"/>
  <c r="AK83" i="1"/>
  <c r="AL83" i="1"/>
  <c r="AL84" i="1"/>
  <c r="AL85" i="1"/>
  <c r="AL86" i="1"/>
  <c r="AL87" i="1"/>
  <c r="AL88" i="1"/>
  <c r="AL89" i="1"/>
  <c r="AL90" i="1"/>
  <c r="AL91" i="1"/>
  <c r="AL92" i="1"/>
  <c r="AK93" i="1"/>
  <c r="AL93" i="1"/>
  <c r="AK94" i="1"/>
  <c r="AL94" i="1"/>
  <c r="AL95" i="1"/>
  <c r="AL96" i="1"/>
  <c r="AL97" i="1"/>
  <c r="AL98" i="1"/>
  <c r="AL99" i="1"/>
  <c r="AL100" i="1"/>
  <c r="AL101" i="1"/>
  <c r="AL102" i="1"/>
  <c r="AL103" i="1"/>
  <c r="AK104" i="1"/>
  <c r="AL104" i="1"/>
  <c r="AM104" i="1" s="1"/>
  <c r="AK105" i="1"/>
  <c r="AL105" i="1"/>
  <c r="AM105" i="1" s="1"/>
  <c r="AL106" i="1"/>
  <c r="AL107" i="1"/>
  <c r="AL108" i="1"/>
  <c r="AL109" i="1"/>
  <c r="AL110" i="1"/>
  <c r="AL111" i="1"/>
  <c r="AL112" i="1"/>
  <c r="AL113" i="1"/>
  <c r="AL114" i="1"/>
  <c r="AK115" i="1"/>
  <c r="AL115" i="1"/>
  <c r="AK116" i="1"/>
  <c r="AL116" i="1"/>
  <c r="AL117" i="1"/>
  <c r="AL118" i="1"/>
  <c r="AL119" i="1"/>
  <c r="AL120" i="1"/>
  <c r="AL121" i="1"/>
  <c r="AL122" i="1"/>
  <c r="AL123" i="1"/>
  <c r="AL124" i="1"/>
  <c r="AL125" i="1"/>
  <c r="AK126" i="1"/>
  <c r="AL126" i="1"/>
  <c r="AM126" i="1" s="1"/>
  <c r="AK127" i="1"/>
  <c r="AL127" i="1"/>
  <c r="AL128" i="1"/>
  <c r="AL129" i="1"/>
  <c r="AL130" i="1"/>
  <c r="AL131" i="1"/>
  <c r="AL132" i="1"/>
  <c r="AL133" i="1"/>
  <c r="AL134" i="1"/>
  <c r="AL135" i="1"/>
  <c r="AL136" i="1"/>
  <c r="AK137" i="1"/>
  <c r="AL137" i="1"/>
  <c r="AK138" i="1"/>
  <c r="AL138" i="1"/>
  <c r="AL139" i="1"/>
  <c r="AL140" i="1"/>
  <c r="AL141" i="1"/>
  <c r="AL142" i="1"/>
  <c r="AL143" i="1"/>
  <c r="AL144" i="1"/>
  <c r="AL145" i="1"/>
  <c r="AL146" i="1"/>
  <c r="AL147" i="1"/>
  <c r="AK148" i="1"/>
  <c r="AL148" i="1"/>
  <c r="AM148" i="1" s="1"/>
  <c r="AK149" i="1"/>
  <c r="AL149" i="1"/>
  <c r="AM149" i="1" s="1"/>
  <c r="AL150" i="1"/>
  <c r="AL151" i="1"/>
  <c r="AL152" i="1"/>
  <c r="AL153" i="1"/>
  <c r="AL154" i="1"/>
  <c r="AL155" i="1"/>
  <c r="AL156" i="1"/>
  <c r="AL157" i="1"/>
  <c r="AL158" i="1"/>
  <c r="AK159" i="1"/>
  <c r="AL159" i="1"/>
  <c r="AK160" i="1"/>
  <c r="AL160" i="1"/>
  <c r="AL161" i="1"/>
  <c r="AL162" i="1"/>
  <c r="AL163" i="1"/>
  <c r="AL164" i="1"/>
  <c r="AL165" i="1"/>
  <c r="AL166" i="1"/>
  <c r="AL167" i="1"/>
  <c r="AL168" i="1"/>
  <c r="AL169" i="1"/>
  <c r="AK170" i="1"/>
  <c r="AL170" i="1"/>
  <c r="AK171" i="1"/>
  <c r="AL171" i="1"/>
  <c r="AL172" i="1"/>
  <c r="AL173" i="1"/>
  <c r="AL174" i="1"/>
  <c r="AL175" i="1"/>
  <c r="AL176" i="1"/>
  <c r="AL177" i="1"/>
  <c r="AL178" i="1"/>
  <c r="AL179" i="1"/>
  <c r="AL180" i="1"/>
  <c r="AK181" i="1"/>
  <c r="AL181" i="1"/>
  <c r="AK182" i="1"/>
  <c r="AL182" i="1"/>
  <c r="AL183" i="1"/>
  <c r="AL184" i="1"/>
  <c r="AL185" i="1"/>
  <c r="AL186" i="1"/>
  <c r="AL187" i="1"/>
  <c r="AL188" i="1"/>
  <c r="AL189" i="1"/>
  <c r="AL190" i="1"/>
  <c r="AL191" i="1"/>
  <c r="AK192" i="1"/>
  <c r="AL192" i="1"/>
  <c r="AK193" i="1"/>
  <c r="AL193" i="1"/>
  <c r="AL194" i="1"/>
  <c r="AL195" i="1"/>
  <c r="AL196" i="1"/>
  <c r="AL197" i="1"/>
  <c r="AL198" i="1"/>
  <c r="AL199" i="1"/>
  <c r="AL200" i="1"/>
  <c r="AL201" i="1"/>
  <c r="AL202" i="1"/>
  <c r="AK203" i="1"/>
  <c r="AL203" i="1"/>
  <c r="AK204" i="1"/>
  <c r="AL204" i="1"/>
  <c r="AL205" i="1"/>
  <c r="AL206" i="1"/>
  <c r="AL207" i="1"/>
  <c r="AL208" i="1"/>
  <c r="AL209" i="1"/>
  <c r="AL210" i="1"/>
  <c r="AL211" i="1"/>
  <c r="AL212" i="1"/>
  <c r="AL213" i="1"/>
  <c r="AK214" i="1"/>
  <c r="AL214" i="1"/>
  <c r="AM214" i="1" s="1"/>
  <c r="AK215" i="1"/>
  <c r="AL215" i="1"/>
  <c r="AL216" i="1"/>
  <c r="AL217" i="1"/>
  <c r="AL218" i="1"/>
  <c r="AL219" i="1"/>
  <c r="AL220" i="1"/>
  <c r="AL221" i="1"/>
  <c r="AL222" i="1"/>
  <c r="AL223" i="1"/>
  <c r="AL224" i="1"/>
  <c r="AK225" i="1"/>
  <c r="AL225" i="1"/>
  <c r="AK226" i="1"/>
  <c r="AL226" i="1"/>
  <c r="AL227" i="1"/>
  <c r="AL228" i="1"/>
  <c r="AL229" i="1"/>
  <c r="AL230" i="1"/>
  <c r="AL231" i="1"/>
  <c r="AL232" i="1"/>
  <c r="AL233" i="1"/>
  <c r="AL234" i="1"/>
  <c r="AL235" i="1"/>
  <c r="AK236" i="1"/>
  <c r="AL236" i="1"/>
  <c r="AK237" i="1"/>
  <c r="AL237" i="1"/>
  <c r="AM237" i="1" s="1"/>
  <c r="AL238" i="1"/>
  <c r="AL239" i="1"/>
  <c r="AL240" i="1"/>
  <c r="AL241" i="1"/>
  <c r="AL242" i="1"/>
  <c r="AL243" i="1"/>
  <c r="AL244" i="1"/>
  <c r="AL245" i="1"/>
  <c r="AL246" i="1"/>
  <c r="AK247" i="1"/>
  <c r="AL247" i="1"/>
  <c r="AK248" i="1"/>
  <c r="AL248" i="1"/>
  <c r="AL249" i="1"/>
  <c r="AL250" i="1"/>
  <c r="AL251" i="1"/>
  <c r="AL252" i="1"/>
  <c r="AL253" i="1"/>
  <c r="AL254" i="1"/>
  <c r="AL255" i="1"/>
  <c r="AL256" i="1"/>
  <c r="AL257" i="1"/>
  <c r="AK258" i="1"/>
  <c r="AL258" i="1"/>
  <c r="AM258" i="1" s="1"/>
  <c r="AK259" i="1"/>
  <c r="AL259" i="1"/>
  <c r="AL260" i="1"/>
  <c r="AL261" i="1"/>
  <c r="AL262" i="1"/>
  <c r="AL263" i="1"/>
  <c r="AL264" i="1"/>
  <c r="AL265" i="1"/>
  <c r="AL266" i="1"/>
  <c r="AL267" i="1"/>
  <c r="AL54" i="1"/>
  <c r="AL53" i="1"/>
  <c r="AL52" i="1"/>
  <c r="AL42" i="1"/>
  <c r="AL43" i="1"/>
  <c r="AL41" i="1"/>
  <c r="U9" i="1"/>
  <c r="U20" i="1" s="1"/>
  <c r="U31" i="1" s="1"/>
  <c r="U42" i="1" s="1"/>
  <c r="AB42" i="1" s="1"/>
  <c r="N21" i="5"/>
  <c r="N22" i="5"/>
  <c r="N23" i="5"/>
  <c r="N24" i="5"/>
  <c r="N25" i="5"/>
  <c r="N26" i="5"/>
  <c r="N27" i="5"/>
  <c r="N30" i="5"/>
  <c r="N31" i="5"/>
  <c r="N32" i="5"/>
  <c r="N33" i="5"/>
  <c r="N37" i="5"/>
  <c r="N38" i="5"/>
  <c r="N39" i="5"/>
  <c r="N40" i="5"/>
  <c r="N41" i="5"/>
  <c r="N42" i="5"/>
  <c r="N43" i="5"/>
  <c r="N45" i="5"/>
  <c r="N46" i="5"/>
  <c r="N47" i="5"/>
  <c r="N48" i="5"/>
  <c r="N49" i="5"/>
  <c r="N50" i="5"/>
  <c r="N51" i="5"/>
  <c r="L51" i="5"/>
  <c r="L50" i="5"/>
  <c r="L49" i="5"/>
  <c r="L48" i="5"/>
  <c r="L47" i="5"/>
  <c r="R47" i="5" s="1"/>
  <c r="L46" i="5"/>
  <c r="L45" i="5"/>
  <c r="L43" i="5"/>
  <c r="L42" i="5"/>
  <c r="L41" i="5"/>
  <c r="L40" i="5"/>
  <c r="L39" i="5"/>
  <c r="L38" i="5"/>
  <c r="R38" i="5" s="1"/>
  <c r="L37" i="5"/>
  <c r="L33" i="5"/>
  <c r="L32" i="5"/>
  <c r="L30" i="5"/>
  <c r="L31" i="5"/>
  <c r="R31" i="5" s="1"/>
  <c r="L27" i="5"/>
  <c r="L26" i="5"/>
  <c r="L25" i="5"/>
  <c r="R25" i="5" s="1"/>
  <c r="L24" i="5"/>
  <c r="L23" i="5"/>
  <c r="L22" i="5"/>
  <c r="L21" i="5"/>
  <c r="N13" i="5"/>
  <c r="N14" i="5"/>
  <c r="N15" i="5"/>
  <c r="N16" i="5"/>
  <c r="N17" i="5"/>
  <c r="N18" i="5"/>
  <c r="N19" i="5"/>
  <c r="L19" i="5"/>
  <c r="L18" i="5"/>
  <c r="R18" i="5" s="1"/>
  <c r="L16" i="5"/>
  <c r="L17" i="5"/>
  <c r="L15" i="5"/>
  <c r="L14" i="5"/>
  <c r="R14" i="5" s="1"/>
  <c r="L13" i="5"/>
  <c r="N5" i="5"/>
  <c r="N6" i="5"/>
  <c r="K19" i="1" s="1"/>
  <c r="K30" i="1" s="1"/>
  <c r="N7" i="5"/>
  <c r="K20" i="1" s="1"/>
  <c r="K31" i="1" s="1"/>
  <c r="N8" i="5"/>
  <c r="K21" i="1" s="1"/>
  <c r="K32" i="1" s="1"/>
  <c r="N9" i="5"/>
  <c r="K22" i="1" s="1"/>
  <c r="K33" i="1" s="1"/>
  <c r="N10" i="5"/>
  <c r="L10" i="5"/>
  <c r="R10" i="5" s="1"/>
  <c r="L9" i="5"/>
  <c r="U11" i="1" s="1"/>
  <c r="U22" i="1" s="1"/>
  <c r="AC22" i="1" s="1"/>
  <c r="L8" i="5"/>
  <c r="U10" i="1" s="1"/>
  <c r="U21" i="1" s="1"/>
  <c r="U32" i="1" s="1"/>
  <c r="AC32" i="1" s="1"/>
  <c r="L7" i="5"/>
  <c r="L6" i="5"/>
  <c r="U8" i="1" s="1"/>
  <c r="L5" i="5"/>
  <c r="U7" i="1" s="1"/>
  <c r="U18" i="1" s="1"/>
  <c r="U29" i="1" s="1"/>
  <c r="U40" i="1" s="1"/>
  <c r="J106" i="1"/>
  <c r="S106" i="1" s="1"/>
  <c r="J117" i="1"/>
  <c r="S117" i="1" s="1"/>
  <c r="J128" i="1"/>
  <c r="S128" i="1" s="1"/>
  <c r="J139" i="1"/>
  <c r="S139" i="1" s="1"/>
  <c r="J150" i="1"/>
  <c r="S150" i="1" s="1"/>
  <c r="J161" i="1"/>
  <c r="S161" i="1" s="1"/>
  <c r="J172" i="1"/>
  <c r="S172" i="1" s="1"/>
  <c r="J183" i="1"/>
  <c r="S183" i="1" s="1"/>
  <c r="J194" i="1"/>
  <c r="S194" i="1" s="1"/>
  <c r="J205" i="1"/>
  <c r="S205" i="1" s="1"/>
  <c r="J216" i="1"/>
  <c r="S216" i="1" s="1"/>
  <c r="J227" i="1"/>
  <c r="S227" i="1" s="1"/>
  <c r="S238" i="1"/>
  <c r="J249" i="1"/>
  <c r="S249" i="1" s="1"/>
  <c r="J260" i="1"/>
  <c r="S260" i="1" s="1"/>
  <c r="J95" i="1"/>
  <c r="S95" i="1" s="1"/>
  <c r="J84" i="1"/>
  <c r="S84" i="1" s="1"/>
  <c r="J73" i="1"/>
  <c r="S73" i="1" s="1"/>
  <c r="J62" i="1"/>
  <c r="S62" i="1" s="1"/>
  <c r="J51" i="1"/>
  <c r="S51" i="1" s="1"/>
  <c r="J40" i="1"/>
  <c r="S40" i="1" s="1"/>
  <c r="J29" i="1"/>
  <c r="S29" i="1" s="1"/>
  <c r="J18" i="1"/>
  <c r="S18" i="1" s="1"/>
  <c r="J7" i="1"/>
  <c r="S7" i="1" s="1"/>
  <c r="G6" i="3"/>
  <c r="G14" i="3"/>
  <c r="G22" i="3"/>
  <c r="G30" i="3"/>
  <c r="G38" i="3"/>
  <c r="G46" i="3"/>
  <c r="E5" i="3"/>
  <c r="G4" i="3" s="1"/>
  <c r="E6" i="3"/>
  <c r="E7" i="3"/>
  <c r="E8" i="3"/>
  <c r="E9" i="3"/>
  <c r="G8" i="3" s="1"/>
  <c r="E10" i="3"/>
  <c r="E11" i="3"/>
  <c r="G10" i="3" s="1"/>
  <c r="E12" i="3"/>
  <c r="E13" i="3"/>
  <c r="G12" i="3" s="1"/>
  <c r="E14" i="3"/>
  <c r="E15" i="3"/>
  <c r="E16" i="3"/>
  <c r="E17" i="3"/>
  <c r="G16" i="3" s="1"/>
  <c r="E18" i="3"/>
  <c r="E19" i="3"/>
  <c r="G18" i="3" s="1"/>
  <c r="E20" i="3"/>
  <c r="E21" i="3"/>
  <c r="G20" i="3" s="1"/>
  <c r="E22" i="3"/>
  <c r="E23" i="3"/>
  <c r="E24" i="3"/>
  <c r="E25" i="3"/>
  <c r="G24" i="3" s="1"/>
  <c r="E26" i="3"/>
  <c r="E27" i="3"/>
  <c r="G26" i="3" s="1"/>
  <c r="E28" i="3"/>
  <c r="E29" i="3"/>
  <c r="G28" i="3" s="1"/>
  <c r="E30" i="3"/>
  <c r="E31" i="3"/>
  <c r="E32" i="3"/>
  <c r="E33" i="3"/>
  <c r="G32" i="3" s="1"/>
  <c r="E34" i="3"/>
  <c r="E35" i="3"/>
  <c r="G34" i="3" s="1"/>
  <c r="E36" i="3"/>
  <c r="E37" i="3"/>
  <c r="G36" i="3" s="1"/>
  <c r="E38" i="3"/>
  <c r="E39" i="3"/>
  <c r="E40" i="3"/>
  <c r="E41" i="3"/>
  <c r="G40" i="3" s="1"/>
  <c r="E42" i="3"/>
  <c r="E43" i="3"/>
  <c r="G42" i="3" s="1"/>
  <c r="E44" i="3"/>
  <c r="E45" i="3"/>
  <c r="G44" i="3" s="1"/>
  <c r="E46" i="3"/>
  <c r="E47" i="3"/>
  <c r="E48" i="3"/>
  <c r="E49" i="3"/>
  <c r="G48" i="3" s="1"/>
  <c r="E50" i="3"/>
  <c r="E51" i="3"/>
  <c r="G50" i="3" s="1"/>
  <c r="E4" i="3"/>
  <c r="I5" i="2"/>
  <c r="K5" i="2"/>
  <c r="I7" i="2"/>
  <c r="K7" i="2"/>
  <c r="I9" i="2"/>
  <c r="K9" i="2"/>
  <c r="I11" i="2"/>
  <c r="K11" i="2"/>
  <c r="I13" i="2"/>
  <c r="K13" i="2"/>
  <c r="I15" i="2"/>
  <c r="K15" i="2"/>
  <c r="I17" i="2"/>
  <c r="K17" i="2"/>
  <c r="I19" i="2"/>
  <c r="K19" i="2"/>
  <c r="I21" i="2"/>
  <c r="K21" i="2"/>
  <c r="I23" i="2"/>
  <c r="K23" i="2"/>
  <c r="I25" i="2"/>
  <c r="K25" i="2"/>
  <c r="I27" i="2"/>
  <c r="K27" i="2"/>
  <c r="F6" i="2"/>
  <c r="I6" i="2" s="1"/>
  <c r="F7" i="2"/>
  <c r="J7" i="2" s="1"/>
  <c r="F8" i="2"/>
  <c r="K8" i="2" s="1"/>
  <c r="F9" i="2"/>
  <c r="H9" i="2" s="1"/>
  <c r="F10" i="2"/>
  <c r="I10" i="2" s="1"/>
  <c r="F11" i="2"/>
  <c r="J11" i="2" s="1"/>
  <c r="F12" i="2"/>
  <c r="K12" i="2" s="1"/>
  <c r="F13" i="2"/>
  <c r="H13" i="2" s="1"/>
  <c r="F14" i="2"/>
  <c r="I14" i="2" s="1"/>
  <c r="F15" i="2"/>
  <c r="J15" i="2" s="1"/>
  <c r="F16" i="2"/>
  <c r="K16" i="2" s="1"/>
  <c r="F17" i="2"/>
  <c r="H17" i="2" s="1"/>
  <c r="F18" i="2"/>
  <c r="I18" i="2" s="1"/>
  <c r="F19" i="2"/>
  <c r="J19" i="2" s="1"/>
  <c r="F20" i="2"/>
  <c r="K20" i="2" s="1"/>
  <c r="F21" i="2"/>
  <c r="H21" i="2" s="1"/>
  <c r="F22" i="2"/>
  <c r="I22" i="2" s="1"/>
  <c r="F23" i="2"/>
  <c r="J23" i="2" s="1"/>
  <c r="F24" i="2"/>
  <c r="K24" i="2" s="1"/>
  <c r="F25" i="2"/>
  <c r="H25" i="2" s="1"/>
  <c r="F26" i="2"/>
  <c r="I26" i="2" s="1"/>
  <c r="F27" i="2"/>
  <c r="J27" i="2" s="1"/>
  <c r="F28" i="2"/>
  <c r="K28" i="2" s="1"/>
  <c r="F5" i="2"/>
  <c r="H5" i="2" s="1"/>
  <c r="O264" i="1"/>
  <c r="R264" i="1" s="1"/>
  <c r="O263" i="1"/>
  <c r="R263" i="1" s="1"/>
  <c r="O262" i="1"/>
  <c r="R262" i="1" s="1"/>
  <c r="O261" i="1"/>
  <c r="R261" i="1" s="1"/>
  <c r="O260" i="1"/>
  <c r="R260" i="1" s="1"/>
  <c r="O252" i="1"/>
  <c r="R252" i="1" s="1"/>
  <c r="O251" i="1"/>
  <c r="R251" i="1" s="1"/>
  <c r="O250" i="1"/>
  <c r="R250" i="1" s="1"/>
  <c r="O249" i="1"/>
  <c r="R249" i="1" s="1"/>
  <c r="O241" i="1"/>
  <c r="R241" i="1" s="1"/>
  <c r="O240" i="1"/>
  <c r="R240" i="1" s="1"/>
  <c r="O239" i="1"/>
  <c r="R239" i="1" s="1"/>
  <c r="O238" i="1"/>
  <c r="R238" i="1" s="1"/>
  <c r="O230" i="1"/>
  <c r="R230" i="1" s="1"/>
  <c r="O229" i="1"/>
  <c r="R229" i="1" s="1"/>
  <c r="O228" i="1"/>
  <c r="R228" i="1" s="1"/>
  <c r="O227" i="1"/>
  <c r="R227" i="1" s="1"/>
  <c r="O220" i="1"/>
  <c r="R220" i="1" s="1"/>
  <c r="O219" i="1"/>
  <c r="R219" i="1" s="1"/>
  <c r="O218" i="1"/>
  <c r="R218" i="1" s="1"/>
  <c r="O217" i="1"/>
  <c r="R217" i="1" s="1"/>
  <c r="O216" i="1"/>
  <c r="R216" i="1" s="1"/>
  <c r="O209" i="1"/>
  <c r="R209" i="1" s="1"/>
  <c r="O208" i="1"/>
  <c r="R208" i="1" s="1"/>
  <c r="O207" i="1"/>
  <c r="R207" i="1" s="1"/>
  <c r="O206" i="1"/>
  <c r="R206" i="1" s="1"/>
  <c r="O205" i="1"/>
  <c r="R205" i="1" s="1"/>
  <c r="O197" i="1"/>
  <c r="R197" i="1" s="1"/>
  <c r="O196" i="1"/>
  <c r="R196" i="1" s="1"/>
  <c r="O195" i="1"/>
  <c r="R195" i="1" s="1"/>
  <c r="O194" i="1"/>
  <c r="R194" i="1" s="1"/>
  <c r="T194" i="1" s="1"/>
  <c r="AB194" i="1" s="1"/>
  <c r="O187" i="1"/>
  <c r="R187" i="1" s="1"/>
  <c r="O186" i="1"/>
  <c r="R186" i="1" s="1"/>
  <c r="O185" i="1"/>
  <c r="R185" i="1" s="1"/>
  <c r="O184" i="1"/>
  <c r="R184" i="1" s="1"/>
  <c r="O183" i="1"/>
  <c r="R183" i="1" s="1"/>
  <c r="O176" i="1"/>
  <c r="R176" i="1" s="1"/>
  <c r="O175" i="1"/>
  <c r="R175" i="1" s="1"/>
  <c r="O174" i="1"/>
  <c r="R174" i="1" s="1"/>
  <c r="O173" i="1"/>
  <c r="R173" i="1" s="1"/>
  <c r="O172" i="1"/>
  <c r="R172" i="1" s="1"/>
  <c r="O169" i="1"/>
  <c r="R169" i="1" s="1"/>
  <c r="O168" i="1"/>
  <c r="R168" i="1" s="1"/>
  <c r="O167" i="1"/>
  <c r="R167" i="1" s="1"/>
  <c r="O166" i="1"/>
  <c r="R166" i="1" s="1"/>
  <c r="O165" i="1"/>
  <c r="R165" i="1" s="1"/>
  <c r="O164" i="1"/>
  <c r="R164" i="1" s="1"/>
  <c r="O163" i="1"/>
  <c r="R163" i="1" s="1"/>
  <c r="O162" i="1"/>
  <c r="R162" i="1" s="1"/>
  <c r="O161" i="1"/>
  <c r="R161" i="1" s="1"/>
  <c r="O154" i="1"/>
  <c r="R154" i="1" s="1"/>
  <c r="O153" i="1"/>
  <c r="R153" i="1" s="1"/>
  <c r="O152" i="1"/>
  <c r="R152" i="1" s="1"/>
  <c r="O151" i="1"/>
  <c r="R151" i="1" s="1"/>
  <c r="O150" i="1"/>
  <c r="R150" i="1" s="1"/>
  <c r="T150" i="1" s="1"/>
  <c r="AB150" i="1" s="1"/>
  <c r="O143" i="1"/>
  <c r="R143" i="1" s="1"/>
  <c r="O142" i="1"/>
  <c r="R142" i="1" s="1"/>
  <c r="O141" i="1"/>
  <c r="R141" i="1" s="1"/>
  <c r="O140" i="1"/>
  <c r="R140" i="1" s="1"/>
  <c r="O139" i="1"/>
  <c r="R139" i="1" s="1"/>
  <c r="O133" i="1"/>
  <c r="R133" i="1" s="1"/>
  <c r="O132" i="1"/>
  <c r="R132" i="1" s="1"/>
  <c r="O131" i="1"/>
  <c r="R131" i="1" s="1"/>
  <c r="O130" i="1"/>
  <c r="R130" i="1" s="1"/>
  <c r="O129" i="1"/>
  <c r="R129" i="1" s="1"/>
  <c r="O128" i="1"/>
  <c r="R128" i="1" s="1"/>
  <c r="O125" i="1"/>
  <c r="R125" i="1" s="1"/>
  <c r="O124" i="1"/>
  <c r="R124" i="1" s="1"/>
  <c r="O123" i="1"/>
  <c r="R123" i="1" s="1"/>
  <c r="O122" i="1"/>
  <c r="R122" i="1" s="1"/>
  <c r="O121" i="1"/>
  <c r="R121" i="1" s="1"/>
  <c r="O120" i="1"/>
  <c r="R120" i="1" s="1"/>
  <c r="O119" i="1"/>
  <c r="R119" i="1" s="1"/>
  <c r="O118" i="1"/>
  <c r="R118" i="1" s="1"/>
  <c r="O117" i="1"/>
  <c r="R117" i="1" s="1"/>
  <c r="O109" i="1"/>
  <c r="R109" i="1" s="1"/>
  <c r="O108" i="1"/>
  <c r="R108" i="1" s="1"/>
  <c r="O107" i="1"/>
  <c r="R107" i="1" s="1"/>
  <c r="O106" i="1"/>
  <c r="R106" i="1" s="1"/>
  <c r="O99" i="1"/>
  <c r="R99" i="1" s="1"/>
  <c r="O98" i="1"/>
  <c r="R98" i="1" s="1"/>
  <c r="O97" i="1"/>
  <c r="R97" i="1" s="1"/>
  <c r="O96" i="1"/>
  <c r="R96" i="1" s="1"/>
  <c r="O95" i="1"/>
  <c r="R95" i="1" s="1"/>
  <c r="O87" i="1"/>
  <c r="R87" i="1" s="1"/>
  <c r="O86" i="1"/>
  <c r="R86" i="1" s="1"/>
  <c r="O85" i="1"/>
  <c r="R85" i="1" s="1"/>
  <c r="O84" i="1"/>
  <c r="R84" i="1" s="1"/>
  <c r="O77" i="1"/>
  <c r="R77" i="1" s="1"/>
  <c r="O78" i="1"/>
  <c r="R78" i="1" s="1"/>
  <c r="O79" i="1"/>
  <c r="R79" i="1" s="1"/>
  <c r="O80" i="1"/>
  <c r="R80" i="1" s="1"/>
  <c r="O81" i="1"/>
  <c r="R81" i="1" s="1"/>
  <c r="O76" i="1"/>
  <c r="R76" i="1" s="1"/>
  <c r="O75" i="1"/>
  <c r="R75" i="1" s="1"/>
  <c r="O74" i="1"/>
  <c r="R74" i="1" s="1"/>
  <c r="O73" i="1"/>
  <c r="R73" i="1" s="1"/>
  <c r="O64" i="1"/>
  <c r="R64" i="1" s="1"/>
  <c r="O63" i="1"/>
  <c r="R63" i="1" s="1"/>
  <c r="O62" i="1"/>
  <c r="R62" i="1" s="1"/>
  <c r="O54" i="1"/>
  <c r="R54" i="1" s="1"/>
  <c r="O53" i="1"/>
  <c r="R53" i="1" s="1"/>
  <c r="O52" i="1"/>
  <c r="R52" i="1" s="1"/>
  <c r="O51" i="1"/>
  <c r="R51" i="1" s="1"/>
  <c r="O43" i="1"/>
  <c r="R43" i="1" s="1"/>
  <c r="O42" i="1"/>
  <c r="R42" i="1" s="1"/>
  <c r="O41" i="1"/>
  <c r="R41" i="1" s="1"/>
  <c r="O40" i="1"/>
  <c r="R40" i="1" s="1"/>
  <c r="O33" i="1"/>
  <c r="O32" i="1"/>
  <c r="O31" i="1"/>
  <c r="O30" i="1"/>
  <c r="O29" i="1"/>
  <c r="O22" i="1"/>
  <c r="O21" i="1"/>
  <c r="O20" i="1"/>
  <c r="O19" i="1"/>
  <c r="O18" i="1"/>
  <c r="R18" i="1" s="1"/>
  <c r="O8" i="1"/>
  <c r="O9" i="1"/>
  <c r="O10" i="1"/>
  <c r="O7" i="1"/>
  <c r="R7" i="1" s="1"/>
  <c r="T7" i="1" s="1"/>
  <c r="AA264" i="1"/>
  <c r="AA263" i="1"/>
  <c r="AA262" i="1"/>
  <c r="AA261" i="1"/>
  <c r="AA260" i="1"/>
  <c r="AA252" i="1"/>
  <c r="AA251" i="1"/>
  <c r="AA250" i="1"/>
  <c r="AA249" i="1"/>
  <c r="AA241" i="1"/>
  <c r="AA240" i="1"/>
  <c r="AA239" i="1"/>
  <c r="AA238" i="1"/>
  <c r="AA230" i="1"/>
  <c r="AA229" i="1"/>
  <c r="AA228" i="1"/>
  <c r="AA227" i="1"/>
  <c r="AA220" i="1"/>
  <c r="AA219" i="1"/>
  <c r="AA218" i="1"/>
  <c r="AA217" i="1"/>
  <c r="AA216" i="1"/>
  <c r="AA209" i="1"/>
  <c r="AA208" i="1"/>
  <c r="AA207" i="1"/>
  <c r="AA206" i="1"/>
  <c r="AA205" i="1"/>
  <c r="AA197" i="1"/>
  <c r="AA196" i="1"/>
  <c r="AA195" i="1"/>
  <c r="AA194" i="1"/>
  <c r="AA187" i="1"/>
  <c r="AA186" i="1"/>
  <c r="AA185" i="1"/>
  <c r="AA184" i="1"/>
  <c r="AA183" i="1"/>
  <c r="AA176" i="1"/>
  <c r="AA175" i="1"/>
  <c r="AA174" i="1"/>
  <c r="AA173" i="1"/>
  <c r="AA172" i="1"/>
  <c r="AA169" i="1"/>
  <c r="AA168" i="1"/>
  <c r="AA167" i="1"/>
  <c r="AA166" i="1"/>
  <c r="AA165" i="1"/>
  <c r="AA164" i="1"/>
  <c r="AA163" i="1"/>
  <c r="AA162" i="1"/>
  <c r="AA161" i="1"/>
  <c r="AA154" i="1"/>
  <c r="AA153" i="1"/>
  <c r="AA152" i="1"/>
  <c r="AA151" i="1"/>
  <c r="AA150" i="1"/>
  <c r="AA143" i="1"/>
  <c r="AA142" i="1"/>
  <c r="AA141" i="1"/>
  <c r="AA140" i="1"/>
  <c r="AA139" i="1"/>
  <c r="AA133" i="1"/>
  <c r="AA132" i="1"/>
  <c r="AA131" i="1"/>
  <c r="AA130" i="1"/>
  <c r="AA129" i="1"/>
  <c r="AA128" i="1"/>
  <c r="AA125" i="1"/>
  <c r="AA124" i="1"/>
  <c r="AA123" i="1"/>
  <c r="AA122" i="1"/>
  <c r="AA121" i="1"/>
  <c r="AA120" i="1"/>
  <c r="AA119" i="1"/>
  <c r="AA118" i="1"/>
  <c r="AA117" i="1"/>
  <c r="AA109" i="1"/>
  <c r="AA108" i="1"/>
  <c r="AA107" i="1"/>
  <c r="AA106" i="1"/>
  <c r="AA99" i="1"/>
  <c r="AA98" i="1"/>
  <c r="AA97" i="1"/>
  <c r="AA96" i="1"/>
  <c r="AA95" i="1"/>
  <c r="AA87" i="1"/>
  <c r="AA86" i="1"/>
  <c r="AA85" i="1"/>
  <c r="AA84" i="1"/>
  <c r="AA81" i="1"/>
  <c r="AA80" i="1"/>
  <c r="AA79" i="1"/>
  <c r="AA78" i="1"/>
  <c r="AA77" i="1"/>
  <c r="AA76" i="1"/>
  <c r="AA75" i="1"/>
  <c r="AA74" i="1"/>
  <c r="AA73" i="1"/>
  <c r="AA64" i="1"/>
  <c r="AA63" i="1"/>
  <c r="AA62" i="1"/>
  <c r="AA54" i="1"/>
  <c r="AA53" i="1"/>
  <c r="AA52" i="1"/>
  <c r="AA51" i="1"/>
  <c r="AA43" i="1"/>
  <c r="AA42" i="1"/>
  <c r="AA41" i="1"/>
  <c r="AA40" i="1"/>
  <c r="AA32" i="1"/>
  <c r="AA31" i="1"/>
  <c r="AA30" i="1"/>
  <c r="AA29" i="1"/>
  <c r="AA21" i="1"/>
  <c r="AA20" i="1"/>
  <c r="AA19" i="1"/>
  <c r="AA18" i="1"/>
  <c r="AA10" i="1"/>
  <c r="AA9" i="1"/>
  <c r="AA8" i="1"/>
  <c r="AA7" i="1"/>
  <c r="AB5" i="5" l="1"/>
  <c r="Q13" i="5"/>
  <c r="Q9" i="5"/>
  <c r="Q5" i="5"/>
  <c r="R45" i="5"/>
  <c r="R33" i="5"/>
  <c r="R23" i="5"/>
  <c r="R16" i="5"/>
  <c r="R24" i="5"/>
  <c r="R37" i="5"/>
  <c r="R41" i="5"/>
  <c r="R46" i="5"/>
  <c r="R50" i="5"/>
  <c r="AM159" i="1"/>
  <c r="I4" i="3"/>
  <c r="I5" i="3"/>
  <c r="H22" i="2"/>
  <c r="H14" i="2"/>
  <c r="H10" i="2"/>
  <c r="H6" i="2"/>
  <c r="H30" i="2" s="1"/>
  <c r="J22" i="2"/>
  <c r="J18" i="2"/>
  <c r="J14" i="2"/>
  <c r="J10" i="2"/>
  <c r="J6" i="2"/>
  <c r="H28" i="2"/>
  <c r="H24" i="2"/>
  <c r="H20" i="2"/>
  <c r="H16" i="2"/>
  <c r="H12" i="2"/>
  <c r="H8" i="2"/>
  <c r="J28" i="2"/>
  <c r="J24" i="2"/>
  <c r="J20" i="2"/>
  <c r="J16" i="2"/>
  <c r="J12" i="2"/>
  <c r="J8" i="2"/>
  <c r="H27" i="2"/>
  <c r="H23" i="2"/>
  <c r="H19" i="2"/>
  <c r="H15" i="2"/>
  <c r="H11" i="2"/>
  <c r="H7" i="2"/>
  <c r="I28" i="2"/>
  <c r="K26" i="2"/>
  <c r="J25" i="2"/>
  <c r="I24" i="2"/>
  <c r="K22" i="2"/>
  <c r="J21" i="2"/>
  <c r="I20" i="2"/>
  <c r="K18" i="2"/>
  <c r="J17" i="2"/>
  <c r="I16" i="2"/>
  <c r="K14" i="2"/>
  <c r="J13" i="2"/>
  <c r="I12" i="2"/>
  <c r="K10" i="2"/>
  <c r="J9" i="2"/>
  <c r="I8" i="2"/>
  <c r="I31" i="2" s="1"/>
  <c r="K6" i="2"/>
  <c r="K31" i="2" s="1"/>
  <c r="J5" i="2"/>
  <c r="W9" i="5"/>
  <c r="W5" i="5"/>
  <c r="W8" i="5"/>
  <c r="R30" i="5"/>
  <c r="X20" i="5"/>
  <c r="X18" i="5"/>
  <c r="R15" i="5"/>
  <c r="R13" i="5"/>
  <c r="R9" i="5"/>
  <c r="R7" i="5"/>
  <c r="R5" i="5"/>
  <c r="H26" i="2"/>
  <c r="H18" i="2"/>
  <c r="J26" i="2"/>
  <c r="Q48" i="5"/>
  <c r="Q43" i="5"/>
  <c r="Q39" i="5"/>
  <c r="Q32" i="5"/>
  <c r="Q26" i="5"/>
  <c r="Q22" i="5"/>
  <c r="Q17" i="5"/>
  <c r="X7" i="5"/>
  <c r="U53" i="1" s="1"/>
  <c r="U64" i="1" s="1"/>
  <c r="AK64" i="1" s="1"/>
  <c r="AM64" i="1" s="1"/>
  <c r="K64" i="1" s="1"/>
  <c r="X11" i="5"/>
  <c r="U57" i="1" s="1"/>
  <c r="U58" i="1" s="1"/>
  <c r="U59" i="1" s="1"/>
  <c r="AM259" i="1"/>
  <c r="R51" i="5"/>
  <c r="R49" i="5"/>
  <c r="R42" i="5"/>
  <c r="R40" i="5"/>
  <c r="R27" i="5"/>
  <c r="R21" i="5"/>
  <c r="X16" i="5"/>
  <c r="X21" i="5"/>
  <c r="Q37" i="5"/>
  <c r="Q30" i="5"/>
  <c r="Q24" i="5"/>
  <c r="W21" i="5"/>
  <c r="Q15" i="5"/>
  <c r="Q7" i="5"/>
  <c r="Y5" i="5"/>
  <c r="Y8" i="5"/>
  <c r="AB10" i="5"/>
  <c r="AB6" i="5"/>
  <c r="Q51" i="5"/>
  <c r="Q49" i="5"/>
  <c r="Q47" i="5"/>
  <c r="Q45" i="5"/>
  <c r="Q42" i="5"/>
  <c r="Q40" i="5"/>
  <c r="Q38" i="5"/>
  <c r="Q33" i="5"/>
  <c r="Q31" i="5"/>
  <c r="Q27" i="5"/>
  <c r="Q25" i="5"/>
  <c r="Q23" i="5"/>
  <c r="Q21" i="5"/>
  <c r="Q18" i="5"/>
  <c r="W18" i="5"/>
  <c r="W16" i="5"/>
  <c r="Q10" i="5"/>
  <c r="Q8" i="5"/>
  <c r="Q6" i="5"/>
  <c r="X17" i="5"/>
  <c r="AB8" i="5"/>
  <c r="Q50" i="5"/>
  <c r="Q46" i="5"/>
  <c r="Q41" i="5"/>
  <c r="X9" i="5"/>
  <c r="U55" i="1" s="1"/>
  <c r="AK55" i="1" s="1"/>
  <c r="AM55" i="1" s="1"/>
  <c r="AB11" i="5"/>
  <c r="AB7" i="5"/>
  <c r="X6" i="5"/>
  <c r="U52" i="1" s="1"/>
  <c r="AB52" i="1" s="1"/>
  <c r="R26" i="5"/>
  <c r="R32" i="5"/>
  <c r="R39" i="5"/>
  <c r="R43" i="5"/>
  <c r="R48" i="5"/>
  <c r="AB9" i="5"/>
  <c r="AA5" i="5"/>
  <c r="W11" i="5"/>
  <c r="W7" i="5"/>
  <c r="W10" i="5"/>
  <c r="W6" i="5"/>
  <c r="X19" i="5"/>
  <c r="X15" i="5"/>
  <c r="R19" i="5"/>
  <c r="X10" i="5"/>
  <c r="U56" i="1" s="1"/>
  <c r="AK56" i="1" s="1"/>
  <c r="AM56" i="1" s="1"/>
  <c r="X5" i="5"/>
  <c r="U51" i="1" s="1"/>
  <c r="U62" i="1" s="1"/>
  <c r="U73" i="1" s="1"/>
  <c r="U84" i="1" s="1"/>
  <c r="U95" i="1" s="1"/>
  <c r="U106" i="1" s="1"/>
  <c r="X8" i="5"/>
  <c r="U54" i="1" s="1"/>
  <c r="U65" i="1" s="1"/>
  <c r="U76" i="1" s="1"/>
  <c r="AC76" i="1" s="1"/>
  <c r="Y11" i="5"/>
  <c r="Y7" i="5"/>
  <c r="AA11" i="5"/>
  <c r="AA7" i="5"/>
  <c r="R8" i="5"/>
  <c r="R17" i="5"/>
  <c r="R22" i="5"/>
  <c r="W20" i="5"/>
  <c r="W15" i="5"/>
  <c r="Y10" i="5"/>
  <c r="Y6" i="5"/>
  <c r="AA10" i="5"/>
  <c r="AA6" i="5"/>
  <c r="Q14" i="5"/>
  <c r="Q16" i="5"/>
  <c r="T13" i="5" s="1"/>
  <c r="W19" i="5"/>
  <c r="Y9" i="5"/>
  <c r="AA9" i="5"/>
  <c r="R6" i="5"/>
  <c r="W17" i="5"/>
  <c r="AA8" i="5"/>
  <c r="Q19" i="5"/>
  <c r="AC8" i="1"/>
  <c r="AC10" i="1"/>
  <c r="AC9" i="1"/>
  <c r="AM248" i="1"/>
  <c r="AM225" i="1"/>
  <c r="AM181" i="1"/>
  <c r="AM160" i="1"/>
  <c r="AM93" i="1"/>
  <c r="AM203" i="1"/>
  <c r="AM182" i="1"/>
  <c r="AM94" i="1"/>
  <c r="AC20" i="1"/>
  <c r="AK58" i="1"/>
  <c r="AM58" i="1" s="1"/>
  <c r="AC7" i="1"/>
  <c r="AM215" i="1"/>
  <c r="AM171" i="1"/>
  <c r="AM138" i="1"/>
  <c r="AM72" i="1"/>
  <c r="AC31" i="1"/>
  <c r="AC21" i="1"/>
  <c r="AM170" i="1"/>
  <c r="AC194" i="1"/>
  <c r="AC150" i="1"/>
  <c r="AC42" i="1"/>
  <c r="T117" i="1"/>
  <c r="T84" i="1"/>
  <c r="T73" i="1"/>
  <c r="K29" i="1"/>
  <c r="AM247" i="1"/>
  <c r="AM236" i="1"/>
  <c r="AM193" i="1"/>
  <c r="AM137" i="1"/>
  <c r="AM71" i="1"/>
  <c r="T205" i="1"/>
  <c r="K62" i="1"/>
  <c r="AB21" i="1"/>
  <c r="U33" i="1"/>
  <c r="AC33" i="1" s="1"/>
  <c r="AB22" i="1"/>
  <c r="AM226" i="1"/>
  <c r="AM204" i="1"/>
  <c r="AM192" i="1"/>
  <c r="AM127" i="1"/>
  <c r="AM83" i="1"/>
  <c r="AM61" i="1"/>
  <c r="AB31" i="1"/>
  <c r="U43" i="1"/>
  <c r="AB32" i="1"/>
  <c r="AM115" i="1"/>
  <c r="AB20" i="1"/>
  <c r="AM116" i="1"/>
  <c r="K10" i="1"/>
  <c r="AK42" i="1"/>
  <c r="AM42" i="1" s="1"/>
  <c r="K42" i="1" s="1"/>
  <c r="K9" i="1"/>
  <c r="U19" i="1"/>
  <c r="K8" i="1"/>
  <c r="K194" i="1"/>
  <c r="K183" i="1"/>
  <c r="K139" i="1"/>
  <c r="K95" i="1"/>
  <c r="K7" i="1"/>
  <c r="K249" i="1"/>
  <c r="K205" i="1"/>
  <c r="K161" i="1"/>
  <c r="K117" i="1"/>
  <c r="K73" i="1"/>
  <c r="K18" i="1"/>
  <c r="K238" i="1"/>
  <c r="K150" i="1"/>
  <c r="K106" i="1"/>
  <c r="K227" i="1"/>
  <c r="K51" i="1"/>
  <c r="K260" i="1"/>
  <c r="K216" i="1"/>
  <c r="K172" i="1"/>
  <c r="K128" i="1"/>
  <c r="K84" i="1"/>
  <c r="K40" i="1"/>
  <c r="T62" i="1"/>
  <c r="T18" i="1"/>
  <c r="T161" i="1"/>
  <c r="T238" i="1"/>
  <c r="T172" i="1"/>
  <c r="T128" i="1"/>
  <c r="T51" i="1"/>
  <c r="T95" i="1"/>
  <c r="T139" i="1"/>
  <c r="T249" i="1"/>
  <c r="T183" i="1"/>
  <c r="T106" i="1"/>
  <c r="T216" i="1"/>
  <c r="T40" i="1"/>
  <c r="T260" i="1"/>
  <c r="T227" i="1"/>
  <c r="T45" i="5" l="1"/>
  <c r="T46" i="5"/>
  <c r="T47" i="5" s="1"/>
  <c r="T38" i="5"/>
  <c r="T5" i="5"/>
  <c r="AC19" i="1"/>
  <c r="AB19" i="1"/>
  <c r="U69" i="1"/>
  <c r="U80" i="1" s="1"/>
  <c r="U75" i="1"/>
  <c r="AC75" i="1" s="1"/>
  <c r="U68" i="1"/>
  <c r="U79" i="1" s="1"/>
  <c r="AK57" i="1"/>
  <c r="AM57" i="1" s="1"/>
  <c r="U87" i="1"/>
  <c r="AK87" i="1" s="1"/>
  <c r="AM87" i="1" s="1"/>
  <c r="K87" i="1" s="1"/>
  <c r="AC64" i="1"/>
  <c r="X23" i="5"/>
  <c r="AK53" i="1"/>
  <c r="AM53" i="1" s="1"/>
  <c r="K53" i="1" s="1"/>
  <c r="AB64" i="1"/>
  <c r="AB53" i="1"/>
  <c r="AC53" i="1"/>
  <c r="T21" i="5"/>
  <c r="T6" i="5"/>
  <c r="I30" i="2"/>
  <c r="T30" i="5"/>
  <c r="T22" i="5"/>
  <c r="T23" i="5" s="1"/>
  <c r="T37" i="5"/>
  <c r="T39" i="5" s="1"/>
  <c r="H31" i="2"/>
  <c r="T14" i="5"/>
  <c r="T15" i="5" s="1"/>
  <c r="T31" i="5"/>
  <c r="J30" i="2"/>
  <c r="J31" i="2"/>
  <c r="K30" i="2"/>
  <c r="AK65" i="1"/>
  <c r="AM65" i="1" s="1"/>
  <c r="K65" i="1" s="1"/>
  <c r="U67" i="1"/>
  <c r="AK67" i="1" s="1"/>
  <c r="AM67" i="1" s="1"/>
  <c r="AK54" i="1"/>
  <c r="AM54" i="1" s="1"/>
  <c r="K54" i="1" s="1"/>
  <c r="U66" i="1"/>
  <c r="AK66" i="1" s="1"/>
  <c r="AM66" i="1" s="1"/>
  <c r="AB76" i="1"/>
  <c r="AB54" i="1"/>
  <c r="AC54" i="1"/>
  <c r="AK76" i="1"/>
  <c r="AM76" i="1" s="1"/>
  <c r="K76" i="1" s="1"/>
  <c r="AC52" i="1"/>
  <c r="W23" i="5"/>
  <c r="AK52" i="1"/>
  <c r="AM52" i="1" s="1"/>
  <c r="K52" i="1" s="1"/>
  <c r="U63" i="1"/>
  <c r="AC63" i="1" s="1"/>
  <c r="AK95" i="1"/>
  <c r="AM95" i="1" s="1"/>
  <c r="AK84" i="1"/>
  <c r="AM84" i="1" s="1"/>
  <c r="AK62" i="1"/>
  <c r="AM62" i="1" s="1"/>
  <c r="AK73" i="1"/>
  <c r="AM73" i="1" s="1"/>
  <c r="AF7" i="1"/>
  <c r="AE7" i="1"/>
  <c r="AB73" i="1"/>
  <c r="AC73" i="1"/>
  <c r="AB183" i="1"/>
  <c r="AC183" i="1"/>
  <c r="AB51" i="1"/>
  <c r="AC51" i="1"/>
  <c r="AB205" i="1"/>
  <c r="AC205" i="1"/>
  <c r="AB84" i="1"/>
  <c r="AC84" i="1"/>
  <c r="AB40" i="1"/>
  <c r="AC40" i="1"/>
  <c r="AB128" i="1"/>
  <c r="AC128" i="1"/>
  <c r="AB43" i="1"/>
  <c r="AC43" i="1"/>
  <c r="AB117" i="1"/>
  <c r="AC117" i="1"/>
  <c r="AB216" i="1"/>
  <c r="AC216" i="1"/>
  <c r="AB139" i="1"/>
  <c r="AC139" i="1"/>
  <c r="AB172" i="1"/>
  <c r="AC172" i="1"/>
  <c r="AB62" i="1"/>
  <c r="AC62" i="1"/>
  <c r="AB75" i="1"/>
  <c r="AB227" i="1"/>
  <c r="AC227" i="1"/>
  <c r="AB106" i="1"/>
  <c r="AC106" i="1"/>
  <c r="AB95" i="1"/>
  <c r="AC95" i="1"/>
  <c r="AC238" i="1"/>
  <c r="AC260" i="1"/>
  <c r="AB161" i="1"/>
  <c r="AC161" i="1"/>
  <c r="AB18" i="1"/>
  <c r="AC18" i="1"/>
  <c r="AK43" i="1"/>
  <c r="AM43" i="1" s="1"/>
  <c r="K43" i="1" s="1"/>
  <c r="U30" i="1"/>
  <c r="AC30" i="1" s="1"/>
  <c r="U44" i="1"/>
  <c r="AB33" i="1"/>
  <c r="U117" i="1"/>
  <c r="AK106" i="1"/>
  <c r="AM106" i="1" s="1"/>
  <c r="U70" i="1"/>
  <c r="AK59" i="1"/>
  <c r="AM59" i="1" s="1"/>
  <c r="T4" i="1"/>
  <c r="T29" i="1" s="1"/>
  <c r="T7" i="5" l="1"/>
  <c r="T32" i="5"/>
  <c r="AK69" i="1"/>
  <c r="AM69" i="1" s="1"/>
  <c r="AC87" i="1"/>
  <c r="U86" i="1"/>
  <c r="AC86" i="1" s="1"/>
  <c r="AK75" i="1"/>
  <c r="AM75" i="1" s="1"/>
  <c r="K75" i="1" s="1"/>
  <c r="U98" i="1"/>
  <c r="AB98" i="1" s="1"/>
  <c r="AB87" i="1"/>
  <c r="AF51" i="1"/>
  <c r="AK68" i="1"/>
  <c r="AM68" i="1" s="1"/>
  <c r="U74" i="1"/>
  <c r="AC74" i="1" s="1"/>
  <c r="U77" i="1"/>
  <c r="AC77" i="1" s="1"/>
  <c r="AF62" i="1"/>
  <c r="AK63" i="1"/>
  <c r="AM63" i="1" s="1"/>
  <c r="K63" i="1" s="1"/>
  <c r="AG7" i="1"/>
  <c r="AB63" i="1"/>
  <c r="AE62" i="1" s="1"/>
  <c r="AE18" i="1"/>
  <c r="AF18" i="1"/>
  <c r="W24" i="5"/>
  <c r="AE51" i="1"/>
  <c r="U78" i="1"/>
  <c r="U89" i="1" s="1"/>
  <c r="U100" i="1" s="1"/>
  <c r="AB29" i="1"/>
  <c r="AK8" i="1" s="1"/>
  <c r="AC29" i="1"/>
  <c r="AF29" i="1" s="1"/>
  <c r="AB79" i="1"/>
  <c r="AC79" i="1"/>
  <c r="AB80" i="1"/>
  <c r="AC80" i="1"/>
  <c r="U41" i="1"/>
  <c r="AC41" i="1" s="1"/>
  <c r="AF40" i="1" s="1"/>
  <c r="AB30" i="1"/>
  <c r="U128" i="1"/>
  <c r="AK117" i="1"/>
  <c r="AM117" i="1" s="1"/>
  <c r="U91" i="1"/>
  <c r="AK80" i="1"/>
  <c r="AM80" i="1" s="1"/>
  <c r="K80" i="1" s="1"/>
  <c r="U90" i="1"/>
  <c r="AK79" i="1"/>
  <c r="AM79" i="1" s="1"/>
  <c r="K79" i="1" s="1"/>
  <c r="U81" i="1"/>
  <c r="AK70" i="1"/>
  <c r="AM70" i="1" s="1"/>
  <c r="AB86" i="1" l="1"/>
  <c r="AB74" i="1"/>
  <c r="AK86" i="1"/>
  <c r="AM86" i="1" s="1"/>
  <c r="K86" i="1" s="1"/>
  <c r="U97" i="1"/>
  <c r="AK97" i="1" s="1"/>
  <c r="AM97" i="1" s="1"/>
  <c r="K97" i="1" s="1"/>
  <c r="U109" i="1"/>
  <c r="U120" i="1" s="1"/>
  <c r="AC120" i="1" s="1"/>
  <c r="AC98" i="1"/>
  <c r="AK98" i="1"/>
  <c r="AM98" i="1" s="1"/>
  <c r="K98" i="1" s="1"/>
  <c r="AK77" i="1"/>
  <c r="AM77" i="1" s="1"/>
  <c r="K77" i="1" s="1"/>
  <c r="AE29" i="1"/>
  <c r="AG29" i="1" s="1"/>
  <c r="AG51" i="1"/>
  <c r="AG62" i="1"/>
  <c r="AB77" i="1"/>
  <c r="AK78" i="1"/>
  <c r="AM78" i="1" s="1"/>
  <c r="K78" i="1" s="1"/>
  <c r="U88" i="1"/>
  <c r="U99" i="1" s="1"/>
  <c r="AC99" i="1" s="1"/>
  <c r="AF73" i="1"/>
  <c r="AK74" i="1"/>
  <c r="AM74" i="1" s="1"/>
  <c r="K74" i="1" s="1"/>
  <c r="U85" i="1"/>
  <c r="AB85" i="1" s="1"/>
  <c r="AE84" i="1" s="1"/>
  <c r="AC78" i="1"/>
  <c r="AL8" i="1"/>
  <c r="AM8" i="1" s="1"/>
  <c r="AG18" i="1"/>
  <c r="AK89" i="1"/>
  <c r="AM89" i="1" s="1"/>
  <c r="AB78" i="1"/>
  <c r="AB81" i="1"/>
  <c r="AC81" i="1"/>
  <c r="AB120" i="1"/>
  <c r="AC109" i="1"/>
  <c r="AK41" i="1"/>
  <c r="AM41" i="1" s="1"/>
  <c r="K41" i="1" s="1"/>
  <c r="K5" i="1" s="1"/>
  <c r="AB41" i="1"/>
  <c r="AE40" i="1" s="1"/>
  <c r="AG40" i="1" s="1"/>
  <c r="U92" i="1"/>
  <c r="AK81" i="1"/>
  <c r="AM81" i="1" s="1"/>
  <c r="K81" i="1" s="1"/>
  <c r="U102" i="1"/>
  <c r="AK91" i="1"/>
  <c r="AM91" i="1" s="1"/>
  <c r="U131" i="1"/>
  <c r="U139" i="1"/>
  <c r="AK128" i="1"/>
  <c r="AM128" i="1" s="1"/>
  <c r="U101" i="1"/>
  <c r="AK90" i="1"/>
  <c r="AM90" i="1" s="1"/>
  <c r="U111" i="1"/>
  <c r="AK100" i="1"/>
  <c r="AM100" i="1" s="1"/>
  <c r="U108" i="1" l="1"/>
  <c r="U119" i="1" s="1"/>
  <c r="AC97" i="1"/>
  <c r="AE73" i="1"/>
  <c r="AG73" i="1" s="1"/>
  <c r="AB97" i="1"/>
  <c r="AB109" i="1"/>
  <c r="AK120" i="1"/>
  <c r="AM120" i="1" s="1"/>
  <c r="K120" i="1" s="1"/>
  <c r="AK109" i="1"/>
  <c r="AM109" i="1" s="1"/>
  <c r="K109" i="1" s="1"/>
  <c r="U96" i="1"/>
  <c r="AC96" i="1" s="1"/>
  <c r="AK88" i="1"/>
  <c r="AM88" i="1" s="1"/>
  <c r="AK99" i="1"/>
  <c r="AM99" i="1" s="1"/>
  <c r="K99" i="1" s="1"/>
  <c r="U110" i="1"/>
  <c r="AK110" i="1" s="1"/>
  <c r="AM110" i="1" s="1"/>
  <c r="AB99" i="1"/>
  <c r="AK85" i="1"/>
  <c r="AM85" i="1" s="1"/>
  <c r="K85" i="1" s="1"/>
  <c r="AC85" i="1"/>
  <c r="AF84" i="1" s="1"/>
  <c r="AG84" i="1" s="1"/>
  <c r="AB131" i="1"/>
  <c r="AC131" i="1"/>
  <c r="AB108" i="1"/>
  <c r="AC108" i="1"/>
  <c r="U112" i="1"/>
  <c r="AK101" i="1"/>
  <c r="AM101" i="1" s="1"/>
  <c r="U150" i="1"/>
  <c r="AK139" i="1"/>
  <c r="AM139" i="1" s="1"/>
  <c r="U113" i="1"/>
  <c r="AK102" i="1"/>
  <c r="AM102" i="1" s="1"/>
  <c r="U122" i="1"/>
  <c r="AK111" i="1"/>
  <c r="AM111" i="1" s="1"/>
  <c r="U142" i="1"/>
  <c r="AK131" i="1"/>
  <c r="AM131" i="1" s="1"/>
  <c r="K131" i="1" s="1"/>
  <c r="U103" i="1"/>
  <c r="AK92" i="1"/>
  <c r="AM92" i="1" s="1"/>
  <c r="AK108" i="1" l="1"/>
  <c r="AM108" i="1" s="1"/>
  <c r="K108" i="1" s="1"/>
  <c r="AF95" i="1"/>
  <c r="AB96" i="1"/>
  <c r="AE95" i="1" s="1"/>
  <c r="AK96" i="1"/>
  <c r="AM96" i="1" s="1"/>
  <c r="K96" i="1" s="1"/>
  <c r="U107" i="1"/>
  <c r="AC107" i="1" s="1"/>
  <c r="AF106" i="1" s="1"/>
  <c r="U121" i="1"/>
  <c r="AB121" i="1" s="1"/>
  <c r="AB119" i="1"/>
  <c r="AC119" i="1"/>
  <c r="AB122" i="1"/>
  <c r="AC122" i="1"/>
  <c r="AB142" i="1"/>
  <c r="AC142" i="1"/>
  <c r="U153" i="1"/>
  <c r="AK142" i="1"/>
  <c r="AM142" i="1" s="1"/>
  <c r="K142" i="1" s="1"/>
  <c r="U130" i="1"/>
  <c r="AK119" i="1"/>
  <c r="AM119" i="1" s="1"/>
  <c r="K119" i="1" s="1"/>
  <c r="U133" i="1"/>
  <c r="AK122" i="1"/>
  <c r="AM122" i="1" s="1"/>
  <c r="K122" i="1" s="1"/>
  <c r="U161" i="1"/>
  <c r="AK150" i="1"/>
  <c r="AM150" i="1" s="1"/>
  <c r="U114" i="1"/>
  <c r="AK103" i="1"/>
  <c r="AM103" i="1" s="1"/>
  <c r="U124" i="1"/>
  <c r="AC124" i="1" s="1"/>
  <c r="AK113" i="1"/>
  <c r="AM113" i="1" s="1"/>
  <c r="U123" i="1"/>
  <c r="AK112" i="1"/>
  <c r="AM112" i="1" s="1"/>
  <c r="AG95" i="1" l="1"/>
  <c r="U118" i="1"/>
  <c r="AB118" i="1" s="1"/>
  <c r="AE117" i="1" s="1"/>
  <c r="AB107" i="1"/>
  <c r="AE106" i="1" s="1"/>
  <c r="AG106" i="1" s="1"/>
  <c r="U132" i="1"/>
  <c r="AB132" i="1" s="1"/>
  <c r="AK107" i="1"/>
  <c r="AM107" i="1" s="1"/>
  <c r="K107" i="1" s="1"/>
  <c r="AK121" i="1"/>
  <c r="AM121" i="1" s="1"/>
  <c r="K121" i="1" s="1"/>
  <c r="AC121" i="1"/>
  <c r="AB123" i="1"/>
  <c r="AC123" i="1"/>
  <c r="AB130" i="1"/>
  <c r="AC130" i="1"/>
  <c r="AB124" i="1"/>
  <c r="AB133" i="1"/>
  <c r="AC133" i="1"/>
  <c r="AB153" i="1"/>
  <c r="AC153" i="1"/>
  <c r="U172" i="1"/>
  <c r="AK161" i="1"/>
  <c r="AM161" i="1" s="1"/>
  <c r="U141" i="1"/>
  <c r="AK130" i="1"/>
  <c r="AM130" i="1" s="1"/>
  <c r="K130" i="1" s="1"/>
  <c r="U135" i="1"/>
  <c r="AK124" i="1"/>
  <c r="AM124" i="1" s="1"/>
  <c r="K124" i="1" s="1"/>
  <c r="U134" i="1"/>
  <c r="AK123" i="1"/>
  <c r="AM123" i="1" s="1"/>
  <c r="K123" i="1" s="1"/>
  <c r="U125" i="1"/>
  <c r="AC125" i="1" s="1"/>
  <c r="AK114" i="1"/>
  <c r="AM114" i="1" s="1"/>
  <c r="U144" i="1"/>
  <c r="AK133" i="1"/>
  <c r="AM133" i="1" s="1"/>
  <c r="K133" i="1" s="1"/>
  <c r="U164" i="1"/>
  <c r="AK153" i="1"/>
  <c r="AM153" i="1" s="1"/>
  <c r="K153" i="1" s="1"/>
  <c r="AK118" i="1" l="1"/>
  <c r="AM118" i="1" s="1"/>
  <c r="K118" i="1" s="1"/>
  <c r="U143" i="1"/>
  <c r="AB143" i="1" s="1"/>
  <c r="AC132" i="1"/>
  <c r="U129" i="1"/>
  <c r="AB129" i="1" s="1"/>
  <c r="AE128" i="1" s="1"/>
  <c r="AC118" i="1"/>
  <c r="AF117" i="1" s="1"/>
  <c r="AG117" i="1" s="1"/>
  <c r="AK132" i="1"/>
  <c r="AM132" i="1" s="1"/>
  <c r="K132" i="1" s="1"/>
  <c r="AB164" i="1"/>
  <c r="AC164" i="1"/>
  <c r="AB125" i="1"/>
  <c r="AB141" i="1"/>
  <c r="AC141" i="1"/>
  <c r="U155" i="1"/>
  <c r="AK144" i="1"/>
  <c r="AM144" i="1" s="1"/>
  <c r="U146" i="1"/>
  <c r="AK135" i="1"/>
  <c r="AM135" i="1" s="1"/>
  <c r="U183" i="1"/>
  <c r="AK172" i="1"/>
  <c r="AM172" i="1" s="1"/>
  <c r="U175" i="1"/>
  <c r="AK164" i="1"/>
  <c r="AM164" i="1" s="1"/>
  <c r="K164" i="1" s="1"/>
  <c r="U136" i="1"/>
  <c r="AK125" i="1"/>
  <c r="AM125" i="1" s="1"/>
  <c r="K125" i="1" s="1"/>
  <c r="U145" i="1"/>
  <c r="AK134" i="1"/>
  <c r="AM134" i="1" s="1"/>
  <c r="U152" i="1"/>
  <c r="AK141" i="1"/>
  <c r="AM141" i="1" s="1"/>
  <c r="K141" i="1" s="1"/>
  <c r="AK143" i="1" l="1"/>
  <c r="AM143" i="1" s="1"/>
  <c r="K143" i="1" s="1"/>
  <c r="AC143" i="1"/>
  <c r="U154" i="1"/>
  <c r="AB154" i="1" s="1"/>
  <c r="AK129" i="1"/>
  <c r="AM129" i="1" s="1"/>
  <c r="K129" i="1" s="1"/>
  <c r="AC129" i="1"/>
  <c r="AF128" i="1" s="1"/>
  <c r="AG128" i="1" s="1"/>
  <c r="U140" i="1"/>
  <c r="U151" i="1" s="1"/>
  <c r="AB151" i="1" s="1"/>
  <c r="AB152" i="1"/>
  <c r="AC152" i="1"/>
  <c r="AB175" i="1"/>
  <c r="AC175" i="1"/>
  <c r="U147" i="1"/>
  <c r="AK136" i="1"/>
  <c r="AM136" i="1" s="1"/>
  <c r="U194" i="1"/>
  <c r="AK183" i="1"/>
  <c r="AM183" i="1" s="1"/>
  <c r="U163" i="1"/>
  <c r="AK152" i="1"/>
  <c r="AM152" i="1" s="1"/>
  <c r="K152" i="1" s="1"/>
  <c r="U156" i="1"/>
  <c r="AK145" i="1"/>
  <c r="AM145" i="1" s="1"/>
  <c r="U186" i="1"/>
  <c r="AK175" i="1"/>
  <c r="AM175" i="1" s="1"/>
  <c r="K175" i="1" s="1"/>
  <c r="U157" i="1"/>
  <c r="AK146" i="1"/>
  <c r="AM146" i="1" s="1"/>
  <c r="U166" i="1"/>
  <c r="AK155" i="1"/>
  <c r="AM155" i="1" s="1"/>
  <c r="AK154" i="1" l="1"/>
  <c r="AM154" i="1" s="1"/>
  <c r="K154" i="1" s="1"/>
  <c r="AC154" i="1"/>
  <c r="U165" i="1"/>
  <c r="AB165" i="1" s="1"/>
  <c r="AK151" i="1"/>
  <c r="AM151" i="1" s="1"/>
  <c r="K151" i="1" s="1"/>
  <c r="AC151" i="1"/>
  <c r="U162" i="1"/>
  <c r="U173" i="1" s="1"/>
  <c r="AK140" i="1"/>
  <c r="AM140" i="1" s="1"/>
  <c r="K140" i="1" s="1"/>
  <c r="AC140" i="1"/>
  <c r="AF139" i="1" s="1"/>
  <c r="AB140" i="1"/>
  <c r="AE139" i="1" s="1"/>
  <c r="AE150" i="1"/>
  <c r="AB166" i="1"/>
  <c r="AK13" i="1" s="1"/>
  <c r="AC166" i="1"/>
  <c r="AL13" i="1" s="1"/>
  <c r="AB186" i="1"/>
  <c r="AC186" i="1"/>
  <c r="AB163" i="1"/>
  <c r="AC163" i="1"/>
  <c r="U167" i="1"/>
  <c r="AK156" i="1"/>
  <c r="AM156" i="1" s="1"/>
  <c r="U174" i="1"/>
  <c r="AK163" i="1"/>
  <c r="AM163" i="1" s="1"/>
  <c r="K163" i="1" s="1"/>
  <c r="U205" i="1"/>
  <c r="AK194" i="1"/>
  <c r="AM194" i="1" s="1"/>
  <c r="U168" i="1"/>
  <c r="AK157" i="1"/>
  <c r="AM157" i="1" s="1"/>
  <c r="U177" i="1"/>
  <c r="AK166" i="1"/>
  <c r="AM166" i="1" s="1"/>
  <c r="K166" i="1" s="1"/>
  <c r="U197" i="1"/>
  <c r="AK186" i="1"/>
  <c r="AM186" i="1" s="1"/>
  <c r="K186" i="1" s="1"/>
  <c r="U176" i="1"/>
  <c r="AK165" i="1"/>
  <c r="AM165" i="1" s="1"/>
  <c r="K165" i="1" s="1"/>
  <c r="U158" i="1"/>
  <c r="AK147" i="1"/>
  <c r="AM147" i="1" s="1"/>
  <c r="AC162" i="1" l="1"/>
  <c r="AK162" i="1"/>
  <c r="AM162" i="1" s="1"/>
  <c r="K162" i="1" s="1"/>
  <c r="AB162" i="1"/>
  <c r="AC165" i="1"/>
  <c r="AG139" i="1"/>
  <c r="AF150" i="1"/>
  <c r="AG150" i="1" s="1"/>
  <c r="AE161" i="1"/>
  <c r="AF161" i="1"/>
  <c r="AM13" i="1"/>
  <c r="AB173" i="1"/>
  <c r="AC173" i="1"/>
  <c r="AB167" i="1"/>
  <c r="AK14" i="1" s="1"/>
  <c r="AC167" i="1"/>
  <c r="AL14" i="1" s="1"/>
  <c r="AB176" i="1"/>
  <c r="AC176" i="1"/>
  <c r="AB197" i="1"/>
  <c r="AC197" i="1"/>
  <c r="AB168" i="1"/>
  <c r="AK15" i="1" s="1"/>
  <c r="AC168" i="1"/>
  <c r="AL15" i="1" s="1"/>
  <c r="AB174" i="1"/>
  <c r="AC174" i="1"/>
  <c r="U208" i="1"/>
  <c r="AK197" i="1"/>
  <c r="AM197" i="1" s="1"/>
  <c r="K197" i="1" s="1"/>
  <c r="U179" i="1"/>
  <c r="AK168" i="1"/>
  <c r="AM168" i="1" s="1"/>
  <c r="K168" i="1" s="1"/>
  <c r="U185" i="1"/>
  <c r="AC185" i="1" s="1"/>
  <c r="AK174" i="1"/>
  <c r="AM174" i="1" s="1"/>
  <c r="K174" i="1" s="1"/>
  <c r="U187" i="1"/>
  <c r="AK176" i="1"/>
  <c r="AM176" i="1" s="1"/>
  <c r="K176" i="1" s="1"/>
  <c r="U169" i="1"/>
  <c r="AK158" i="1"/>
  <c r="AM158" i="1" s="1"/>
  <c r="U184" i="1"/>
  <c r="AK173" i="1"/>
  <c r="AM173" i="1" s="1"/>
  <c r="K173" i="1" s="1"/>
  <c r="U188" i="1"/>
  <c r="AK177" i="1"/>
  <c r="AM177" i="1" s="1"/>
  <c r="U216" i="1"/>
  <c r="AK205" i="1"/>
  <c r="AM205" i="1" s="1"/>
  <c r="U178" i="1"/>
  <c r="AK167" i="1"/>
  <c r="AM167" i="1" s="1"/>
  <c r="K167" i="1" s="1"/>
  <c r="AF172" i="1" l="1"/>
  <c r="AG161" i="1"/>
  <c r="AE172" i="1"/>
  <c r="AM14" i="1"/>
  <c r="AM15" i="1"/>
  <c r="AB184" i="1"/>
  <c r="AC184" i="1"/>
  <c r="AB187" i="1"/>
  <c r="AC187" i="1"/>
  <c r="AB169" i="1"/>
  <c r="AK16" i="1" s="1"/>
  <c r="AC169" i="1"/>
  <c r="AL16" i="1" s="1"/>
  <c r="AB185" i="1"/>
  <c r="AB208" i="1"/>
  <c r="AC208" i="1"/>
  <c r="U227" i="1"/>
  <c r="AK216" i="1"/>
  <c r="AM216" i="1" s="1"/>
  <c r="U195" i="1"/>
  <c r="AK184" i="1"/>
  <c r="AM184" i="1" s="1"/>
  <c r="K184" i="1" s="1"/>
  <c r="U198" i="1"/>
  <c r="AK187" i="1"/>
  <c r="AM187" i="1" s="1"/>
  <c r="K187" i="1" s="1"/>
  <c r="U190" i="1"/>
  <c r="AK179" i="1"/>
  <c r="AM179" i="1" s="1"/>
  <c r="U189" i="1"/>
  <c r="AK178" i="1"/>
  <c r="AM178" i="1" s="1"/>
  <c r="U199" i="1"/>
  <c r="AK188" i="1"/>
  <c r="AM188" i="1" s="1"/>
  <c r="U180" i="1"/>
  <c r="AK169" i="1"/>
  <c r="AM169" i="1" s="1"/>
  <c r="K169" i="1" s="1"/>
  <c r="U196" i="1"/>
  <c r="AK185" i="1"/>
  <c r="AM185" i="1" s="1"/>
  <c r="K185" i="1" s="1"/>
  <c r="U219" i="1"/>
  <c r="AK208" i="1"/>
  <c r="AM208" i="1" s="1"/>
  <c r="K208" i="1" s="1"/>
  <c r="AF183" i="1" l="1"/>
  <c r="AG172" i="1"/>
  <c r="AE183" i="1"/>
  <c r="AM16" i="1"/>
  <c r="AB219" i="1"/>
  <c r="AC219" i="1"/>
  <c r="AB196" i="1"/>
  <c r="AC196" i="1"/>
  <c r="AB195" i="1"/>
  <c r="AC195" i="1"/>
  <c r="U210" i="1"/>
  <c r="AK199" i="1"/>
  <c r="AM199" i="1" s="1"/>
  <c r="U201" i="1"/>
  <c r="AK190" i="1"/>
  <c r="AM190" i="1" s="1"/>
  <c r="U206" i="1"/>
  <c r="AK195" i="1"/>
  <c r="AM195" i="1" s="1"/>
  <c r="K195" i="1" s="1"/>
  <c r="U207" i="1"/>
  <c r="AK196" i="1"/>
  <c r="AM196" i="1" s="1"/>
  <c r="K196" i="1" s="1"/>
  <c r="U230" i="1"/>
  <c r="AK219" i="1"/>
  <c r="AM219" i="1" s="1"/>
  <c r="K219" i="1" s="1"/>
  <c r="U191" i="1"/>
  <c r="AK180" i="1"/>
  <c r="AM180" i="1" s="1"/>
  <c r="U200" i="1"/>
  <c r="AK189" i="1"/>
  <c r="AM189" i="1" s="1"/>
  <c r="U209" i="1"/>
  <c r="AK198" i="1"/>
  <c r="AM198" i="1" s="1"/>
  <c r="U238" i="1"/>
  <c r="AK227" i="1"/>
  <c r="AM227" i="1" s="1"/>
  <c r="AE194" i="1" l="1"/>
  <c r="AG183" i="1"/>
  <c r="AF194" i="1"/>
  <c r="AB230" i="1"/>
  <c r="AC230" i="1"/>
  <c r="AB206" i="1"/>
  <c r="AC206" i="1"/>
  <c r="AB209" i="1"/>
  <c r="AC209" i="1"/>
  <c r="AB207" i="1"/>
  <c r="AC207" i="1"/>
  <c r="U220" i="1"/>
  <c r="AK209" i="1"/>
  <c r="AM209" i="1" s="1"/>
  <c r="K209" i="1" s="1"/>
  <c r="U202" i="1"/>
  <c r="AK191" i="1"/>
  <c r="AM191" i="1" s="1"/>
  <c r="U218" i="1"/>
  <c r="AK207" i="1"/>
  <c r="AM207" i="1" s="1"/>
  <c r="K207" i="1" s="1"/>
  <c r="U212" i="1"/>
  <c r="AK201" i="1"/>
  <c r="AM201" i="1" s="1"/>
  <c r="U249" i="1"/>
  <c r="AK238" i="1"/>
  <c r="AM238" i="1" s="1"/>
  <c r="U211" i="1"/>
  <c r="AK200" i="1"/>
  <c r="AM200" i="1" s="1"/>
  <c r="U241" i="1"/>
  <c r="AK230" i="1"/>
  <c r="AM230" i="1" s="1"/>
  <c r="K230" i="1" s="1"/>
  <c r="U217" i="1"/>
  <c r="AK206" i="1"/>
  <c r="AM206" i="1" s="1"/>
  <c r="K206" i="1" s="1"/>
  <c r="U221" i="1"/>
  <c r="AK210" i="1"/>
  <c r="AM210" i="1" s="1"/>
  <c r="AG194" i="1" l="1"/>
  <c r="AF205" i="1"/>
  <c r="AE205" i="1"/>
  <c r="AB217" i="1"/>
  <c r="AC217" i="1"/>
  <c r="AB241" i="1"/>
  <c r="AC241" i="1"/>
  <c r="AB218" i="1"/>
  <c r="AC218" i="1"/>
  <c r="AB220" i="1"/>
  <c r="AC220" i="1"/>
  <c r="U228" i="1"/>
  <c r="AK217" i="1"/>
  <c r="AM217" i="1" s="1"/>
  <c r="K217" i="1" s="1"/>
  <c r="U222" i="1"/>
  <c r="AK211" i="1"/>
  <c r="AM211" i="1" s="1"/>
  <c r="U223" i="1"/>
  <c r="AK212" i="1"/>
  <c r="AM212" i="1" s="1"/>
  <c r="U213" i="1"/>
  <c r="AK202" i="1"/>
  <c r="AM202" i="1" s="1"/>
  <c r="U232" i="1"/>
  <c r="AK221" i="1"/>
  <c r="AM221" i="1" s="1"/>
  <c r="U252" i="1"/>
  <c r="AK241" i="1"/>
  <c r="AM241" i="1" s="1"/>
  <c r="K241" i="1" s="1"/>
  <c r="U260" i="1"/>
  <c r="AK260" i="1" s="1"/>
  <c r="AM260" i="1" s="1"/>
  <c r="AK249" i="1"/>
  <c r="AM249" i="1" s="1"/>
  <c r="U229" i="1"/>
  <c r="AK218" i="1"/>
  <c r="AM218" i="1" s="1"/>
  <c r="K218" i="1" s="1"/>
  <c r="U231" i="1"/>
  <c r="AK220" i="1"/>
  <c r="AM220" i="1" s="1"/>
  <c r="K220" i="1" s="1"/>
  <c r="AG205" i="1" l="1"/>
  <c r="AE216" i="1"/>
  <c r="AF216" i="1"/>
  <c r="AB229" i="1"/>
  <c r="AC229" i="1"/>
  <c r="AC252" i="1"/>
  <c r="AB228" i="1"/>
  <c r="AC228" i="1"/>
  <c r="U242" i="1"/>
  <c r="AK231" i="1"/>
  <c r="AM231" i="1" s="1"/>
  <c r="U240" i="1"/>
  <c r="AK229" i="1"/>
  <c r="AM229" i="1" s="1"/>
  <c r="K229" i="1" s="1"/>
  <c r="U263" i="1"/>
  <c r="AK252" i="1"/>
  <c r="AM252" i="1" s="1"/>
  <c r="K252" i="1" s="1"/>
  <c r="U224" i="1"/>
  <c r="AK213" i="1"/>
  <c r="AM213" i="1" s="1"/>
  <c r="U233" i="1"/>
  <c r="AK222" i="1"/>
  <c r="AM222" i="1" s="1"/>
  <c r="U243" i="1"/>
  <c r="AK232" i="1"/>
  <c r="AM232" i="1" s="1"/>
  <c r="U234" i="1"/>
  <c r="AK223" i="1"/>
  <c r="AM223" i="1" s="1"/>
  <c r="U239" i="1"/>
  <c r="AK228" i="1"/>
  <c r="AM228" i="1" s="1"/>
  <c r="K228" i="1" s="1"/>
  <c r="AC263" i="1" l="1"/>
  <c r="AK11" i="1"/>
  <c r="AF227" i="1"/>
  <c r="AE227" i="1"/>
  <c r="AL11" i="1"/>
  <c r="AG216" i="1"/>
  <c r="AC239" i="1"/>
  <c r="AB240" i="1"/>
  <c r="AC240" i="1"/>
  <c r="AK263" i="1"/>
  <c r="AM263" i="1" s="1"/>
  <c r="K263" i="1" s="1"/>
  <c r="U250" i="1"/>
  <c r="AK239" i="1"/>
  <c r="AM239" i="1" s="1"/>
  <c r="K239" i="1" s="1"/>
  <c r="U254" i="1"/>
  <c r="AK243" i="1"/>
  <c r="AM243" i="1" s="1"/>
  <c r="U235" i="1"/>
  <c r="AK224" i="1"/>
  <c r="AM224" i="1" s="1"/>
  <c r="U251" i="1"/>
  <c r="AK240" i="1"/>
  <c r="AM240" i="1" s="1"/>
  <c r="K240" i="1" s="1"/>
  <c r="U245" i="1"/>
  <c r="AK234" i="1"/>
  <c r="AM234" i="1" s="1"/>
  <c r="U244" i="1"/>
  <c r="AK233" i="1"/>
  <c r="AM233" i="1" s="1"/>
  <c r="U253" i="1"/>
  <c r="AK242" i="1"/>
  <c r="AM242" i="1" s="1"/>
  <c r="AG227" i="1" l="1"/>
  <c r="AM11" i="1"/>
  <c r="AF238" i="1"/>
  <c r="AE238" i="1"/>
  <c r="AC251" i="1"/>
  <c r="U255" i="1"/>
  <c r="AK244" i="1"/>
  <c r="AM244" i="1" s="1"/>
  <c r="U262" i="1"/>
  <c r="AK251" i="1"/>
  <c r="AM251" i="1" s="1"/>
  <c r="K251" i="1" s="1"/>
  <c r="U265" i="1"/>
  <c r="AK254" i="1"/>
  <c r="AM254" i="1" s="1"/>
  <c r="U264" i="1"/>
  <c r="AK253" i="1"/>
  <c r="AM253" i="1" s="1"/>
  <c r="U256" i="1"/>
  <c r="AK245" i="1"/>
  <c r="AM245" i="1" s="1"/>
  <c r="U246" i="1"/>
  <c r="AK235" i="1"/>
  <c r="AM235" i="1" s="1"/>
  <c r="U261" i="1"/>
  <c r="AK250" i="1"/>
  <c r="AM250" i="1" s="1"/>
  <c r="K250" i="1" s="1"/>
  <c r="AC264" i="1" l="1"/>
  <c r="AL12" i="1" s="1"/>
  <c r="AC262" i="1"/>
  <c r="AK10" i="1"/>
  <c r="AC261" i="1"/>
  <c r="AL9" i="1" s="1"/>
  <c r="AG238" i="1"/>
  <c r="AF249" i="1"/>
  <c r="AE249" i="1"/>
  <c r="AK264" i="1"/>
  <c r="AM264" i="1" s="1"/>
  <c r="K264" i="1" s="1"/>
  <c r="AK262" i="1"/>
  <c r="AM262" i="1" s="1"/>
  <c r="K262" i="1" s="1"/>
  <c r="AK261" i="1"/>
  <c r="AM261" i="1" s="1"/>
  <c r="K261" i="1" s="1"/>
  <c r="AK265" i="1"/>
  <c r="AM265" i="1" s="1"/>
  <c r="U257" i="1"/>
  <c r="AK246" i="1"/>
  <c r="AM246" i="1" s="1"/>
  <c r="U267" i="1"/>
  <c r="AK256" i="1"/>
  <c r="AM256" i="1" s="1"/>
  <c r="U266" i="1"/>
  <c r="AK255" i="1"/>
  <c r="AM255" i="1" s="1"/>
  <c r="AM12" i="1" l="1"/>
  <c r="AF260" i="1"/>
  <c r="AL10" i="1"/>
  <c r="AM10" i="1" s="1"/>
  <c r="AP7" i="1"/>
  <c r="AG249" i="1"/>
  <c r="AK9" i="1"/>
  <c r="AE260" i="1"/>
  <c r="AK267" i="1"/>
  <c r="AM267" i="1" s="1"/>
  <c r="AK266" i="1"/>
  <c r="AM266" i="1" s="1"/>
  <c r="U268" i="1"/>
  <c r="AK257" i="1"/>
  <c r="AM257" i="1" s="1"/>
  <c r="AM9" i="1" l="1"/>
  <c r="AO7" i="1"/>
  <c r="AQ7" i="1" s="1"/>
  <c r="AG260" i="1"/>
</calcChain>
</file>

<file path=xl/sharedStrings.xml><?xml version="1.0" encoding="utf-8"?>
<sst xmlns="http://schemas.openxmlformats.org/spreadsheetml/2006/main" count="728" uniqueCount="254">
  <si>
    <t>600</t>
  </si>
  <si>
    <t>100</t>
  </si>
  <si>
    <t>550</t>
  </si>
  <si>
    <t>HECTARE 6</t>
  </si>
  <si>
    <t>HECTARE 12</t>
  </si>
  <si>
    <t>HECTARE 18</t>
  </si>
  <si>
    <t>HECTARE 24</t>
  </si>
  <si>
    <t>80</t>
  </si>
  <si>
    <t>500</t>
  </si>
  <si>
    <t>60</t>
  </si>
  <si>
    <t>450</t>
  </si>
  <si>
    <t>HECTARE 5</t>
  </si>
  <si>
    <t>HECTARE 11</t>
  </si>
  <si>
    <t>HECTARE 17</t>
  </si>
  <si>
    <t>HECTARE 23</t>
  </si>
  <si>
    <t>40</t>
  </si>
  <si>
    <t>400</t>
  </si>
  <si>
    <t>20</t>
  </si>
  <si>
    <t>350</t>
  </si>
  <si>
    <t>HECTARE 4</t>
  </si>
  <si>
    <t>HECTARE 10</t>
  </si>
  <si>
    <t>HECTARE 16</t>
  </si>
  <si>
    <t>HECTARE 22</t>
  </si>
  <si>
    <t>0</t>
  </si>
  <si>
    <t>300</t>
  </si>
  <si>
    <t>250</t>
  </si>
  <si>
    <t>HECTARE 3</t>
  </si>
  <si>
    <t>HECTARE 9</t>
  </si>
  <si>
    <t>HECTARE 15</t>
  </si>
  <si>
    <t>HECTARE 21</t>
  </si>
  <si>
    <t>200</t>
  </si>
  <si>
    <t>150</t>
  </si>
  <si>
    <t>HECTARE 2</t>
  </si>
  <si>
    <t>HECTARE 8</t>
  </si>
  <si>
    <t>HECTARE 14</t>
  </si>
  <si>
    <t>HECTARE 20</t>
  </si>
  <si>
    <t>20 m</t>
  </si>
  <si>
    <t>50</t>
  </si>
  <si>
    <t>HECTARE 1</t>
  </si>
  <si>
    <t>HECTARE 7</t>
  </si>
  <si>
    <t>HECTARE 13</t>
  </si>
  <si>
    <t>HECTARE 19</t>
  </si>
  <si>
    <t>Surface: Litter, 0-10 cm</t>
  </si>
  <si>
    <t>Medium: Litter, 0-10 cm, 10-20 cm, 20-30 cm, 30-50 cm, 50-100 cm</t>
  </si>
  <si>
    <t xml:space="preserve">Deep: Litter, 0-10 cm, 10-20 cm, 20-30 cm, 30-50 cm, 50-100 cm, </t>
  </si>
  <si>
    <t>100-150 cm, 150-200 cm, 200-250 cm, 250-300 cm</t>
  </si>
  <si>
    <t>Hectare</t>
  </si>
  <si>
    <t>Hectare center</t>
  </si>
  <si>
    <t>Depth</t>
  </si>
  <si>
    <t>C/N</t>
  </si>
  <si>
    <t>1</t>
  </si>
  <si>
    <t>Litter</t>
  </si>
  <si>
    <t>0-10 cm</t>
  </si>
  <si>
    <t>10-20 cm</t>
  </si>
  <si>
    <t>20-30 cm</t>
  </si>
  <si>
    <t>30-50 cm</t>
  </si>
  <si>
    <t>50-100 cm</t>
  </si>
  <si>
    <t>100-150 cm</t>
  </si>
  <si>
    <t>150-200 cm</t>
  </si>
  <si>
    <t>200-250 cm</t>
  </si>
  <si>
    <t>250-300 cm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</si>
  <si>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</si>
  <si>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</si>
  <si>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</si>
  <si>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</si>
  <si>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</si>
  <si>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</si>
  <si>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</si>
  <si>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</si>
  <si>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</si>
  <si>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</si>
  <si>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</si>
  <si>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</si>
  <si>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</si>
  <si>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</si>
  <si>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</si>
  <si>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</si>
  <si>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</si>
  <si>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</si>
  <si>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</si>
  <si>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</si>
  <si>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</si>
  <si>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Fresh</t>
  </si>
  <si>
    <t>Total fresh</t>
  </si>
  <si>
    <t>g</t>
  </si>
  <si>
    <t>Dryy wt</t>
  </si>
  <si>
    <t>Total stones</t>
  </si>
  <si>
    <t>g/g</t>
  </si>
  <si>
    <t>Stone volume</t>
  </si>
  <si>
    <t>mL</t>
  </si>
  <si>
    <t>Total C</t>
  </si>
  <si>
    <t>%</t>
  </si>
  <si>
    <t>Total N</t>
  </si>
  <si>
    <t>Roots &lt; 2 mm</t>
  </si>
  <si>
    <t>Roots &gt; 2 mm</t>
  </si>
  <si>
    <t>&lt;0.5 cm</t>
  </si>
  <si>
    <t xml:space="preserve"> 0.5-2 cm</t>
  </si>
  <si>
    <t>2-7.5 cm</t>
  </si>
  <si>
    <t>&gt;7.5 cm</t>
  </si>
  <si>
    <t>density (g/mL)</t>
  </si>
  <si>
    <t>a lot of soil</t>
  </si>
  <si>
    <t>deeper 20-28</t>
  </si>
  <si>
    <t>deeper 30-40</t>
  </si>
  <si>
    <t>one sample = 10-18cm</t>
  </si>
  <si>
    <t>one sample = 30-42cm</t>
  </si>
  <si>
    <t>one sample 94 cm, one = 65cm</t>
  </si>
  <si>
    <t>no fresh weights except leaf litter</t>
  </si>
  <si>
    <t>one core = 10-16cm</t>
  </si>
  <si>
    <t>two cores 24cm, one core 23 cm</t>
  </si>
  <si>
    <t>water table at 50cm</t>
  </si>
  <si>
    <t>one = 25cm, one = 26cm</t>
  </si>
  <si>
    <t>very rocky quadrat</t>
  </si>
  <si>
    <t>26cm, 22cm, 30cm, 23cm, 22cm</t>
  </si>
  <si>
    <t>deer exclosure</t>
  </si>
  <si>
    <t>roots accidentally thrown away</t>
  </si>
  <si>
    <t>SE=24cm, NW =23cm</t>
  </si>
  <si>
    <t>SW=43cm, center=39cm</t>
  </si>
  <si>
    <t>NE=72cm</t>
  </si>
  <si>
    <t>rocky quadrat</t>
  </si>
  <si>
    <t>2 inches of rain previous night</t>
  </si>
  <si>
    <t>13,3 and 13,4 are inside deer exclosure</t>
  </si>
  <si>
    <t>inside deer exclosure</t>
  </si>
  <si>
    <t>slight rain during collection</t>
  </si>
  <si>
    <t>rain night before</t>
  </si>
  <si>
    <t>rain previous night</t>
  </si>
  <si>
    <t>Notes from SCBI technicians</t>
  </si>
  <si>
    <t>DRY WEIGHT CALCULATIONS</t>
  </si>
  <si>
    <t>Al pan</t>
  </si>
  <si>
    <t>Dry (24h @ 105C) + pan</t>
  </si>
  <si>
    <t>Stone size classes (0-10 cm)</t>
  </si>
  <si>
    <t>Total</t>
  </si>
  <si>
    <t>Dry mass</t>
  </si>
  <si>
    <t xml:space="preserve">Volume </t>
  </si>
  <si>
    <t>Replicate</t>
  </si>
  <si>
    <t>Mean</t>
  </si>
  <si>
    <t>sterror</t>
  </si>
  <si>
    <t>Stone density = 2.76 g/cm3</t>
  </si>
  <si>
    <t>Total volume (sand)</t>
  </si>
  <si>
    <t>Fine earth volume</t>
  </si>
  <si>
    <t>Fine earth mass</t>
  </si>
  <si>
    <t>Dry litter</t>
  </si>
  <si>
    <t>C stock</t>
  </si>
  <si>
    <t>kg C /m2</t>
  </si>
  <si>
    <t>Depth increment</t>
  </si>
  <si>
    <t>cm</t>
  </si>
  <si>
    <t>g/cm3</t>
  </si>
  <si>
    <t>Mean BD</t>
  </si>
  <si>
    <t>Stone Volume</t>
  </si>
  <si>
    <t>0–13 cm</t>
  </si>
  <si>
    <t>A</t>
  </si>
  <si>
    <t>13–24 cm</t>
  </si>
  <si>
    <t>AB</t>
  </si>
  <si>
    <t>24–43 cm</t>
  </si>
  <si>
    <t>Bt1</t>
  </si>
  <si>
    <t>43–66 cm</t>
  </si>
  <si>
    <t>Bt2</t>
  </si>
  <si>
    <t>66–110+ cm</t>
  </si>
  <si>
    <t>BCg</t>
  </si>
  <si>
    <t>PIT 1 = floodplain</t>
  </si>
  <si>
    <t>Horizon</t>
  </si>
  <si>
    <t>Bulk Density</t>
  </si>
  <si>
    <t>Fine earth BD</t>
  </si>
  <si>
    <t xml:space="preserve">% </t>
  </si>
  <si>
    <t>0–10 cm</t>
  </si>
  <si>
    <t>10–26 cm</t>
  </si>
  <si>
    <t>26–50 cm</t>
  </si>
  <si>
    <t>50–88 cm</t>
  </si>
  <si>
    <t>88–137+ cm</t>
  </si>
  <si>
    <t>Bt3</t>
  </si>
  <si>
    <t>137–163 cm</t>
  </si>
  <si>
    <t>BCt</t>
  </si>
  <si>
    <t>163–200+ cm</t>
  </si>
  <si>
    <t>Ctr</t>
  </si>
  <si>
    <t>—</t>
  </si>
  <si>
    <t>PIT 2 = North slope</t>
  </si>
  <si>
    <t>PIT 3 = south slope</t>
  </si>
  <si>
    <t>0–11</t>
  </si>
  <si>
    <t>11–25</t>
  </si>
  <si>
    <t>25–39</t>
  </si>
  <si>
    <t>39–64</t>
  </si>
  <si>
    <t>64–115</t>
  </si>
  <si>
    <t>115–141</t>
  </si>
  <si>
    <t>BC</t>
  </si>
  <si>
    <t>141–175+</t>
  </si>
  <si>
    <t>Cr</t>
  </si>
  <si>
    <t>–</t>
  </si>
  <si>
    <t>PIT 4 = shallow to bedrock</t>
  </si>
  <si>
    <t>0–7 cm</t>
  </si>
  <si>
    <t>7–14 cm</t>
  </si>
  <si>
    <t>14–24 cm</t>
  </si>
  <si>
    <t>24–46/52 cm</t>
  </si>
  <si>
    <t>46/52–100+</t>
  </si>
  <si>
    <t>R</t>
  </si>
  <si>
    <t>PIT 5 = high slope</t>
  </si>
  <si>
    <t>0-4</t>
  </si>
  <si>
    <t>Ao</t>
  </si>
  <si>
    <t>38-92</t>
  </si>
  <si>
    <t>92-131</t>
  </si>
  <si>
    <t>131-190</t>
  </si>
  <si>
    <t>C</t>
  </si>
  <si>
    <t>0-9</t>
  </si>
  <si>
    <t>23-41</t>
  </si>
  <si>
    <t>41-76</t>
  </si>
  <si>
    <t>76-128</t>
  </si>
  <si>
    <t>128-170+</t>
  </si>
  <si>
    <t>PIT 6 = northern slope</t>
  </si>
  <si>
    <t xml:space="preserve"> 4-10</t>
  </si>
  <si>
    <t xml:space="preserve"> 10-38</t>
  </si>
  <si>
    <t xml:space="preserve"> 9-23 cm</t>
  </si>
  <si>
    <t xml:space="preserve">Floodplain </t>
  </si>
  <si>
    <t>PIT designation</t>
  </si>
  <si>
    <t>Floodplain</t>
  </si>
  <si>
    <t>Slope</t>
  </si>
  <si>
    <t>MEAN SLOPE</t>
  </si>
  <si>
    <t>BD fine earth</t>
  </si>
  <si>
    <t>SERR</t>
  </si>
  <si>
    <t>cm3 of stones</t>
  </si>
  <si>
    <t>cm3 of fine earth</t>
  </si>
  <si>
    <t>vol% stonees</t>
  </si>
  <si>
    <t>est from pit</t>
  </si>
  <si>
    <t>Stone % vol</t>
  </si>
  <si>
    <t>BD whole soil</t>
  </si>
  <si>
    <t xml:space="preserve">MEAN C </t>
  </si>
  <si>
    <t>kg/m2</t>
  </si>
  <si>
    <t>N stock</t>
  </si>
  <si>
    <t>kg N / m2</t>
  </si>
  <si>
    <t>Mean N</t>
  </si>
  <si>
    <t>C:N</t>
  </si>
  <si>
    <t>TOTAL</t>
  </si>
  <si>
    <t>Profile C:N</t>
  </si>
  <si>
    <t>Total C to 1 m</t>
  </si>
  <si>
    <t>Total N to 1 m</t>
  </si>
  <si>
    <t>N</t>
  </si>
  <si>
    <t>kg C/m2</t>
  </si>
  <si>
    <t>&lt;0.010</t>
  </si>
  <si>
    <t>Nstock</t>
  </si>
  <si>
    <t>kg N/m2</t>
  </si>
  <si>
    <t>sum to 1 m</t>
  </si>
  <si>
    <t>C:N ratio</t>
  </si>
  <si>
    <t>avge</t>
  </si>
  <si>
    <t>C to 1m</t>
  </si>
  <si>
    <t>N to 1 m</t>
  </si>
  <si>
    <t>from a 25X25cm area x 9 locations?</t>
  </si>
  <si>
    <t>Fine roots</t>
  </si>
  <si>
    <t>Core diam = 38.32</t>
  </si>
  <si>
    <t>Fine roots to 1 m</t>
  </si>
  <si>
    <t>Kg C/m2</t>
  </si>
  <si>
    <t>Fine earth BD/total vol</t>
  </si>
  <si>
    <t>Fine earth BD/fine earth vol</t>
  </si>
  <si>
    <t>BD fine earth / fine earth</t>
  </si>
  <si>
    <t>Soil volume for deep samples</t>
  </si>
  <si>
    <t>calculated by dry fine earth div by fine earth BD</t>
  </si>
  <si>
    <t>Bulk density (fine earth) per total vol</t>
  </si>
  <si>
    <t>Bulk density (fine earth) from pits per fine earth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</si>
</sst>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9" fontId="1" fillId="0" borderId="0"/>
  </cellStyleXfs>
  <cellXfs count="67">
    <xf numFmtId="0" fontId="0" fillId="0" borderId="0" xfId="0"/>
    <xf numFmtId="49" fontId="1" fillId="0" borderId="0" xfId="1"/>
    <xf numFmtId="49" fontId="2" fillId="0" borderId="0" xfId="1" applyFont="1" applyAlignment="1">
      <alignment horizontal="right"/>
    </xf>
    <xf numFmtId="49" fontId="2" fillId="0" borderId="1" xfId="1" applyFont="1" applyBorder="1" applyAlignment="1">
      <alignment horizontal="center" vertical="center"/>
    </xf>
    <xf numFmtId="49" fontId="2" fillId="0" borderId="2" xfId="1" applyFont="1" applyBorder="1" applyAlignment="1">
      <alignment horizontal="center" vertical="center"/>
    </xf>
    <xf numFmtId="49" fontId="2" fillId="0" borderId="3" xfId="1" applyFont="1" applyBorder="1" applyAlignment="1">
      <alignment horizontal="center" vertical="center"/>
    </xf>
    <xf numFmtId="49" fontId="2" fillId="0" borderId="4" xfId="1" applyFont="1" applyBorder="1" applyAlignment="1">
      <alignment horizontal="center" vertical="center"/>
    </xf>
    <xf numFmtId="49" fontId="2" fillId="0" borderId="5" xfId="1" applyFont="1" applyBorder="1" applyAlignment="1">
      <alignment horizontal="center" vertical="center"/>
    </xf>
    <xf numFmtId="49" fontId="2" fillId="0" borderId="0" xfId="1" applyFont="1"/>
    <xf numFmtId="49" fontId="3" fillId="0" borderId="0" xfId="1" applyFont="1" applyAlignment="1">
      <alignment horizontal="right"/>
    </xf>
    <xf numFmtId="49" fontId="1" fillId="0" borderId="11" xfId="1" applyBorder="1"/>
    <xf numFmtId="49" fontId="1" fillId="0" borderId="12" xfId="1" applyBorder="1"/>
    <xf numFmtId="49" fontId="1" fillId="0" borderId="13" xfId="1" applyBorder="1"/>
    <xf numFmtId="49" fontId="1" fillId="0" borderId="19" xfId="1" applyBorder="1"/>
    <xf numFmtId="49" fontId="1" fillId="0" borderId="20" xfId="1" applyBorder="1"/>
    <xf numFmtId="49" fontId="1" fillId="0" borderId="21" xfId="1" applyBorder="1"/>
    <xf numFmtId="49" fontId="1" fillId="0" borderId="22" xfId="1" applyBorder="1"/>
    <xf numFmtId="49" fontId="1" fillId="0" borderId="23" xfId="1" applyBorder="1"/>
    <xf numFmtId="49" fontId="1" fillId="2" borderId="24" xfId="1" applyFill="1" applyBorder="1"/>
    <xf numFmtId="49" fontId="1" fillId="0" borderId="25" xfId="1" applyBorder="1"/>
    <xf numFmtId="49" fontId="1" fillId="0" borderId="26" xfId="1" applyBorder="1"/>
    <xf numFmtId="49" fontId="1" fillId="0" borderId="27" xfId="1" applyBorder="1"/>
    <xf numFmtId="49" fontId="1" fillId="0" borderId="28" xfId="1" applyBorder="1"/>
    <xf numFmtId="49" fontId="1" fillId="0" borderId="29" xfId="1" applyBorder="1"/>
    <xf numFmtId="49" fontId="3" fillId="0" borderId="0" xfId="1" applyFont="1" applyAlignment="1">
      <alignment horizontal="left" vertical="top"/>
    </xf>
    <xf numFmtId="49" fontId="5" fillId="0" borderId="0" xfId="1" applyFont="1" applyAlignment="1">
      <alignment horizontal="center"/>
    </xf>
    <xf numFmtId="49" fontId="6" fillId="0" borderId="28" xfId="1" applyFont="1" applyBorder="1"/>
    <xf numFmtId="49" fontId="2" fillId="0" borderId="0" xfId="1" applyFont="1" applyAlignment="1">
      <alignment horizontal="left" vertical="top"/>
    </xf>
    <xf numFmtId="49" fontId="5" fillId="0" borderId="0" xfId="1" applyFont="1" applyAlignment="1">
      <alignment horizontal="left" vertical="center"/>
    </xf>
    <xf numFmtId="49" fontId="5" fillId="0" borderId="0" xfId="1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" fontId="7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top"/>
    </xf>
    <xf numFmtId="2" fontId="7" fillId="0" borderId="0" xfId="0" applyNumberFormat="1" applyFont="1"/>
    <xf numFmtId="1" fontId="7" fillId="0" borderId="0" xfId="0" applyNumberFormat="1" applyFont="1" applyFill="1" applyAlignment="1">
      <alignment horizontal="left" vertical="top"/>
    </xf>
    <xf numFmtId="16" fontId="7" fillId="0" borderId="0" xfId="0" applyNumberFormat="1" applyFont="1" applyAlignment="1">
      <alignment horizontal="left" vertical="top"/>
    </xf>
    <xf numFmtId="17" fontId="7" fillId="0" borderId="0" xfId="0" applyNumberFormat="1" applyFont="1" applyAlignment="1">
      <alignment horizontal="left" vertical="top"/>
    </xf>
    <xf numFmtId="49" fontId="8" fillId="0" borderId="0" xfId="1" applyFont="1"/>
    <xf numFmtId="2" fontId="0" fillId="0" borderId="0" xfId="0" applyNumberFormat="1"/>
    <xf numFmtId="49" fontId="4" fillId="0" borderId="6" xfId="1" applyFont="1" applyBorder="1" applyAlignment="1">
      <alignment horizontal="center" vertical="center"/>
    </xf>
    <xf numFmtId="49" fontId="3" fillId="0" borderId="7" xfId="1" applyFont="1" applyBorder="1" applyAlignment="1">
      <alignment horizontal="center" vertical="center"/>
    </xf>
    <xf numFmtId="49" fontId="3" fillId="0" borderId="14" xfId="1" applyFont="1" applyBorder="1" applyAlignment="1">
      <alignment horizontal="center" vertical="center"/>
    </xf>
    <xf numFmtId="49" fontId="3" fillId="0" borderId="15" xfId="1" applyFont="1" applyBorder="1" applyAlignment="1">
      <alignment horizontal="center" vertical="center"/>
    </xf>
    <xf numFmtId="49" fontId="4" fillId="0" borderId="8" xfId="1" applyFont="1" applyBorder="1" applyAlignment="1">
      <alignment horizontal="center" vertical="center"/>
    </xf>
    <xf numFmtId="49" fontId="3" fillId="0" borderId="16" xfId="1" applyFont="1" applyBorder="1" applyAlignment="1">
      <alignment horizontal="center" vertical="center"/>
    </xf>
    <xf numFmtId="49" fontId="3" fillId="0" borderId="10" xfId="1" applyFont="1" applyBorder="1" applyAlignment="1">
      <alignment horizontal="center" vertical="center"/>
    </xf>
    <xf numFmtId="49" fontId="3" fillId="0" borderId="18" xfId="1" applyFont="1" applyBorder="1" applyAlignment="1">
      <alignment horizontal="center" vertical="center"/>
    </xf>
    <xf numFmtId="49" fontId="3" fillId="0" borderId="30" xfId="1" applyFont="1" applyBorder="1" applyAlignment="1">
      <alignment horizontal="center" vertical="center"/>
    </xf>
    <xf numFmtId="49" fontId="3" fillId="0" borderId="31" xfId="1" applyFont="1" applyBorder="1" applyAlignment="1">
      <alignment horizontal="center" vertical="center"/>
    </xf>
    <xf numFmtId="49" fontId="3" fillId="0" borderId="32" xfId="1" applyFont="1" applyBorder="1" applyAlignment="1">
      <alignment horizontal="center" vertical="center"/>
    </xf>
    <xf numFmtId="49" fontId="3" fillId="0" borderId="33" xfId="1" applyFont="1" applyBorder="1" applyAlignment="1">
      <alignment horizontal="center" vertical="center"/>
    </xf>
    <xf numFmtId="49" fontId="3" fillId="0" borderId="9" xfId="1" applyFont="1" applyBorder="1" applyAlignment="1">
      <alignment horizontal="center" vertical="center"/>
    </xf>
    <xf numFmtId="49" fontId="3" fillId="0" borderId="17" xfId="1" applyFont="1" applyBorder="1" applyAlignment="1">
      <alignment horizontal="center" vertical="center"/>
    </xf>
    <xf numFmtId="166" fontId="7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164" fontId="7" fillId="2" borderId="0" xfId="0" applyNumberFormat="1" applyFont="1" applyFill="1" applyAlignment="1">
      <alignment horizontal="left" vertical="top"/>
    </xf>
    <xf numFmtId="2" fontId="7" fillId="2" borderId="0" xfId="0" applyNumberFormat="1" applyFont="1" applyFill="1" applyAlignment="1">
      <alignment horizontal="left" vertical="top"/>
    </xf>
    <xf numFmtId="164" fontId="10" fillId="2" borderId="0" xfId="0" applyNumberFormat="1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589642</xdr:colOff>
      <xdr:row>8</xdr:row>
      <xdr:rowOff>604760</xdr:rowOff>
    </xdr:from>
    <xdr:to>
      <xdr:col>13</xdr:col>
      <xdr:colOff>166308</xdr:colOff>
      <xdr:row>9</xdr:row>
      <xdr:rowOff>166309</xdr:rowOff>
    </xdr:to>
    <xdr:sp macro="" textlink="">
      <xdr:nvSpPr>
        <xdr:cNvPr id="2" name="Oval 1"/>
        <xdr:cNvSpPr/>
      </xdr:nvSpPr>
      <xdr:spPr>
        <a:xfrm>
          <a:off x="9162142" y="6186410"/>
          <a:ext cx="291041" cy="2759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575733</xdr:colOff>
      <xdr:row>12</xdr:row>
      <xdr:rowOff>560611</xdr:rowOff>
    </xdr:from>
    <xdr:to>
      <xdr:col>13</xdr:col>
      <xdr:colOff>152399</xdr:colOff>
      <xdr:row>13</xdr:row>
      <xdr:rowOff>122160</xdr:rowOff>
    </xdr:to>
    <xdr:sp macro="" textlink="">
      <xdr:nvSpPr>
        <xdr:cNvPr id="3" name="Oval 2"/>
        <xdr:cNvSpPr/>
      </xdr:nvSpPr>
      <xdr:spPr>
        <a:xfrm>
          <a:off x="9148233" y="8999761"/>
          <a:ext cx="291041" cy="2759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561824</xdr:colOff>
      <xdr:row>12</xdr:row>
      <xdr:rowOff>592061</xdr:rowOff>
    </xdr:from>
    <xdr:to>
      <xdr:col>17</xdr:col>
      <xdr:colOff>138490</xdr:colOff>
      <xdr:row>13</xdr:row>
      <xdr:rowOff>153609</xdr:rowOff>
    </xdr:to>
    <xdr:sp macro="" textlink="">
      <xdr:nvSpPr>
        <xdr:cNvPr id="4" name="Oval 3"/>
        <xdr:cNvSpPr/>
      </xdr:nvSpPr>
      <xdr:spPr>
        <a:xfrm>
          <a:off x="11991824" y="9031211"/>
          <a:ext cx="291041" cy="275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563032</xdr:colOff>
      <xdr:row>8</xdr:row>
      <xdr:rowOff>653746</xdr:rowOff>
    </xdr:from>
    <xdr:to>
      <xdr:col>17</xdr:col>
      <xdr:colOff>139698</xdr:colOff>
      <xdr:row>9</xdr:row>
      <xdr:rowOff>215294</xdr:rowOff>
    </xdr:to>
    <xdr:sp macro="" textlink="">
      <xdr:nvSpPr>
        <xdr:cNvPr id="5" name="Oval 4"/>
        <xdr:cNvSpPr/>
      </xdr:nvSpPr>
      <xdr:spPr>
        <a:xfrm>
          <a:off x="11993032" y="6235396"/>
          <a:ext cx="291041" cy="275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8224</xdr:colOff>
      <xdr:row>14</xdr:row>
      <xdr:rowOff>0</xdr:rowOff>
    </xdr:from>
    <xdr:to>
      <xdr:col>17</xdr:col>
      <xdr:colOff>77239</xdr:colOff>
      <xdr:row>14</xdr:row>
      <xdr:rowOff>15119</xdr:rowOff>
    </xdr:to>
    <xdr:cxnSp macro="">
      <xdr:nvCxnSpPr>
        <xdr:cNvPr id="6" name="Straight Arrow Connector 5"/>
        <xdr:cNvCxnSpPr/>
      </xdr:nvCxnSpPr>
      <xdr:spPr>
        <a:xfrm>
          <a:off x="9295099" y="9867900"/>
          <a:ext cx="2926515" cy="15119"/>
        </a:xfrm>
        <a:prstGeom prst="straightConnector1">
          <a:avLst/>
        </a:prstGeom>
        <a:ln w="3810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1209</xdr:colOff>
      <xdr:row>9</xdr:row>
      <xdr:rowOff>1209</xdr:rowOff>
    </xdr:from>
    <xdr:to>
      <xdr:col>18</xdr:col>
      <xdr:colOff>15118</xdr:colOff>
      <xdr:row>13</xdr:row>
      <xdr:rowOff>30238</xdr:rowOff>
    </xdr:to>
    <xdr:cxnSp macro="">
      <xdr:nvCxnSpPr>
        <xdr:cNvPr id="7" name="Straight Arrow Connector 6"/>
        <xdr:cNvCxnSpPr/>
      </xdr:nvCxnSpPr>
      <xdr:spPr>
        <a:xfrm rot="16200000" flipH="1">
          <a:off x="11423649" y="7733544"/>
          <a:ext cx="2886529" cy="13909"/>
        </a:xfrm>
        <a:prstGeom prst="straightConnector1">
          <a:avLst/>
        </a:prstGeom>
        <a:ln w="3810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160723</xdr:colOff>
      <xdr:row>17</xdr:row>
      <xdr:rowOff>268200</xdr:rowOff>
    </xdr:from>
    <xdr:to>
      <xdr:col>12</xdr:col>
      <xdr:colOff>447984</xdr:colOff>
      <xdr:row>17</xdr:row>
      <xdr:rowOff>540343</xdr:rowOff>
    </xdr:to>
    <xdr:sp macro="" textlink="">
      <xdr:nvSpPr>
        <xdr:cNvPr id="8" name="Oval 7"/>
        <xdr:cNvSpPr/>
      </xdr:nvSpPr>
      <xdr:spPr>
        <a:xfrm>
          <a:off x="8733223" y="12279225"/>
          <a:ext cx="287261" cy="2721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244758</xdr:colOff>
      <xdr:row>16</xdr:row>
      <xdr:rowOff>290117</xdr:rowOff>
    </xdr:from>
    <xdr:to>
      <xdr:col>12</xdr:col>
      <xdr:colOff>532019</xdr:colOff>
      <xdr:row>16</xdr:row>
      <xdr:rowOff>562260</xdr:rowOff>
    </xdr:to>
    <xdr:sp macro="" textlink="">
      <xdr:nvSpPr>
        <xdr:cNvPr id="9" name="Oval 8"/>
        <xdr:cNvSpPr/>
      </xdr:nvSpPr>
      <xdr:spPr>
        <a:xfrm>
          <a:off x="8817258" y="11586767"/>
          <a:ext cx="287261" cy="27214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576944</xdr:colOff>
      <xdr:row>12</xdr:row>
      <xdr:rowOff>592062</xdr:rowOff>
    </xdr:from>
    <xdr:to>
      <xdr:col>15</xdr:col>
      <xdr:colOff>153609</xdr:colOff>
      <xdr:row>13</xdr:row>
      <xdr:rowOff>153610</xdr:rowOff>
    </xdr:to>
    <xdr:sp macro="" textlink="">
      <xdr:nvSpPr>
        <xdr:cNvPr id="10" name="Oval 9"/>
        <xdr:cNvSpPr/>
      </xdr:nvSpPr>
      <xdr:spPr>
        <a:xfrm>
          <a:off x="10578194" y="9031212"/>
          <a:ext cx="291040" cy="27592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578153</xdr:colOff>
      <xdr:row>10</xdr:row>
      <xdr:rowOff>578153</xdr:rowOff>
    </xdr:from>
    <xdr:to>
      <xdr:col>13</xdr:col>
      <xdr:colOff>154819</xdr:colOff>
      <xdr:row>11</xdr:row>
      <xdr:rowOff>139701</xdr:rowOff>
    </xdr:to>
    <xdr:sp macro="" textlink="">
      <xdr:nvSpPr>
        <xdr:cNvPr id="11" name="Oval 10"/>
        <xdr:cNvSpPr/>
      </xdr:nvSpPr>
      <xdr:spPr>
        <a:xfrm>
          <a:off x="9150653" y="7588553"/>
          <a:ext cx="291041" cy="27592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594481</xdr:colOff>
      <xdr:row>10</xdr:row>
      <xdr:rowOff>594481</xdr:rowOff>
    </xdr:from>
    <xdr:to>
      <xdr:col>17</xdr:col>
      <xdr:colOff>171147</xdr:colOff>
      <xdr:row>11</xdr:row>
      <xdr:rowOff>156029</xdr:rowOff>
    </xdr:to>
    <xdr:sp macro="" textlink="">
      <xdr:nvSpPr>
        <xdr:cNvPr id="12" name="Oval 11"/>
        <xdr:cNvSpPr/>
      </xdr:nvSpPr>
      <xdr:spPr>
        <a:xfrm>
          <a:off x="12024481" y="7604881"/>
          <a:ext cx="291041" cy="27592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580572</xdr:colOff>
      <xdr:row>8</xdr:row>
      <xdr:rowOff>595691</xdr:rowOff>
    </xdr:from>
    <xdr:to>
      <xdr:col>15</xdr:col>
      <xdr:colOff>157237</xdr:colOff>
      <xdr:row>9</xdr:row>
      <xdr:rowOff>157239</xdr:rowOff>
    </xdr:to>
    <xdr:sp macro="" textlink="">
      <xdr:nvSpPr>
        <xdr:cNvPr id="13" name="Oval 12"/>
        <xdr:cNvSpPr/>
      </xdr:nvSpPr>
      <xdr:spPr>
        <a:xfrm>
          <a:off x="10581822" y="6177341"/>
          <a:ext cx="291040" cy="27592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154819</xdr:colOff>
      <xdr:row>18</xdr:row>
      <xdr:rowOff>245534</xdr:rowOff>
    </xdr:from>
    <xdr:to>
      <xdr:col>12</xdr:col>
      <xdr:colOff>442080</xdr:colOff>
      <xdr:row>18</xdr:row>
      <xdr:rowOff>517677</xdr:rowOff>
    </xdr:to>
    <xdr:sp macro="" textlink="">
      <xdr:nvSpPr>
        <xdr:cNvPr id="14" name="Oval 13"/>
        <xdr:cNvSpPr/>
      </xdr:nvSpPr>
      <xdr:spPr>
        <a:xfrm>
          <a:off x="8727319" y="12970934"/>
          <a:ext cx="287261" cy="272143"/>
        </a:xfrm>
        <a:prstGeom prst="ellipse">
          <a:avLst/>
        </a:prstGeom>
        <a:solidFill>
          <a:srgbClr val="66FF3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579363</xdr:colOff>
      <xdr:row>10</xdr:row>
      <xdr:rowOff>579363</xdr:rowOff>
    </xdr:from>
    <xdr:to>
      <xdr:col>15</xdr:col>
      <xdr:colOff>156028</xdr:colOff>
      <xdr:row>11</xdr:row>
      <xdr:rowOff>140911</xdr:rowOff>
    </xdr:to>
    <xdr:sp macro="" textlink="">
      <xdr:nvSpPr>
        <xdr:cNvPr id="15" name="Oval 14"/>
        <xdr:cNvSpPr/>
      </xdr:nvSpPr>
      <xdr:spPr>
        <a:xfrm>
          <a:off x="10580613" y="7589763"/>
          <a:ext cx="291040" cy="275923"/>
        </a:xfrm>
        <a:prstGeom prst="ellipse">
          <a:avLst/>
        </a:prstGeom>
        <a:solidFill>
          <a:srgbClr val="66FF3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 editAs="oneCell">
    <xdr:from>
      <xdr:col>19</xdr:col>
      <xdr:colOff>221115</xdr:colOff>
      <xdr:row>0</xdr:row>
      <xdr:rowOff>122465</xdr:rowOff>
    </xdr:from>
    <xdr:to>
      <xdr:col>31</xdr:col>
      <xdr:colOff>564015</xdr:colOff>
      <xdr:row>14</xdr:row>
      <xdr:rowOff>322490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3508" y="122465"/>
          <a:ext cx="7690757" cy="10160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70" zoomScaleNormal="70" workbookViewId="0">
      <selection activeCell="Q1" sqref="Q1"/>
    </sheetView>
  </sheetViews>
  <sheetFormatPr defaultColWidth="9.140625" defaultRowHeight="12.75" x14ac:dyDescent="0.2"/>
  <cols>
    <col min="1" max="19" width="10.7109375" style="1" customWidth="1"/>
    <col min="20" max="256" width="9.140625" style="1"/>
    <col min="257" max="275" width="10.7109375" style="1" customWidth="1"/>
    <col min="276" max="512" width="9.140625" style="1"/>
    <col min="513" max="531" width="10.7109375" style="1" customWidth="1"/>
    <col min="532" max="768" width="9.140625" style="1"/>
    <col min="769" max="787" width="10.7109375" style="1" customWidth="1"/>
    <col min="788" max="1024" width="9.140625" style="1"/>
    <col min="1025" max="1043" width="10.7109375" style="1" customWidth="1"/>
    <col min="1044" max="1280" width="9.140625" style="1"/>
    <col min="1281" max="1299" width="10.7109375" style="1" customWidth="1"/>
    <col min="1300" max="1536" width="9.140625" style="1"/>
    <col min="1537" max="1555" width="10.7109375" style="1" customWidth="1"/>
    <col min="1556" max="1792" width="9.140625" style="1"/>
    <col min="1793" max="1811" width="10.7109375" style="1" customWidth="1"/>
    <col min="1812" max="2048" width="9.140625" style="1"/>
    <col min="2049" max="2067" width="10.7109375" style="1" customWidth="1"/>
    <col min="2068" max="2304" width="9.140625" style="1"/>
    <col min="2305" max="2323" width="10.7109375" style="1" customWidth="1"/>
    <col min="2324" max="2560" width="9.140625" style="1"/>
    <col min="2561" max="2579" width="10.7109375" style="1" customWidth="1"/>
    <col min="2580" max="2816" width="9.140625" style="1"/>
    <col min="2817" max="2835" width="10.7109375" style="1" customWidth="1"/>
    <col min="2836" max="3072" width="9.140625" style="1"/>
    <col min="3073" max="3091" width="10.7109375" style="1" customWidth="1"/>
    <col min="3092" max="3328" width="9.140625" style="1"/>
    <col min="3329" max="3347" width="10.7109375" style="1" customWidth="1"/>
    <col min="3348" max="3584" width="9.140625" style="1"/>
    <col min="3585" max="3603" width="10.7109375" style="1" customWidth="1"/>
    <col min="3604" max="3840" width="9.140625" style="1"/>
    <col min="3841" max="3859" width="10.7109375" style="1" customWidth="1"/>
    <col min="3860" max="4096" width="9.140625" style="1"/>
    <col min="4097" max="4115" width="10.7109375" style="1" customWidth="1"/>
    <col min="4116" max="4352" width="9.140625" style="1"/>
    <col min="4353" max="4371" width="10.7109375" style="1" customWidth="1"/>
    <col min="4372" max="4608" width="9.140625" style="1"/>
    <col min="4609" max="4627" width="10.7109375" style="1" customWidth="1"/>
    <col min="4628" max="4864" width="9.140625" style="1"/>
    <col min="4865" max="4883" width="10.7109375" style="1" customWidth="1"/>
    <col min="4884" max="5120" width="9.140625" style="1"/>
    <col min="5121" max="5139" width="10.7109375" style="1" customWidth="1"/>
    <col min="5140" max="5376" width="9.140625" style="1"/>
    <col min="5377" max="5395" width="10.7109375" style="1" customWidth="1"/>
    <col min="5396" max="5632" width="9.140625" style="1"/>
    <col min="5633" max="5651" width="10.7109375" style="1" customWidth="1"/>
    <col min="5652" max="5888" width="9.140625" style="1"/>
    <col min="5889" max="5907" width="10.7109375" style="1" customWidth="1"/>
    <col min="5908" max="6144" width="9.140625" style="1"/>
    <col min="6145" max="6163" width="10.7109375" style="1" customWidth="1"/>
    <col min="6164" max="6400" width="9.140625" style="1"/>
    <col min="6401" max="6419" width="10.7109375" style="1" customWidth="1"/>
    <col min="6420" max="6656" width="9.140625" style="1"/>
    <col min="6657" max="6675" width="10.7109375" style="1" customWidth="1"/>
    <col min="6676" max="6912" width="9.140625" style="1"/>
    <col min="6913" max="6931" width="10.7109375" style="1" customWidth="1"/>
    <col min="6932" max="7168" width="9.140625" style="1"/>
    <col min="7169" max="7187" width="10.7109375" style="1" customWidth="1"/>
    <col min="7188" max="7424" width="9.140625" style="1"/>
    <col min="7425" max="7443" width="10.7109375" style="1" customWidth="1"/>
    <col min="7444" max="7680" width="9.140625" style="1"/>
    <col min="7681" max="7699" width="10.7109375" style="1" customWidth="1"/>
    <col min="7700" max="7936" width="9.140625" style="1"/>
    <col min="7937" max="7955" width="10.7109375" style="1" customWidth="1"/>
    <col min="7956" max="8192" width="9.140625" style="1"/>
    <col min="8193" max="8211" width="10.7109375" style="1" customWidth="1"/>
    <col min="8212" max="8448" width="9.140625" style="1"/>
    <col min="8449" max="8467" width="10.7109375" style="1" customWidth="1"/>
    <col min="8468" max="8704" width="9.140625" style="1"/>
    <col min="8705" max="8723" width="10.7109375" style="1" customWidth="1"/>
    <col min="8724" max="8960" width="9.140625" style="1"/>
    <col min="8961" max="8979" width="10.7109375" style="1" customWidth="1"/>
    <col min="8980" max="9216" width="9.140625" style="1"/>
    <col min="9217" max="9235" width="10.7109375" style="1" customWidth="1"/>
    <col min="9236" max="9472" width="9.140625" style="1"/>
    <col min="9473" max="9491" width="10.7109375" style="1" customWidth="1"/>
    <col min="9492" max="9728" width="9.140625" style="1"/>
    <col min="9729" max="9747" width="10.7109375" style="1" customWidth="1"/>
    <col min="9748" max="9984" width="9.140625" style="1"/>
    <col min="9985" max="10003" width="10.7109375" style="1" customWidth="1"/>
    <col min="10004" max="10240" width="9.140625" style="1"/>
    <col min="10241" max="10259" width="10.7109375" style="1" customWidth="1"/>
    <col min="10260" max="10496" width="9.140625" style="1"/>
    <col min="10497" max="10515" width="10.7109375" style="1" customWidth="1"/>
    <col min="10516" max="10752" width="9.140625" style="1"/>
    <col min="10753" max="10771" width="10.7109375" style="1" customWidth="1"/>
    <col min="10772" max="11008" width="9.140625" style="1"/>
    <col min="11009" max="11027" width="10.7109375" style="1" customWidth="1"/>
    <col min="11028" max="11264" width="9.140625" style="1"/>
    <col min="11265" max="11283" width="10.7109375" style="1" customWidth="1"/>
    <col min="11284" max="11520" width="9.140625" style="1"/>
    <col min="11521" max="11539" width="10.7109375" style="1" customWidth="1"/>
    <col min="11540" max="11776" width="9.140625" style="1"/>
    <col min="11777" max="11795" width="10.7109375" style="1" customWidth="1"/>
    <col min="11796" max="12032" width="9.140625" style="1"/>
    <col min="12033" max="12051" width="10.7109375" style="1" customWidth="1"/>
    <col min="12052" max="12288" width="9.140625" style="1"/>
    <col min="12289" max="12307" width="10.7109375" style="1" customWidth="1"/>
    <col min="12308" max="12544" width="9.140625" style="1"/>
    <col min="12545" max="12563" width="10.7109375" style="1" customWidth="1"/>
    <col min="12564" max="12800" width="9.140625" style="1"/>
    <col min="12801" max="12819" width="10.7109375" style="1" customWidth="1"/>
    <col min="12820" max="13056" width="9.140625" style="1"/>
    <col min="13057" max="13075" width="10.7109375" style="1" customWidth="1"/>
    <col min="13076" max="13312" width="9.140625" style="1"/>
    <col min="13313" max="13331" width="10.7109375" style="1" customWidth="1"/>
    <col min="13332" max="13568" width="9.140625" style="1"/>
    <col min="13569" max="13587" width="10.7109375" style="1" customWidth="1"/>
    <col min="13588" max="13824" width="9.140625" style="1"/>
    <col min="13825" max="13843" width="10.7109375" style="1" customWidth="1"/>
    <col min="13844" max="14080" width="9.140625" style="1"/>
    <col min="14081" max="14099" width="10.7109375" style="1" customWidth="1"/>
    <col min="14100" max="14336" width="9.140625" style="1"/>
    <col min="14337" max="14355" width="10.7109375" style="1" customWidth="1"/>
    <col min="14356" max="14592" width="9.140625" style="1"/>
    <col min="14593" max="14611" width="10.7109375" style="1" customWidth="1"/>
    <col min="14612" max="14848" width="9.140625" style="1"/>
    <col min="14849" max="14867" width="10.7109375" style="1" customWidth="1"/>
    <col min="14868" max="15104" width="9.140625" style="1"/>
    <col min="15105" max="15123" width="10.7109375" style="1" customWidth="1"/>
    <col min="15124" max="15360" width="9.140625" style="1"/>
    <col min="15361" max="15379" width="10.7109375" style="1" customWidth="1"/>
    <col min="15380" max="15616" width="9.140625" style="1"/>
    <col min="15617" max="15635" width="10.7109375" style="1" customWidth="1"/>
    <col min="15636" max="15872" width="9.140625" style="1"/>
    <col min="15873" max="15891" width="10.7109375" style="1" customWidth="1"/>
    <col min="15892" max="16128" width="9.140625" style="1"/>
    <col min="16129" max="16147" width="10.7109375" style="1" customWidth="1"/>
    <col min="16148" max="16384" width="9.140625" style="1"/>
  </cols>
  <sheetData>
    <row r="1" spans="1:19" ht="56.25" customHeight="1" thickBot="1" x14ac:dyDescent="0.3">
      <c r="P1" s="44" t="s">
        <v>209</v>
      </c>
    </row>
    <row r="2" spans="1:19" ht="45.75" customHeight="1" thickTop="1" thickBot="1" x14ac:dyDescent="0.35">
      <c r="A2" s="2" t="s">
        <v>0</v>
      </c>
      <c r="B2" s="3"/>
      <c r="C2" s="4"/>
      <c r="D2" s="5"/>
      <c r="E2" s="4"/>
      <c r="F2" s="5"/>
      <c r="G2" s="6"/>
      <c r="H2" s="5"/>
      <c r="I2" s="7"/>
      <c r="J2" s="8"/>
      <c r="L2" s="9" t="s">
        <v>1</v>
      </c>
    </row>
    <row r="3" spans="1:19" ht="56.25" customHeight="1" thickTop="1" x14ac:dyDescent="0.3">
      <c r="A3" s="2" t="s">
        <v>2</v>
      </c>
      <c r="B3" s="46" t="s">
        <v>3</v>
      </c>
      <c r="C3" s="47"/>
      <c r="D3" s="50" t="s">
        <v>4</v>
      </c>
      <c r="E3" s="47"/>
      <c r="F3" s="50" t="s">
        <v>5</v>
      </c>
      <c r="G3" s="58"/>
      <c r="H3" s="50" t="s">
        <v>6</v>
      </c>
      <c r="I3" s="52"/>
      <c r="J3" s="8"/>
      <c r="L3" s="9" t="s">
        <v>7</v>
      </c>
      <c r="M3" s="10"/>
      <c r="N3" s="11"/>
      <c r="O3" s="11"/>
      <c r="P3" s="11"/>
      <c r="Q3" s="12"/>
    </row>
    <row r="4" spans="1:19" ht="56.25" customHeight="1" thickBot="1" x14ac:dyDescent="0.35">
      <c r="A4" s="2" t="s">
        <v>8</v>
      </c>
      <c r="B4" s="48"/>
      <c r="C4" s="49"/>
      <c r="D4" s="51"/>
      <c r="E4" s="49"/>
      <c r="F4" s="51"/>
      <c r="G4" s="59"/>
      <c r="H4" s="51"/>
      <c r="I4" s="53"/>
      <c r="J4" s="8"/>
      <c r="L4" s="9" t="s">
        <v>9</v>
      </c>
      <c r="M4" s="13"/>
      <c r="N4" s="14"/>
      <c r="O4" s="15"/>
      <c r="P4" s="14"/>
      <c r="Q4" s="16"/>
    </row>
    <row r="5" spans="1:19" ht="56.25" customHeight="1" thickTop="1" thickBot="1" x14ac:dyDescent="0.35">
      <c r="A5" s="2" t="s">
        <v>10</v>
      </c>
      <c r="B5" s="46" t="s">
        <v>11</v>
      </c>
      <c r="C5" s="47"/>
      <c r="D5" s="50" t="s">
        <v>12</v>
      </c>
      <c r="E5" s="47"/>
      <c r="F5" s="50" t="s">
        <v>13</v>
      </c>
      <c r="G5" s="47"/>
      <c r="H5" s="50" t="s">
        <v>14</v>
      </c>
      <c r="I5" s="52"/>
      <c r="J5" s="8"/>
      <c r="L5" s="9" t="s">
        <v>15</v>
      </c>
      <c r="M5" s="13"/>
      <c r="N5" s="17"/>
      <c r="O5" s="18"/>
      <c r="P5" s="19"/>
      <c r="Q5" s="16"/>
    </row>
    <row r="6" spans="1:19" ht="56.25" customHeight="1" thickTop="1" x14ac:dyDescent="0.3">
      <c r="A6" s="2" t="s">
        <v>16</v>
      </c>
      <c r="B6" s="48"/>
      <c r="C6" s="49"/>
      <c r="D6" s="51"/>
      <c r="E6" s="49"/>
      <c r="F6" s="51"/>
      <c r="G6" s="49"/>
      <c r="H6" s="51"/>
      <c r="I6" s="53"/>
      <c r="J6" s="8"/>
      <c r="L6" s="9" t="s">
        <v>17</v>
      </c>
      <c r="M6" s="13"/>
      <c r="N6" s="14"/>
      <c r="O6" s="20"/>
      <c r="P6" s="14"/>
      <c r="Q6" s="16"/>
    </row>
    <row r="7" spans="1:19" ht="56.25" customHeight="1" thickBot="1" x14ac:dyDescent="0.35">
      <c r="A7" s="2" t="s">
        <v>18</v>
      </c>
      <c r="B7" s="46" t="s">
        <v>19</v>
      </c>
      <c r="C7" s="47"/>
      <c r="D7" s="50" t="s">
        <v>20</v>
      </c>
      <c r="E7" s="47"/>
      <c r="F7" s="50" t="s">
        <v>21</v>
      </c>
      <c r="G7" s="47"/>
      <c r="H7" s="50" t="s">
        <v>22</v>
      </c>
      <c r="I7" s="52"/>
      <c r="J7" s="8"/>
      <c r="L7" s="9" t="s">
        <v>23</v>
      </c>
      <c r="M7" s="21"/>
      <c r="N7" s="22"/>
      <c r="O7" s="22"/>
      <c r="P7" s="22"/>
      <c r="Q7" s="23"/>
    </row>
    <row r="8" spans="1:19" ht="56.25" customHeight="1" thickTop="1" x14ac:dyDescent="0.25">
      <c r="A8" s="2" t="s">
        <v>24</v>
      </c>
      <c r="B8" s="48"/>
      <c r="C8" s="49"/>
      <c r="D8" s="51"/>
      <c r="E8" s="49"/>
      <c r="F8" s="51"/>
      <c r="G8" s="49"/>
      <c r="H8" s="51"/>
      <c r="I8" s="53"/>
      <c r="J8" s="8"/>
      <c r="M8" s="24" t="s">
        <v>23</v>
      </c>
      <c r="N8" s="24" t="s">
        <v>17</v>
      </c>
      <c r="O8" s="24" t="s">
        <v>15</v>
      </c>
      <c r="P8" s="24" t="s">
        <v>9</v>
      </c>
      <c r="Q8" s="24" t="s">
        <v>7</v>
      </c>
      <c r="R8" s="24" t="s">
        <v>1</v>
      </c>
    </row>
    <row r="9" spans="1:19" ht="56.25" customHeight="1" thickBot="1" x14ac:dyDescent="0.35">
      <c r="A9" s="2" t="s">
        <v>25</v>
      </c>
      <c r="B9" s="46" t="s">
        <v>26</v>
      </c>
      <c r="C9" s="47"/>
      <c r="D9" s="50" t="s">
        <v>27</v>
      </c>
      <c r="E9" s="47"/>
      <c r="F9" s="50" t="s">
        <v>28</v>
      </c>
      <c r="G9" s="47"/>
      <c r="H9" s="50" t="s">
        <v>29</v>
      </c>
      <c r="I9" s="52"/>
      <c r="J9" s="8"/>
      <c r="M9" s="9"/>
    </row>
    <row r="10" spans="1:19" ht="56.25" customHeight="1" thickTop="1" x14ac:dyDescent="0.3">
      <c r="A10" s="2" t="s">
        <v>30</v>
      </c>
      <c r="B10" s="48"/>
      <c r="C10" s="49"/>
      <c r="D10" s="51"/>
      <c r="E10" s="49"/>
      <c r="F10" s="51"/>
      <c r="G10" s="49"/>
      <c r="H10" s="51"/>
      <c r="I10" s="53"/>
      <c r="J10" s="8"/>
      <c r="M10" s="9"/>
      <c r="N10" s="10"/>
      <c r="O10" s="11"/>
      <c r="P10" s="11"/>
      <c r="Q10" s="12"/>
    </row>
    <row r="11" spans="1:19" ht="56.25" customHeight="1" x14ac:dyDescent="0.35">
      <c r="A11" s="2" t="s">
        <v>31</v>
      </c>
      <c r="B11" s="46" t="s">
        <v>32</v>
      </c>
      <c r="C11" s="47"/>
      <c r="D11" s="50" t="s">
        <v>33</v>
      </c>
      <c r="E11" s="47"/>
      <c r="F11" s="50" t="s">
        <v>34</v>
      </c>
      <c r="G11" s="47"/>
      <c r="H11" s="50" t="s">
        <v>35</v>
      </c>
      <c r="I11" s="52"/>
      <c r="J11" s="8"/>
      <c r="M11" s="9"/>
      <c r="N11" s="13"/>
      <c r="O11" s="14"/>
      <c r="P11" s="14"/>
      <c r="Q11" s="16"/>
      <c r="S11" s="25" t="s">
        <v>36</v>
      </c>
    </row>
    <row r="12" spans="1:19" ht="56.25" customHeight="1" x14ac:dyDescent="0.3">
      <c r="A12" s="2" t="s">
        <v>1</v>
      </c>
      <c r="B12" s="48"/>
      <c r="C12" s="49"/>
      <c r="D12" s="51"/>
      <c r="E12" s="49"/>
      <c r="F12" s="51"/>
      <c r="G12" s="49"/>
      <c r="H12" s="51"/>
      <c r="I12" s="53"/>
      <c r="J12" s="8"/>
      <c r="M12" s="9"/>
      <c r="N12" s="13"/>
      <c r="O12" s="14"/>
      <c r="P12" s="14"/>
      <c r="Q12" s="16"/>
    </row>
    <row r="13" spans="1:19" ht="56.25" customHeight="1" thickBot="1" x14ac:dyDescent="0.35">
      <c r="A13" s="2" t="s">
        <v>37</v>
      </c>
      <c r="B13" s="46" t="s">
        <v>38</v>
      </c>
      <c r="C13" s="47"/>
      <c r="D13" s="50" t="s">
        <v>39</v>
      </c>
      <c r="E13" s="47"/>
      <c r="F13" s="50" t="s">
        <v>40</v>
      </c>
      <c r="G13" s="47"/>
      <c r="H13" s="50" t="s">
        <v>41</v>
      </c>
      <c r="I13" s="52"/>
      <c r="J13" s="8"/>
      <c r="M13" s="9"/>
      <c r="N13" s="21"/>
      <c r="O13" s="26"/>
      <c r="P13" s="22"/>
      <c r="Q13" s="23"/>
    </row>
    <row r="14" spans="1:19" ht="56.25" customHeight="1" thickTop="1" thickBot="1" x14ac:dyDescent="0.3">
      <c r="A14" s="2" t="s">
        <v>23</v>
      </c>
      <c r="B14" s="54"/>
      <c r="C14" s="55"/>
      <c r="D14" s="56"/>
      <c r="E14" s="55"/>
      <c r="F14" s="56"/>
      <c r="G14" s="55"/>
      <c r="H14" s="56"/>
      <c r="I14" s="57"/>
      <c r="J14" s="8"/>
      <c r="N14" s="24"/>
      <c r="O14" s="24"/>
      <c r="P14" s="24"/>
      <c r="Q14" s="24"/>
      <c r="R14" s="24"/>
    </row>
    <row r="15" spans="1:19" ht="56.25" customHeight="1" thickTop="1" x14ac:dyDescent="0.35">
      <c r="A15" s="8"/>
      <c r="B15" s="27" t="s">
        <v>23</v>
      </c>
      <c r="C15" s="27" t="s">
        <v>37</v>
      </c>
      <c r="D15" s="27" t="s">
        <v>1</v>
      </c>
      <c r="E15" s="27" t="s">
        <v>31</v>
      </c>
      <c r="F15" s="27" t="s">
        <v>30</v>
      </c>
      <c r="G15" s="27" t="s">
        <v>25</v>
      </c>
      <c r="H15" s="27" t="s">
        <v>24</v>
      </c>
      <c r="I15" s="27" t="s">
        <v>18</v>
      </c>
      <c r="J15" s="27" t="s">
        <v>16</v>
      </c>
      <c r="P15" s="25" t="s">
        <v>36</v>
      </c>
    </row>
    <row r="16" spans="1:19" ht="56.25" customHeight="1" x14ac:dyDescent="0.2"/>
    <row r="17" spans="14:14" ht="56.25" customHeight="1" x14ac:dyDescent="0.2">
      <c r="N17" s="28" t="s">
        <v>42</v>
      </c>
    </row>
    <row r="18" spans="14:14" ht="56.25" customHeight="1" x14ac:dyDescent="0.2">
      <c r="N18" s="28" t="s">
        <v>43</v>
      </c>
    </row>
    <row r="19" spans="14:14" ht="56.25" customHeight="1" x14ac:dyDescent="0.2">
      <c r="N19" s="28" t="s">
        <v>44</v>
      </c>
    </row>
    <row r="20" spans="14:14" ht="56.25" customHeight="1" x14ac:dyDescent="0.2">
      <c r="N20" s="29" t="s">
        <v>45</v>
      </c>
    </row>
    <row r="21" spans="14:14" ht="56.25" customHeight="1" x14ac:dyDescent="0.2"/>
    <row r="22" spans="14:14" ht="56.25" customHeight="1" x14ac:dyDescent="0.2"/>
    <row r="23" spans="14:14" ht="56.25" customHeight="1" x14ac:dyDescent="0.2"/>
    <row r="24" spans="14:14" ht="56.25" customHeight="1" x14ac:dyDescent="0.2"/>
    <row r="25" spans="14:14" ht="56.25" customHeight="1" x14ac:dyDescent="0.2"/>
    <row r="26" spans="14:14" ht="56.25" customHeight="1" x14ac:dyDescent="0.2"/>
    <row r="27" spans="14:14" ht="56.25" customHeight="1" x14ac:dyDescent="0.2"/>
    <row r="28" spans="14:14" ht="56.25" customHeight="1" x14ac:dyDescent="0.2"/>
    <row r="29" spans="14:14" ht="56.25" customHeight="1" x14ac:dyDescent="0.2"/>
    <row r="30" spans="14:14" ht="56.25" customHeight="1" x14ac:dyDescent="0.2"/>
    <row r="31" spans="14:14" ht="56.25" customHeight="1" x14ac:dyDescent="0.2"/>
    <row r="32" spans="14:14" ht="56.25" customHeight="1" x14ac:dyDescent="0.2"/>
    <row r="33" ht="56.25" customHeight="1" x14ac:dyDescent="0.2"/>
    <row r="34" ht="56.25" customHeight="1" x14ac:dyDescent="0.2"/>
    <row r="35" ht="56.25" customHeight="1" x14ac:dyDescent="0.2"/>
  </sheetData>
  <mergeCells count="24">
    <mergeCell ref="B3:C4"/>
    <mergeCell ref="D3:E4"/>
    <mergeCell ref="F3:G4"/>
    <mergeCell ref="H3:I4"/>
    <mergeCell ref="B5:C6"/>
    <mergeCell ref="D5:E6"/>
    <mergeCell ref="F5:G6"/>
    <mergeCell ref="H5:I6"/>
    <mergeCell ref="B7:C8"/>
    <mergeCell ref="D7:E8"/>
    <mergeCell ref="F7:G8"/>
    <mergeCell ref="H7:I8"/>
    <mergeCell ref="B9:C10"/>
    <mergeCell ref="D9:E10"/>
    <mergeCell ref="F9:G10"/>
    <mergeCell ref="H9:I10"/>
    <mergeCell ref="B11:C12"/>
    <mergeCell ref="D11:E12"/>
    <mergeCell ref="F11:G12"/>
    <mergeCell ref="H11:I12"/>
    <mergeCell ref="B13:C14"/>
    <mergeCell ref="D13:E14"/>
    <mergeCell ref="F13:G14"/>
    <mergeCell ref="H13:I14"/>
  </mergeCells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0"/>
  <sheetViews>
    <sheetView tabSelected="1" zoomScale="60" zoomScaleNormal="60" workbookViewId="0">
      <pane xSplit="4" ySplit="3" topLeftCell="G4" activePane="bottomRight" state="frozenSplit"/>
      <selection pane="topRight" activeCell="E1" sqref="E1"/>
      <selection pane="bottomLeft" activeCell="A4" sqref="A4"/>
      <selection pane="bottomRight" activeCell="AB11" sqref="AB11"/>
    </sheetView>
  </sheetViews>
  <sheetFormatPr defaultRowHeight="18.75" x14ac:dyDescent="0.25"/>
  <cols>
    <col min="1" max="1" width="11.7109375" style="32" customWidth="1"/>
    <col min="2" max="2" width="12.42578125" style="32" customWidth="1"/>
    <col min="3" max="3" width="12.85546875" style="32" customWidth="1"/>
    <col min="4" max="4" width="22" style="32" customWidth="1"/>
    <col min="5" max="5" width="42.140625" style="32" customWidth="1"/>
    <col min="6" max="6" width="19.7109375" style="32" customWidth="1"/>
    <col min="7" max="7" width="9.140625" style="32"/>
    <col min="8" max="8" width="10.28515625" style="32" customWidth="1"/>
    <col min="9" max="9" width="9.140625" style="32" customWidth="1"/>
    <col min="10" max="11" width="9.42578125" style="32" customWidth="1"/>
    <col min="12" max="12" width="8.42578125" style="32" customWidth="1"/>
    <col min="13" max="13" width="8.85546875" style="32" customWidth="1"/>
    <col min="14" max="14" width="12.28515625" style="32" customWidth="1"/>
    <col min="15" max="15" width="11.28515625" style="32" customWidth="1"/>
    <col min="16" max="16" width="9.85546875" style="32" customWidth="1"/>
    <col min="17" max="19" width="10.28515625" style="32" customWidth="1"/>
    <col min="20" max="20" width="12.140625" style="32" customWidth="1"/>
    <col min="21" max="22" width="11.7109375" style="32" customWidth="1"/>
    <col min="23" max="24" width="11.42578125" style="32" customWidth="1"/>
    <col min="25" max="25" width="13" style="61" customWidth="1"/>
    <col min="26" max="26" width="13.140625" style="61" customWidth="1"/>
    <col min="27" max="27" width="13.7109375" style="61" customWidth="1"/>
    <col min="28" max="29" width="13.28515625" style="61" customWidth="1"/>
    <col min="30" max="30" width="13.28515625" style="32" customWidth="1"/>
    <col min="31" max="31" width="13.85546875" style="61" customWidth="1"/>
    <col min="32" max="32" width="13.42578125" style="61" customWidth="1"/>
    <col min="33" max="33" width="18.140625" style="61" customWidth="1"/>
    <col min="34" max="35" width="13.42578125" style="32" customWidth="1"/>
    <col min="36" max="36" width="16.85546875" style="32" customWidth="1"/>
    <col min="37" max="37" width="12.7109375" style="32" customWidth="1"/>
    <col min="38" max="38" width="12.7109375" customWidth="1"/>
    <col min="39" max="39" width="12.7109375" style="32" customWidth="1"/>
    <col min="40" max="40" width="20.140625" style="32" customWidth="1"/>
    <col min="41" max="16384" width="9.140625" style="32"/>
  </cols>
  <sheetData>
    <row r="1" spans="1:43" x14ac:dyDescent="0.25">
      <c r="L1" s="32" t="s">
        <v>126</v>
      </c>
    </row>
    <row r="2" spans="1:43" s="31" customFormat="1" ht="131.25" x14ac:dyDescent="0.25">
      <c r="A2" s="31" t="s">
        <v>46</v>
      </c>
      <c r="B2" s="31" t="s">
        <v>47</v>
      </c>
      <c r="D2" s="31" t="s">
        <v>48</v>
      </c>
      <c r="E2" s="32" t="s">
        <v>125</v>
      </c>
      <c r="F2" s="32" t="s">
        <v>210</v>
      </c>
      <c r="G2" s="31" t="s">
        <v>143</v>
      </c>
      <c r="H2" s="31" t="s">
        <v>83</v>
      </c>
      <c r="I2" s="31" t="s">
        <v>86</v>
      </c>
      <c r="J2" s="31" t="s">
        <v>88</v>
      </c>
      <c r="K2" s="31" t="s">
        <v>147</v>
      </c>
      <c r="L2" s="31" t="s">
        <v>127</v>
      </c>
      <c r="M2" s="31" t="s">
        <v>82</v>
      </c>
      <c r="N2" s="31" t="s">
        <v>128</v>
      </c>
      <c r="O2" s="31" t="s">
        <v>85</v>
      </c>
      <c r="P2" s="31" t="s">
        <v>140</v>
      </c>
      <c r="Q2" s="31" t="s">
        <v>137</v>
      </c>
      <c r="R2" s="31" t="s">
        <v>139</v>
      </c>
      <c r="S2" s="31" t="s">
        <v>138</v>
      </c>
      <c r="T2" s="31" t="s">
        <v>252</v>
      </c>
      <c r="U2" s="31" t="s">
        <v>253</v>
      </c>
      <c r="W2" s="31" t="s">
        <v>93</v>
      </c>
      <c r="X2" s="31" t="s">
        <v>94</v>
      </c>
      <c r="Y2" s="62" t="s">
        <v>90</v>
      </c>
      <c r="Z2" s="62" t="s">
        <v>92</v>
      </c>
      <c r="AA2" s="62" t="s">
        <v>49</v>
      </c>
      <c r="AB2" s="62" t="s">
        <v>141</v>
      </c>
      <c r="AC2" s="62" t="s">
        <v>224</v>
      </c>
      <c r="AD2" s="31" t="s">
        <v>243</v>
      </c>
      <c r="AE2" s="62" t="s">
        <v>230</v>
      </c>
      <c r="AF2" s="62" t="s">
        <v>231</v>
      </c>
      <c r="AG2" s="62" t="s">
        <v>229</v>
      </c>
      <c r="AH2" s="31" t="s">
        <v>245</v>
      </c>
    </row>
    <row r="3" spans="1:43" x14ac:dyDescent="0.25">
      <c r="G3" s="32" t="s">
        <v>144</v>
      </c>
      <c r="H3" s="32" t="s">
        <v>84</v>
      </c>
      <c r="I3" s="32" t="s">
        <v>84</v>
      </c>
      <c r="J3" s="32" t="s">
        <v>89</v>
      </c>
      <c r="K3" s="32" t="s">
        <v>91</v>
      </c>
      <c r="L3" s="32" t="s">
        <v>84</v>
      </c>
      <c r="M3" s="32" t="s">
        <v>84</v>
      </c>
      <c r="N3" s="32" t="s">
        <v>84</v>
      </c>
      <c r="O3" s="32" t="s">
        <v>87</v>
      </c>
      <c r="P3" s="32" t="s">
        <v>84</v>
      </c>
      <c r="Q3" s="32" t="s">
        <v>89</v>
      </c>
      <c r="R3" s="32" t="s">
        <v>84</v>
      </c>
      <c r="S3" s="32" t="s">
        <v>89</v>
      </c>
      <c r="T3" s="32" t="s">
        <v>145</v>
      </c>
      <c r="U3" s="32" t="s">
        <v>145</v>
      </c>
      <c r="W3" s="32" t="s">
        <v>84</v>
      </c>
      <c r="X3" s="32" t="s">
        <v>84</v>
      </c>
      <c r="Y3" s="61" t="s">
        <v>91</v>
      </c>
      <c r="Z3" s="61" t="s">
        <v>91</v>
      </c>
      <c r="AB3" s="61" t="s">
        <v>142</v>
      </c>
      <c r="AC3" s="61" t="s">
        <v>225</v>
      </c>
      <c r="AD3" s="32" t="s">
        <v>233</v>
      </c>
      <c r="AE3" s="61" t="s">
        <v>246</v>
      </c>
      <c r="AF3" s="61" t="s">
        <v>236</v>
      </c>
      <c r="AH3" s="32" t="s">
        <v>233</v>
      </c>
    </row>
    <row r="4" spans="1:43" x14ac:dyDescent="0.25">
      <c r="I4" s="32" t="s">
        <v>136</v>
      </c>
      <c r="S4" s="32" t="s">
        <v>146</v>
      </c>
      <c r="T4" s="34">
        <f>AVERAGE(T7,T18,T40,T51,T62,T73,T84,T95,T106,T117,T128,T139,T150,T161,T172,T183,T194,T205,T216,T227,T238,T249,T260)</f>
        <v>0.82630260232614694</v>
      </c>
      <c r="AD4" s="32" t="s">
        <v>244</v>
      </c>
    </row>
    <row r="5" spans="1:43" x14ac:dyDescent="0.25">
      <c r="J5" s="32" t="s">
        <v>134</v>
      </c>
      <c r="K5" s="33" t="e">
        <f>AVERAGE(K7:K269)</f>
        <v>#DIV/0!</v>
      </c>
      <c r="AK5" s="32" t="s">
        <v>222</v>
      </c>
      <c r="AL5" t="s">
        <v>226</v>
      </c>
      <c r="AM5" s="32" t="s">
        <v>227</v>
      </c>
    </row>
    <row r="6" spans="1:43" x14ac:dyDescent="0.25">
      <c r="A6" s="32" t="s">
        <v>50</v>
      </c>
      <c r="B6" s="32">
        <v>50</v>
      </c>
      <c r="C6" s="32" t="s">
        <v>37</v>
      </c>
      <c r="D6" s="32" t="s">
        <v>51</v>
      </c>
      <c r="E6" s="32" t="s">
        <v>242</v>
      </c>
      <c r="H6" s="33">
        <v>937.40000000000009</v>
      </c>
      <c r="J6" s="33"/>
      <c r="K6" s="33"/>
      <c r="P6" s="33">
        <v>713.68000000000006</v>
      </c>
      <c r="AB6" s="63">
        <f>(P6*0.5)/9/(25*25)*100*100/1000</f>
        <v>0.6343822222222224</v>
      </c>
      <c r="AK6" s="32" t="s">
        <v>223</v>
      </c>
      <c r="AL6" s="45"/>
      <c r="AO6" s="32" t="s">
        <v>199</v>
      </c>
      <c r="AP6" s="32" t="s">
        <v>232</v>
      </c>
      <c r="AQ6" s="32" t="s">
        <v>227</v>
      </c>
    </row>
    <row r="7" spans="1:43" x14ac:dyDescent="0.25">
      <c r="D7" s="32" t="s">
        <v>52</v>
      </c>
      <c r="E7" s="32" t="s">
        <v>100</v>
      </c>
      <c r="F7" s="32" t="s">
        <v>211</v>
      </c>
      <c r="G7" s="32">
        <v>10</v>
      </c>
      <c r="H7" s="33">
        <v>9574.44</v>
      </c>
      <c r="I7" s="33">
        <v>4357.1900000000005</v>
      </c>
      <c r="J7" s="33">
        <f>I7/2.76</f>
        <v>1578.6920289855075</v>
      </c>
      <c r="K7" s="33">
        <f>J7/Q7*100</f>
        <v>27.317737134201547</v>
      </c>
      <c r="L7" s="35">
        <v>4.17</v>
      </c>
      <c r="M7" s="35">
        <v>53.39</v>
      </c>
      <c r="N7" s="35">
        <v>39</v>
      </c>
      <c r="O7" s="34">
        <f>(N7-L7)/M7</f>
        <v>0.65236935755759506</v>
      </c>
      <c r="P7" s="33"/>
      <c r="Q7" s="32">
        <v>5779</v>
      </c>
      <c r="R7" s="33">
        <f>(H7-I7)*O7</f>
        <v>3403.5740307173628</v>
      </c>
      <c r="S7" s="33">
        <f>Q7-J7</f>
        <v>4200.3079710144921</v>
      </c>
      <c r="T7" s="34">
        <f>R7/S7</f>
        <v>0.81031535168486812</v>
      </c>
      <c r="U7" s="34">
        <f>'Pit bulk density'!L5</f>
        <v>0.74</v>
      </c>
      <c r="V7" s="34">
        <f>'Pit bulk density'!M5</f>
        <v>0.98281297241681143</v>
      </c>
      <c r="W7" s="35">
        <v>18.32</v>
      </c>
      <c r="X7" s="35">
        <v>17.22</v>
      </c>
      <c r="Y7" s="64">
        <v>6.9077251907108472</v>
      </c>
      <c r="Z7" s="64">
        <v>0.50605714747474584</v>
      </c>
      <c r="AA7" s="65">
        <f>Y7/Z7</f>
        <v>13.650089175068057</v>
      </c>
      <c r="AB7" s="63">
        <f>(Y7*10)*100*100*G7*T7/1000000</f>
        <v>5.5974357672532831</v>
      </c>
      <c r="AC7" s="63">
        <f>(Z7*10)*100*100*G7*T7/1000000</f>
        <v>0.41006587542863987</v>
      </c>
      <c r="AD7" s="34">
        <f>(W7*0.5)/Q7*100*100*G7/1000</f>
        <v>0.15850493164907423</v>
      </c>
      <c r="AE7" s="63">
        <f>SUM(AB7:AB11)</f>
        <v>10.775843819349701</v>
      </c>
      <c r="AF7" s="63">
        <f>SUM(AC7:AC11)</f>
        <v>0.80900580107263376</v>
      </c>
      <c r="AG7" s="63">
        <f>AE7/AF7</f>
        <v>13.319859764988545</v>
      </c>
      <c r="AH7" s="35">
        <f>SUM(AD7:AD11)</f>
        <v>0.20965315711880284</v>
      </c>
      <c r="AI7" s="35"/>
      <c r="AJ7" s="32" t="s">
        <v>51</v>
      </c>
      <c r="AK7" s="35">
        <f>AVERAGE(AB17,AB6,AB28,AB39,AB50,AB61,AB72,AB83,AB94,AB105,AB116,AB127,AB138,AB149,AB160,AB171,AB182,AB193,AB204,AB215,AB226,AB237,AB248,AB259)</f>
        <v>0.64121296296296293</v>
      </c>
      <c r="AN7" s="39" t="s">
        <v>228</v>
      </c>
      <c r="AO7" s="35">
        <f>SUM(AK8:AK12)</f>
        <v>11.290540613208208</v>
      </c>
      <c r="AP7" s="35">
        <f>SUM(AL8:AL12)</f>
        <v>0.8353551789925826</v>
      </c>
      <c r="AQ7" s="35">
        <f>AO7/AP7</f>
        <v>13.515856365222175</v>
      </c>
    </row>
    <row r="8" spans="1:43" x14ac:dyDescent="0.25">
      <c r="D8" s="32" t="s">
        <v>53</v>
      </c>
      <c r="G8" s="32">
        <v>10</v>
      </c>
      <c r="H8" s="33">
        <v>826.42</v>
      </c>
      <c r="I8" s="33"/>
      <c r="J8" s="33"/>
      <c r="K8" s="41">
        <f>K19</f>
        <v>28.27</v>
      </c>
      <c r="L8" s="35">
        <v>4.17</v>
      </c>
      <c r="M8" s="35">
        <v>50.12</v>
      </c>
      <c r="N8" s="35">
        <v>39.590000000000003</v>
      </c>
      <c r="O8" s="34">
        <f t="shared" ref="O8:O10" si="0">(N8-L8)/M8</f>
        <v>0.7067039106145252</v>
      </c>
      <c r="U8" s="34">
        <f>'Pit bulk density'!L6</f>
        <v>0.85199999999999998</v>
      </c>
      <c r="V8" s="34">
        <f>'Pit bulk density'!M6</f>
        <v>1.1937194914134821</v>
      </c>
      <c r="W8" s="35">
        <v>0.51</v>
      </c>
      <c r="X8" s="35">
        <v>2.27</v>
      </c>
      <c r="Y8" s="64">
        <v>2.1381584470181645</v>
      </c>
      <c r="Z8" s="64">
        <v>0.16976136393566232</v>
      </c>
      <c r="AA8" s="65">
        <f>Y8/Z8</f>
        <v>12.595082870732016</v>
      </c>
      <c r="AB8" s="63">
        <f>(Y8*10)*100*100*G8*U8/1000000</f>
        <v>1.821710996859476</v>
      </c>
      <c r="AC8" s="63">
        <f>(Z8*10)*100*100*G8*U8/1000000</f>
        <v>0.14463668207318431</v>
      </c>
      <c r="AD8" s="34">
        <f>(W8*0.5)/(5*38.32*G8)*100*100*G8/1000</f>
        <v>1.3308977035490607E-2</v>
      </c>
      <c r="AJ8" s="32" t="s">
        <v>52</v>
      </c>
      <c r="AK8" s="35">
        <f>AVERAGE(AB18,AB7,AB29,AB40,AB51,AB62,AB73,AB84,AB95,AB106,AB117,AB128,AB139,AB150,AB161,AB172,AB183,AB194,AB205,AB216,AB227,AB238,AB249,AB260)</f>
        <v>4.8883117079890948</v>
      </c>
      <c r="AL8" s="34">
        <f>AVERAGE(AC18,AC7,AC29,AC40,AC51,AC62,AC73,AC84,AC95,AC106,AC117,AC128,AC139,AC150,AC161,AC172,AC183,AC194,AC205,AC216,AC227,AC238,AC249,AC260)</f>
        <v>0.33918575704319842</v>
      </c>
      <c r="AM8" s="35">
        <f>AK8/AL8</f>
        <v>14.411901462497211</v>
      </c>
      <c r="AO8" s="35"/>
      <c r="AP8" s="35"/>
      <c r="AQ8" s="35"/>
    </row>
    <row r="9" spans="1:43" x14ac:dyDescent="0.25">
      <c r="D9" s="32" t="s">
        <v>54</v>
      </c>
      <c r="E9" s="32" t="s">
        <v>101</v>
      </c>
      <c r="G9" s="32">
        <v>10</v>
      </c>
      <c r="H9" s="33">
        <v>1420.43</v>
      </c>
      <c r="I9" s="33"/>
      <c r="J9" s="33"/>
      <c r="K9" s="41">
        <f t="shared" ref="K9:K10" si="1">K20</f>
        <v>27.4</v>
      </c>
      <c r="L9" s="35">
        <v>4.2</v>
      </c>
      <c r="M9" s="35">
        <v>49.91</v>
      </c>
      <c r="N9" s="35">
        <v>37.86</v>
      </c>
      <c r="O9" s="34">
        <f t="shared" si="0"/>
        <v>0.67441394510118213</v>
      </c>
      <c r="U9" s="34">
        <f>'Pit bulk density'!L7</f>
        <v>1.026</v>
      </c>
      <c r="V9" s="34">
        <f>'Pit bulk density'!M7</f>
        <v>1.4115282335035124</v>
      </c>
      <c r="W9" s="35">
        <v>0.68</v>
      </c>
      <c r="X9" s="35">
        <v>0.76</v>
      </c>
      <c r="Y9" s="64">
        <v>1.643159192690663</v>
      </c>
      <c r="Z9" s="64">
        <v>0.12095811360733716</v>
      </c>
      <c r="AA9" s="65">
        <f>Y9/Z9</f>
        <v>13.584530575805799</v>
      </c>
      <c r="AB9" s="63">
        <f>(Y9*10)*100*100*G9*U9/1000000</f>
        <v>1.6858813317006203</v>
      </c>
      <c r="AC9" s="63">
        <f t="shared" ref="AC9:AC10" si="2">(Z9*10)*100*100*G9*U9/1000000</f>
        <v>0.12410302456112793</v>
      </c>
      <c r="AD9" s="34">
        <f t="shared" ref="AD9:AD10" si="3">(W9*0.5)/(5*38.32*G9)*100*100*G9/1000</f>
        <v>1.7745302713987478E-2</v>
      </c>
      <c r="AJ9" s="32" t="s">
        <v>53</v>
      </c>
      <c r="AK9" s="35">
        <f>AVERAGE(AB19,AB8,AB30,AB41,AB52,AB63,AB74,AB85,AB96,AB107,AB118,AB129,AB140,AB151,AB162,AB173,AB184,AB195,AB206,AB217,AB228,AB239,AB250,AB261)</f>
        <v>1.7722956359813002</v>
      </c>
      <c r="AL9" s="34">
        <f>AVERAGE(AC19,AC8,AC30,AC41,AC52,AC63,AC74,AC85,AC96,AC107,AC118,AC129,AC140,AC151,AC162,AC173,AC184,AC195,AC206,AC217,AC228,AC239,AC250,AC261)</f>
        <v>0.13007244839066087</v>
      </c>
      <c r="AM9" s="35">
        <f t="shared" ref="AM9:AM16" si="4">AK9/AL9</f>
        <v>13.62544995430831</v>
      </c>
    </row>
    <row r="10" spans="1:43" x14ac:dyDescent="0.25">
      <c r="D10" s="32" t="s">
        <v>55</v>
      </c>
      <c r="E10" s="32" t="s">
        <v>102</v>
      </c>
      <c r="G10" s="32">
        <v>20</v>
      </c>
      <c r="H10" s="33">
        <v>2160.11</v>
      </c>
      <c r="I10" s="33"/>
      <c r="J10" s="33"/>
      <c r="K10" s="41">
        <f t="shared" si="1"/>
        <v>27.76</v>
      </c>
      <c r="L10" s="35">
        <v>4.1900000000000004</v>
      </c>
      <c r="M10" s="35">
        <v>50.02</v>
      </c>
      <c r="N10" s="35">
        <v>40.22</v>
      </c>
      <c r="O10" s="34">
        <f t="shared" si="0"/>
        <v>0.72031187524990004</v>
      </c>
      <c r="U10" s="34">
        <f>'Pit bulk density'!L8</f>
        <v>1.0505</v>
      </c>
      <c r="V10" s="34">
        <f>'Pit bulk density'!M8</f>
        <v>1.4543324160744242</v>
      </c>
      <c r="W10" s="35">
        <v>0.77</v>
      </c>
      <c r="X10" s="35">
        <v>0.25</v>
      </c>
      <c r="Y10" s="64">
        <v>0.79524784556702599</v>
      </c>
      <c r="Z10" s="64">
        <v>6.197059448342767E-2</v>
      </c>
      <c r="AA10" s="65">
        <f>Y10/Z10</f>
        <v>12.832664462815394</v>
      </c>
      <c r="AB10" s="63">
        <f>(Y10*10)*100*100*G10*U10/1000000</f>
        <v>1.6708157235363215</v>
      </c>
      <c r="AC10" s="63">
        <f t="shared" si="2"/>
        <v>0.13020021900968154</v>
      </c>
      <c r="AD10" s="34">
        <f t="shared" si="3"/>
        <v>2.0093945720250524E-2</v>
      </c>
      <c r="AJ10" s="32" t="s">
        <v>54</v>
      </c>
      <c r="AK10" s="35">
        <f>AVERAGE(AB20,AB9,AB31,AB42,AB53,AB64,AB75,AB86,AB97,AB108,AB119,AB130,AB141,AB152,AB163,AB174,AB185,AB196,AB207,AB218,AB229,AB240,AB251,AB262)</f>
        <v>1.2792389413045464</v>
      </c>
      <c r="AL10" s="34">
        <f>AVERAGE(AC20,AC9,AC31,AC42,AC53,AC64,AC75,AC86,AC97,AC108,AC119,AC130,AC141,AC152,AC163,AC174,AC185,AC196,AC207,AC218,AC229,AC240,AC251,AC262)</f>
        <v>9.341084791945807E-2</v>
      </c>
      <c r="AM10" s="35">
        <f t="shared" si="4"/>
        <v>13.694757833774815</v>
      </c>
    </row>
    <row r="11" spans="1:43" x14ac:dyDescent="0.25">
      <c r="D11" s="32" t="s">
        <v>56</v>
      </c>
      <c r="G11" s="32">
        <v>50</v>
      </c>
      <c r="H11" s="33"/>
      <c r="I11" s="33"/>
      <c r="J11" s="33"/>
      <c r="K11" s="41"/>
      <c r="L11" s="35"/>
      <c r="M11" s="35"/>
      <c r="N11" s="35"/>
      <c r="U11" s="34">
        <f>'Pit bulk density'!L9</f>
        <v>1.0556000000000001</v>
      </c>
      <c r="V11" s="34">
        <f>'Pit bulk density'!M9</f>
        <v>1.3490643949624299</v>
      </c>
      <c r="W11" s="35"/>
      <c r="X11" s="35"/>
      <c r="AB11" s="63"/>
      <c r="AC11" s="63"/>
      <c r="AD11" s="35"/>
      <c r="AJ11" s="32" t="s">
        <v>55</v>
      </c>
      <c r="AK11" s="35">
        <f>AVERAGE(AB21,AB10,AB32,AB43,AB54,AB65,AB76,AB87,AB98,AB109,AB120,AB131,AB142,AB153,AB164,AB175,AB186,AB197,AB208,AB219,AB230,AB241,AB252,AB263)</f>
        <v>1.5622155120715135</v>
      </c>
      <c r="AL11" s="34">
        <f>AVERAGE(AC21,AC10,AC32,AC43,AC54,AC65,AC76,AC87,AC98,AC109,AC120,AC131,AC142,AC153,AC164,AC175,AC186,AC197,AC208,AC219,AC230,AC241,AC252,AC263)</f>
        <v>0.11960868088793113</v>
      </c>
      <c r="AM11" s="35">
        <f t="shared" si="4"/>
        <v>13.06105460301206</v>
      </c>
    </row>
    <row r="12" spans="1:43" x14ac:dyDescent="0.25">
      <c r="D12" s="32" t="s">
        <v>57</v>
      </c>
      <c r="G12" s="32">
        <v>50</v>
      </c>
      <c r="H12" s="33"/>
      <c r="I12" s="33"/>
      <c r="J12" s="33"/>
      <c r="K12" s="33" t="s">
        <v>219</v>
      </c>
      <c r="L12" s="35"/>
      <c r="M12" s="35"/>
      <c r="N12" s="35"/>
      <c r="W12" s="35"/>
      <c r="X12" s="35"/>
      <c r="AB12" s="63"/>
      <c r="AC12" s="63"/>
      <c r="AD12" s="35"/>
      <c r="AJ12" s="32" t="s">
        <v>56</v>
      </c>
      <c r="AK12" s="35">
        <f>AVERAGE(AB22,AB11,AB33,AB44,AB55,AB66,AB77,AB88,AB99,AB110,AB121,AB132,AB143,AB154,AB165,AB176,AB187,AB198,AB209,AB220,AB231,AB242,AB253,AB264)</f>
        <v>1.7884788158617526</v>
      </c>
      <c r="AL12" s="34">
        <f>AVERAGE(AC22,AC11,AC33,AC44,AC55,AC66,AC77,AC88,AC99,AC110,AC121,AC132,AC143,AC154,AC165,AC176,AC187,AC198,AC209,AC220,AC231,AC242,AC253,AC264)</f>
        <v>0.15307744475133406</v>
      </c>
      <c r="AM12" s="35">
        <f t="shared" si="4"/>
        <v>11.683490136427602</v>
      </c>
    </row>
    <row r="13" spans="1:43" x14ac:dyDescent="0.25">
      <c r="D13" s="32" t="s">
        <v>58</v>
      </c>
      <c r="G13" s="32">
        <v>50</v>
      </c>
      <c r="H13" s="33"/>
      <c r="I13" s="33"/>
      <c r="J13" s="33"/>
      <c r="K13" s="33"/>
      <c r="L13" s="35"/>
      <c r="M13" s="35"/>
      <c r="N13" s="35"/>
      <c r="W13" s="35"/>
      <c r="X13" s="35"/>
      <c r="AB13" s="63"/>
      <c r="AC13" s="63"/>
      <c r="AD13" s="35"/>
      <c r="AJ13" s="32" t="s">
        <v>57</v>
      </c>
      <c r="AK13" s="34">
        <f>AVERAGE(AB23,AB12,AB34,AB45,AB56,AB67,AB78,AB89,AB100,AB111,AB122,AB133,AB144,AB155,AB166,AB177,AB188,AB199,AB210,AB221,AB232,AB243,AB254,AB265)</f>
        <v>0.61341225159908308</v>
      </c>
      <c r="AL13" s="60">
        <f>AVERAGE(AC23,AC12,AC34,AC45,AC56,AC67,AC78,AC89,AC100,AC111,AC122,AC133,AC144,AC155,AC166,AC177,AC188,AC199,AC210,AC221,AC232,AC243,AC254,AC265)</f>
        <v>6.203119773773242E-2</v>
      </c>
      <c r="AM13" s="35">
        <f t="shared" si="4"/>
        <v>9.8887700700635648</v>
      </c>
    </row>
    <row r="14" spans="1:43" x14ac:dyDescent="0.25">
      <c r="D14" s="32" t="s">
        <v>59</v>
      </c>
      <c r="G14" s="32">
        <v>50</v>
      </c>
      <c r="H14" s="33"/>
      <c r="I14" s="33"/>
      <c r="J14" s="33"/>
      <c r="K14" s="33"/>
      <c r="L14" s="35"/>
      <c r="M14" s="35"/>
      <c r="N14" s="35"/>
      <c r="W14" s="35"/>
      <c r="X14" s="35"/>
      <c r="AB14" s="63"/>
      <c r="AC14" s="63"/>
      <c r="AD14" s="35"/>
      <c r="AJ14" s="32" t="s">
        <v>58</v>
      </c>
      <c r="AK14" s="34">
        <f>AVERAGE(AB24,AB13,AB35,AB46,AB57,AB68,AB79,AB90,AB101,AB112,AB123,AB134,AB145,AB156,AB167,AB178,AB189,AB200,AB211,AB222,AB233,AB244,AB255,AB266)</f>
        <v>0.61791349763764447</v>
      </c>
      <c r="AL14" s="60">
        <f>AVERAGE(AC24,AC13,AC35,AC46,AC57,AC68,AC79,AC90,AC101,AC112,AC123,AC134,AC145,AC156,AC167,AC178,AC189,AC200,AC211,AC222,AC233,AC244,AC255,AC266)</f>
        <v>6.3615734282919653E-2</v>
      </c>
      <c r="AM14" s="35">
        <f t="shared" si="4"/>
        <v>9.713218036430801</v>
      </c>
    </row>
    <row r="15" spans="1:43" x14ac:dyDescent="0.25">
      <c r="D15" s="32" t="s">
        <v>60</v>
      </c>
      <c r="G15" s="32">
        <v>50</v>
      </c>
      <c r="H15" s="33"/>
      <c r="I15" s="33"/>
      <c r="J15" s="33"/>
      <c r="K15" s="33"/>
      <c r="L15" s="35"/>
      <c r="M15" s="35"/>
      <c r="N15" s="35"/>
      <c r="W15" s="35"/>
      <c r="X15" s="35"/>
      <c r="AB15" s="63"/>
      <c r="AC15" s="63"/>
      <c r="AD15" s="35"/>
      <c r="AJ15" s="32" t="s">
        <v>59</v>
      </c>
      <c r="AK15" s="34">
        <f>AVERAGE(AB25,AB14,AB36,AB47,AB58,AB69,AB80,AB91,AB102,AB113,AB124,AB135,AB146,AB157,AB168,AB179,AB190,AB201,AB212,AB223,AB234,AB245,AB256,AB267)</f>
        <v>0.51458767818808393</v>
      </c>
      <c r="AL15" s="60">
        <f>AVERAGE(AC25,AC14,AC36,AC47,AC58,AC69,AC80,AC91,AC102,AC113,AC124,AC135,AC146,AC157,AC168,AC179,AC190,AC201,AC212,AC223,AC234,AC245,AC256,AC267)</f>
        <v>5.8082865320645015E-2</v>
      </c>
      <c r="AM15" s="35">
        <f t="shared" si="4"/>
        <v>8.8595436080385408</v>
      </c>
    </row>
    <row r="16" spans="1:43" x14ac:dyDescent="0.25">
      <c r="H16" s="33"/>
      <c r="I16" s="33"/>
      <c r="J16" s="33"/>
      <c r="K16" s="33"/>
      <c r="L16" s="35"/>
      <c r="M16" s="35"/>
      <c r="N16" s="35"/>
      <c r="W16" s="35"/>
      <c r="X16" s="35"/>
      <c r="AJ16" s="32" t="s">
        <v>60</v>
      </c>
      <c r="AK16" s="34">
        <f>AVERAGE(AB26,AB15,AB37,AB48,AB59,AB70,AB81,AB92,AB103,AB114,AB125,AB136,AB147,AB158,AB169,AB180,AB191,AB202,AB213,AB224,AB235,AB246,AB257,AB268)</f>
        <v>0.49555514969033004</v>
      </c>
      <c r="AL16" s="60">
        <f>AVERAGE(AC26,AC15,AC37,AC48,AC59,AC70,AC81,AC92,AC103,AC114,AC125,AC136,AC147,AC158,AC169,AC180,AC191,AC202,AC213,AC224,AC235,AC246,AC257,AC268)</f>
        <v>6.0867909509941177E-2</v>
      </c>
      <c r="AM16" s="35">
        <f t="shared" si="4"/>
        <v>8.1414846292592671</v>
      </c>
    </row>
    <row r="17" spans="1:35" x14ac:dyDescent="0.25">
      <c r="A17" s="32">
        <v>2</v>
      </c>
      <c r="B17" s="32">
        <v>50</v>
      </c>
      <c r="C17" s="32" t="s">
        <v>31</v>
      </c>
      <c r="D17" s="32" t="s">
        <v>51</v>
      </c>
      <c r="H17" s="33">
        <v>1147.4699999999998</v>
      </c>
      <c r="I17" s="33"/>
      <c r="J17" s="33"/>
      <c r="K17" s="33"/>
      <c r="L17" s="35"/>
      <c r="M17" s="35"/>
      <c r="N17" s="35"/>
      <c r="P17" s="32">
        <v>827.38</v>
      </c>
      <c r="W17" s="35"/>
      <c r="X17" s="35"/>
      <c r="AB17" s="63">
        <f>(P17*0.5)/9/(25*25)*100*100/1000</f>
        <v>0.73544888888888871</v>
      </c>
    </row>
    <row r="18" spans="1:35" x14ac:dyDescent="0.25">
      <c r="D18" s="32" t="s">
        <v>52</v>
      </c>
      <c r="F18" s="32" t="s">
        <v>211</v>
      </c>
      <c r="G18" s="32">
        <v>10</v>
      </c>
      <c r="H18" s="33">
        <v>7716.63</v>
      </c>
      <c r="I18" s="33">
        <v>1085.4299999999998</v>
      </c>
      <c r="J18" s="33">
        <f>I18/2.76</f>
        <v>393.27173913043475</v>
      </c>
      <c r="K18" s="33">
        <f>J18/Q18*100</f>
        <v>6.1114489375358936</v>
      </c>
      <c r="L18" s="35">
        <v>4.13</v>
      </c>
      <c r="M18" s="35">
        <v>54.49</v>
      </c>
      <c r="N18" s="35">
        <v>37.35</v>
      </c>
      <c r="O18" s="34">
        <f>(N18-L18)/M18</f>
        <v>0.60965314736648923</v>
      </c>
      <c r="P18" s="33"/>
      <c r="Q18" s="32">
        <v>6435</v>
      </c>
      <c r="R18" s="33">
        <f>(H18-I18)*O18</f>
        <v>4042.7319508166638</v>
      </c>
      <c r="S18" s="33">
        <f>Q18-J18</f>
        <v>6041.728260869565</v>
      </c>
      <c r="T18" s="34">
        <f t="shared" ref="T18" si="5">R18/S18</f>
        <v>0.6691350183688678</v>
      </c>
      <c r="U18" s="34">
        <f>U7</f>
        <v>0.74</v>
      </c>
      <c r="V18" s="34">
        <f>V7</f>
        <v>0.98281297241681143</v>
      </c>
      <c r="W18" s="35">
        <v>18.66</v>
      </c>
      <c r="X18" s="35">
        <v>33.299999999999997</v>
      </c>
      <c r="Y18" s="64">
        <v>6.970597831553599</v>
      </c>
      <c r="Z18" s="64">
        <v>0.50683808068635594</v>
      </c>
      <c r="AA18" s="65">
        <f>Y18/Z18</f>
        <v>13.753105966532887</v>
      </c>
      <c r="AB18" s="63">
        <f t="shared" ref="AB18" si="6">(Y18*10)*100*100*G18*T18/1000000</f>
        <v>4.6642711080586068</v>
      </c>
      <c r="AC18" s="63">
        <f t="shared" ref="AC18" si="7">(Z18*10)*100*100*G18*T18/1000000</f>
        <v>0.33914310843010648</v>
      </c>
      <c r="AD18" s="34">
        <f>(W18*0.5)/Q18*100*100*G18/1000</f>
        <v>0.14498834498834498</v>
      </c>
      <c r="AE18" s="63">
        <f>SUM(AB18:AB22)</f>
        <v>12.00480728177407</v>
      </c>
      <c r="AF18" s="63">
        <f>SUM(AC18:AC22)</f>
        <v>0.91834925014266988</v>
      </c>
      <c r="AG18" s="63">
        <f>AE18/AF18</f>
        <v>13.072158854497967</v>
      </c>
      <c r="AH18" s="35">
        <f>SUM(AD18:AD22)</f>
        <v>0.24545807358959759</v>
      </c>
      <c r="AI18" s="35"/>
    </row>
    <row r="19" spans="1:35" x14ac:dyDescent="0.25">
      <c r="D19" s="32" t="s">
        <v>53</v>
      </c>
      <c r="E19" s="32" t="s">
        <v>103</v>
      </c>
      <c r="G19" s="32">
        <v>10</v>
      </c>
      <c r="H19" s="33">
        <v>1914.38</v>
      </c>
      <c r="I19" s="33"/>
      <c r="J19" s="33"/>
      <c r="K19" s="41">
        <f>'Pit bulk density'!N6</f>
        <v>28.27</v>
      </c>
      <c r="L19" s="35">
        <v>4.16</v>
      </c>
      <c r="M19" s="35">
        <v>51.55</v>
      </c>
      <c r="N19" s="35">
        <v>42.19</v>
      </c>
      <c r="O19" s="34">
        <f>(N19-L19)/M19</f>
        <v>0.73773035887487881</v>
      </c>
      <c r="U19" s="34">
        <f t="shared" ref="U19:V22" si="8">U8</f>
        <v>0.85199999999999998</v>
      </c>
      <c r="V19" s="34">
        <f t="shared" si="8"/>
        <v>1.1937194914134821</v>
      </c>
      <c r="W19" s="35">
        <v>1.04</v>
      </c>
      <c r="X19" s="35">
        <v>1.21</v>
      </c>
      <c r="Y19" s="64">
        <v>2.1367212473143957</v>
      </c>
      <c r="Z19" s="64">
        <v>0.17094574981092417</v>
      </c>
      <c r="AA19" s="65">
        <f>Y19/Z19</f>
        <v>12.499411361076437</v>
      </c>
      <c r="AB19" s="63">
        <f>(Y19*10)*100*100*G19*U19/1000000</f>
        <v>1.8204865027118651</v>
      </c>
      <c r="AC19" s="63">
        <f t="shared" ref="AC19:AC81" si="9">(Z19*10)*100*100*G19*U19/1000000</f>
        <v>0.14564577883890739</v>
      </c>
      <c r="AD19" s="34">
        <f>(W19*0.5)/(5*38.32*G19)*100*100*G19/1000</f>
        <v>2.7139874739039661E-2</v>
      </c>
    </row>
    <row r="20" spans="1:35" x14ac:dyDescent="0.25">
      <c r="D20" s="32" t="s">
        <v>54</v>
      </c>
      <c r="G20" s="32">
        <v>10</v>
      </c>
      <c r="H20" s="33">
        <v>2533.75</v>
      </c>
      <c r="I20" s="33"/>
      <c r="J20" s="33"/>
      <c r="K20" s="41">
        <f>'Pit bulk density'!N7</f>
        <v>27.4</v>
      </c>
      <c r="L20" s="35">
        <v>4.1900000000000004</v>
      </c>
      <c r="M20" s="35">
        <v>50.47</v>
      </c>
      <c r="N20" s="35">
        <v>43.01</v>
      </c>
      <c r="O20" s="34">
        <f t="shared" ref="O20:O22" si="10">(N20-L20)/M20</f>
        <v>0.76916980384386768</v>
      </c>
      <c r="U20" s="34">
        <f t="shared" si="8"/>
        <v>1.026</v>
      </c>
      <c r="V20" s="34">
        <f t="shared" si="8"/>
        <v>1.4115282335035124</v>
      </c>
      <c r="W20" s="35">
        <v>0.59</v>
      </c>
      <c r="X20" s="35">
        <v>1.31</v>
      </c>
      <c r="Y20" s="64">
        <v>1.2502960617402188</v>
      </c>
      <c r="Z20" s="64">
        <v>8.7859959501254914E-2</v>
      </c>
      <c r="AA20" s="65">
        <f>Y20/Z20</f>
        <v>14.230555862279457</v>
      </c>
      <c r="AB20" s="63">
        <f>(Y20*10)*100*100*G20*U20/1000000</f>
        <v>1.2828037593454646</v>
      </c>
      <c r="AC20" s="63">
        <f t="shared" si="9"/>
        <v>9.0144318448287547E-2</v>
      </c>
      <c r="AD20" s="34">
        <f t="shared" ref="AD20:AD22" si="11">(W20*0.5)/(5*38.32*G20)*100*100*G20/1000</f>
        <v>1.5396659707724424E-2</v>
      </c>
    </row>
    <row r="21" spans="1:35" x14ac:dyDescent="0.25">
      <c r="D21" s="32" t="s">
        <v>55</v>
      </c>
      <c r="E21" s="32" t="s">
        <v>104</v>
      </c>
      <c r="G21" s="32">
        <v>20</v>
      </c>
      <c r="H21" s="33">
        <v>4060.25</v>
      </c>
      <c r="I21" s="33"/>
      <c r="J21" s="33"/>
      <c r="K21" s="41">
        <f>'Pit bulk density'!N8</f>
        <v>27.76</v>
      </c>
      <c r="L21" s="35">
        <v>4.2</v>
      </c>
      <c r="M21" s="35">
        <v>53.23</v>
      </c>
      <c r="N21" s="35">
        <v>45</v>
      </c>
      <c r="O21" s="34">
        <f t="shared" si="10"/>
        <v>0.76648506481307532</v>
      </c>
      <c r="U21" s="34">
        <f t="shared" si="8"/>
        <v>1.0505</v>
      </c>
      <c r="V21" s="34">
        <f t="shared" si="8"/>
        <v>1.4543324160744242</v>
      </c>
      <c r="W21" s="35">
        <v>1.32</v>
      </c>
      <c r="X21" s="35">
        <v>0.56999999999999995</v>
      </c>
      <c r="Y21" s="64">
        <v>0.85905970884822724</v>
      </c>
      <c r="Z21" s="64">
        <v>6.6198761320766214E-2</v>
      </c>
      <c r="AA21" s="65">
        <f>Y21/Z21</f>
        <v>12.976975576410741</v>
      </c>
      <c r="AB21" s="63">
        <f>(Y21*10)*100*100*G21*U21/1000000</f>
        <v>1.8048844482901254</v>
      </c>
      <c r="AC21" s="63">
        <f t="shared" si="9"/>
        <v>0.1390835975349298</v>
      </c>
      <c r="AD21" s="34">
        <f t="shared" si="11"/>
        <v>3.4446764091858033E-2</v>
      </c>
    </row>
    <row r="22" spans="1:35" x14ac:dyDescent="0.25">
      <c r="D22" s="32" t="s">
        <v>56</v>
      </c>
      <c r="E22" s="32" t="s">
        <v>105</v>
      </c>
      <c r="G22" s="32">
        <v>50</v>
      </c>
      <c r="H22" s="33">
        <v>6380.3099999999995</v>
      </c>
      <c r="I22" s="33"/>
      <c r="J22" s="33"/>
      <c r="K22" s="41">
        <f>'Pit bulk density'!N9</f>
        <v>21.54</v>
      </c>
      <c r="L22" s="35">
        <v>4.2</v>
      </c>
      <c r="M22" s="35">
        <v>50.17</v>
      </c>
      <c r="N22" s="35">
        <v>38.9</v>
      </c>
      <c r="O22" s="34">
        <f t="shared" si="10"/>
        <v>0.69164839545545131</v>
      </c>
      <c r="U22" s="34">
        <f t="shared" si="8"/>
        <v>1.0556000000000001</v>
      </c>
      <c r="V22" s="34">
        <f t="shared" si="8"/>
        <v>1.3490643949624299</v>
      </c>
      <c r="W22" s="35">
        <v>0.9</v>
      </c>
      <c r="X22" s="35">
        <v>0.41</v>
      </c>
      <c r="Y22" s="64">
        <v>0.46084908362410143</v>
      </c>
      <c r="Z22" s="64">
        <v>3.8713991453285065E-2</v>
      </c>
      <c r="AA22" s="65">
        <f>Y22/Z22</f>
        <v>11.903941348444871</v>
      </c>
      <c r="AB22" s="63">
        <f>(Y22*10)*100*100*G22*U22/1000000</f>
        <v>2.4323614633680073</v>
      </c>
      <c r="AC22" s="63">
        <f t="shared" si="9"/>
        <v>0.20433244689043861</v>
      </c>
      <c r="AD22" s="34">
        <f t="shared" si="11"/>
        <v>2.3486430062630483E-2</v>
      </c>
    </row>
    <row r="23" spans="1:35" x14ac:dyDescent="0.25">
      <c r="D23" s="32" t="s">
        <v>57</v>
      </c>
      <c r="G23" s="32">
        <v>50</v>
      </c>
      <c r="H23" s="33"/>
      <c r="I23" s="33"/>
      <c r="J23" s="33"/>
      <c r="K23" s="33"/>
      <c r="L23" s="35"/>
      <c r="M23" s="35"/>
      <c r="N23" s="35"/>
      <c r="W23" s="35"/>
      <c r="X23" s="35"/>
      <c r="AB23" s="63"/>
      <c r="AC23" s="63"/>
      <c r="AD23" s="35"/>
    </row>
    <row r="24" spans="1:35" x14ac:dyDescent="0.25">
      <c r="D24" s="32" t="s">
        <v>58</v>
      </c>
      <c r="G24" s="32">
        <v>50</v>
      </c>
      <c r="H24" s="33"/>
      <c r="I24" s="33"/>
      <c r="J24" s="33"/>
      <c r="K24" s="33" t="s">
        <v>219</v>
      </c>
      <c r="L24" s="35"/>
      <c r="M24" s="35"/>
      <c r="N24" s="35"/>
      <c r="W24" s="35"/>
      <c r="X24" s="35"/>
      <c r="AB24" s="63"/>
      <c r="AC24" s="63"/>
      <c r="AD24" s="35"/>
    </row>
    <row r="25" spans="1:35" x14ac:dyDescent="0.25">
      <c r="D25" s="32" t="s">
        <v>59</v>
      </c>
      <c r="G25" s="32">
        <v>50</v>
      </c>
      <c r="H25" s="33"/>
      <c r="I25" s="33"/>
      <c r="J25" s="33"/>
      <c r="K25" s="33"/>
      <c r="L25" s="35"/>
      <c r="M25" s="35"/>
      <c r="N25" s="35"/>
      <c r="W25" s="35"/>
      <c r="X25" s="35"/>
      <c r="AB25" s="63"/>
      <c r="AC25" s="63"/>
      <c r="AD25" s="35"/>
    </row>
    <row r="26" spans="1:35" x14ac:dyDescent="0.25">
      <c r="D26" s="32" t="s">
        <v>60</v>
      </c>
      <c r="G26" s="32">
        <v>50</v>
      </c>
      <c r="H26" s="33"/>
      <c r="I26" s="33"/>
      <c r="J26" s="33"/>
      <c r="K26" s="33"/>
      <c r="L26" s="35"/>
      <c r="M26" s="35"/>
      <c r="N26" s="35"/>
      <c r="W26" s="35"/>
      <c r="X26" s="35"/>
      <c r="AB26" s="63"/>
      <c r="AC26" s="63"/>
      <c r="AD26" s="35"/>
    </row>
    <row r="27" spans="1:35" x14ac:dyDescent="0.25">
      <c r="H27" s="33"/>
      <c r="I27" s="33"/>
      <c r="J27" s="33"/>
      <c r="K27" s="33"/>
      <c r="L27" s="35"/>
      <c r="M27" s="35"/>
      <c r="N27" s="35"/>
      <c r="W27" s="35"/>
      <c r="X27" s="35"/>
    </row>
    <row r="28" spans="1:35" x14ac:dyDescent="0.25">
      <c r="A28" s="32" t="s">
        <v>61</v>
      </c>
      <c r="B28" s="32">
        <v>50</v>
      </c>
      <c r="C28" s="32" t="s">
        <v>25</v>
      </c>
      <c r="D28" s="32" t="s">
        <v>51</v>
      </c>
      <c r="H28" s="33">
        <v>627.57000000000005</v>
      </c>
      <c r="I28" s="33"/>
      <c r="J28" s="33"/>
      <c r="K28" s="33"/>
      <c r="L28" s="35"/>
      <c r="M28" s="35"/>
      <c r="N28" s="35"/>
      <c r="P28" s="32">
        <v>389.85</v>
      </c>
      <c r="W28" s="35"/>
      <c r="X28" s="35"/>
      <c r="AB28" s="63">
        <f>(P28*0.5)/9/(25*25)*100*100/1000</f>
        <v>0.34653333333333336</v>
      </c>
    </row>
    <row r="29" spans="1:35" x14ac:dyDescent="0.25">
      <c r="D29" s="32" t="s">
        <v>52</v>
      </c>
      <c r="E29" s="32" t="s">
        <v>106</v>
      </c>
      <c r="F29" s="32" t="s">
        <v>211</v>
      </c>
      <c r="G29" s="32">
        <v>10</v>
      </c>
      <c r="H29" s="33"/>
      <c r="I29" s="33">
        <v>1492.3899999999999</v>
      </c>
      <c r="J29" s="33">
        <f>I29/2.76</f>
        <v>540.72101449275362</v>
      </c>
      <c r="K29" s="33">
        <f>J29/Q29*100</f>
        <v>9.1183982207884249</v>
      </c>
      <c r="L29" s="35">
        <v>4.29</v>
      </c>
      <c r="M29" s="35">
        <v>52.03</v>
      </c>
      <c r="N29" s="35">
        <v>31.19</v>
      </c>
      <c r="O29" s="34">
        <f>(N29-L29)/M29</f>
        <v>0.51700941764366715</v>
      </c>
      <c r="P29" s="33"/>
      <c r="Q29" s="32">
        <v>5930</v>
      </c>
      <c r="R29" s="33"/>
      <c r="S29" s="33">
        <f>Q29-J29</f>
        <v>5389.278985507246</v>
      </c>
      <c r="T29" s="34">
        <f>T4</f>
        <v>0.82630260232614694</v>
      </c>
      <c r="U29" s="34">
        <f>U18</f>
        <v>0.74</v>
      </c>
      <c r="V29" s="34">
        <f>V18</f>
        <v>0.98281297241681143</v>
      </c>
      <c r="W29" s="35">
        <v>15.06</v>
      </c>
      <c r="X29" s="35">
        <v>54.89</v>
      </c>
      <c r="Y29" s="64">
        <v>9.1220918015471391</v>
      </c>
      <c r="Z29" s="64">
        <v>0.62426807412708907</v>
      </c>
      <c r="AA29" s="65">
        <f>Y29/Z29</f>
        <v>14.612459261676188</v>
      </c>
      <c r="AB29" s="63">
        <f t="shared" ref="AB29" si="12">(Y29*10)*100*100*G29*T29/1000000</f>
        <v>7.5376081942764124</v>
      </c>
      <c r="AC29" s="63">
        <f t="shared" ref="AC29" si="13">(Z29*10)*100*100*G29*T29/1000000</f>
        <v>0.51583433420034575</v>
      </c>
      <c r="AD29" s="34">
        <f>(W29*0.5)/Q29*100*100*G29/1000</f>
        <v>0.1269814502529511</v>
      </c>
      <c r="AE29" s="63">
        <f>SUM(AB29:AB33)</f>
        <v>14.370599571336658</v>
      </c>
      <c r="AF29" s="63">
        <f>SUM(AC29:AC33)</f>
        <v>1.0143645452494414</v>
      </c>
      <c r="AG29" s="63">
        <f>AE29/AF29</f>
        <v>14.167095684325991</v>
      </c>
      <c r="AH29" s="35">
        <f>SUM(AD29:AD33)</f>
        <v>0.32061401810263795</v>
      </c>
      <c r="AI29" s="35"/>
    </row>
    <row r="30" spans="1:35" x14ac:dyDescent="0.25">
      <c r="D30" s="32" t="s">
        <v>53</v>
      </c>
      <c r="G30" s="32">
        <v>10</v>
      </c>
      <c r="H30" s="33"/>
      <c r="I30" s="33">
        <v>971.24</v>
      </c>
      <c r="J30" s="33"/>
      <c r="K30" s="41">
        <f>K19</f>
        <v>28.27</v>
      </c>
      <c r="L30" s="35">
        <v>4.18</v>
      </c>
      <c r="M30" s="35">
        <v>52.83</v>
      </c>
      <c r="N30" s="35">
        <v>39.75</v>
      </c>
      <c r="O30" s="34">
        <f>(N30-L30)/M30</f>
        <v>0.6732916903274655</v>
      </c>
      <c r="U30" s="34">
        <f t="shared" ref="U30:V33" si="14">U19</f>
        <v>0.85199999999999998</v>
      </c>
      <c r="V30" s="34">
        <f t="shared" si="14"/>
        <v>1.1937194914134821</v>
      </c>
      <c r="W30" s="35">
        <v>2.62</v>
      </c>
      <c r="X30" s="35">
        <v>19.97</v>
      </c>
      <c r="Y30" s="64">
        <v>3.1942983806976502</v>
      </c>
      <c r="Z30" s="64">
        <v>0.22024012357403042</v>
      </c>
      <c r="AA30" s="65">
        <f>Y30/Z30</f>
        <v>14.503707720741151</v>
      </c>
      <c r="AB30" s="63">
        <f t="shared" ref="AB30" si="15">(Y30*10)*100*100*G30*U30/1000000</f>
        <v>2.7215422203543977</v>
      </c>
      <c r="AC30" s="63">
        <f t="shared" ref="AC30" si="16">(Z30*10)*100*100*G30*U30/1000000</f>
        <v>0.18764458528507394</v>
      </c>
      <c r="AD30" s="34">
        <f>(W30*0.5)/(5*38.32*G30)*100*100*G30/1000</f>
        <v>6.8371607515657615E-2</v>
      </c>
    </row>
    <row r="31" spans="1:35" x14ac:dyDescent="0.25">
      <c r="D31" s="32" t="s">
        <v>54</v>
      </c>
      <c r="G31" s="32">
        <v>10</v>
      </c>
      <c r="H31" s="33"/>
      <c r="I31" s="33">
        <v>581.66999999999996</v>
      </c>
      <c r="J31" s="33"/>
      <c r="K31" s="41">
        <f t="shared" ref="K31:K33" si="17">K20</f>
        <v>27.4</v>
      </c>
      <c r="L31" s="35">
        <v>4.18</v>
      </c>
      <c r="M31" s="35">
        <v>54.05</v>
      </c>
      <c r="N31" s="35">
        <v>44.66</v>
      </c>
      <c r="O31" s="34">
        <f t="shared" ref="O31:O33" si="18">(N31-L31)/M31</f>
        <v>0.74893617021276593</v>
      </c>
      <c r="U31" s="34">
        <f t="shared" si="14"/>
        <v>1.026</v>
      </c>
      <c r="V31" s="34">
        <f t="shared" si="14"/>
        <v>1.4115282335035124</v>
      </c>
      <c r="W31" s="35">
        <v>2.65</v>
      </c>
      <c r="X31" s="35">
        <v>22.73</v>
      </c>
      <c r="Y31" s="64">
        <v>1.6945170146756012</v>
      </c>
      <c r="Z31" s="64">
        <v>0.11492664893586799</v>
      </c>
      <c r="AA31" s="65">
        <f>Y31/Z31</f>
        <v>14.74433502034141</v>
      </c>
      <c r="AB31" s="63">
        <f>(Y31*10)*100*100*G31*U31/1000000</f>
        <v>1.7385744570571671</v>
      </c>
      <c r="AC31" s="63">
        <f t="shared" si="9"/>
        <v>0.11791474180820055</v>
      </c>
      <c r="AD31" s="34">
        <f t="shared" ref="AD31:AD33" si="19">(W31*0.5)/(5*38.32*G31)*100*100*G31/1000</f>
        <v>6.9154488517745305E-2</v>
      </c>
    </row>
    <row r="32" spans="1:35" x14ac:dyDescent="0.25">
      <c r="D32" s="32" t="s">
        <v>55</v>
      </c>
      <c r="G32" s="32">
        <v>20</v>
      </c>
      <c r="H32" s="33"/>
      <c r="I32" s="33">
        <v>430.26</v>
      </c>
      <c r="J32" s="33"/>
      <c r="K32" s="41">
        <f t="shared" si="17"/>
        <v>27.76</v>
      </c>
      <c r="L32" s="35">
        <v>4.16</v>
      </c>
      <c r="M32" s="35">
        <v>52.46</v>
      </c>
      <c r="N32" s="35">
        <v>42.92</v>
      </c>
      <c r="O32" s="34">
        <f t="shared" si="18"/>
        <v>0.73884864658787652</v>
      </c>
      <c r="U32" s="34">
        <f t="shared" si="14"/>
        <v>1.0505</v>
      </c>
      <c r="V32" s="34">
        <f t="shared" si="14"/>
        <v>1.4543324160744242</v>
      </c>
      <c r="W32" s="35">
        <v>2.15</v>
      </c>
      <c r="X32" s="35">
        <v>0</v>
      </c>
      <c r="Y32" s="64">
        <v>0.59344625691454234</v>
      </c>
      <c r="Z32" s="64">
        <v>4.2896262233442145E-2</v>
      </c>
      <c r="AA32" s="65">
        <f>Y32/Z32</f>
        <v>13.834451442062674</v>
      </c>
      <c r="AB32" s="63">
        <f>(Y32*10)*100*100*G32*U32/1000000</f>
        <v>1.2468305857774533</v>
      </c>
      <c r="AC32" s="63">
        <f t="shared" si="9"/>
        <v>9.0125046952461943E-2</v>
      </c>
      <c r="AD32" s="34">
        <f t="shared" si="19"/>
        <v>5.6106471816283927E-2</v>
      </c>
    </row>
    <row r="33" spans="1:39" x14ac:dyDescent="0.25">
      <c r="D33" s="32" t="s">
        <v>56</v>
      </c>
      <c r="G33" s="32">
        <v>50</v>
      </c>
      <c r="H33" s="33"/>
      <c r="I33" s="33">
        <v>378.97</v>
      </c>
      <c r="J33" s="33"/>
      <c r="K33" s="41">
        <f t="shared" si="17"/>
        <v>21.54</v>
      </c>
      <c r="L33" s="35">
        <v>4.1399999999999997</v>
      </c>
      <c r="M33" s="35">
        <v>58.64</v>
      </c>
      <c r="N33" s="35">
        <v>50.54</v>
      </c>
      <c r="O33" s="34">
        <f t="shared" si="18"/>
        <v>0.79126875852660294</v>
      </c>
      <c r="U33" s="34">
        <f t="shared" si="14"/>
        <v>1.0556000000000001</v>
      </c>
      <c r="V33" s="34">
        <f t="shared" si="14"/>
        <v>1.3490643949624299</v>
      </c>
      <c r="W33" s="35">
        <v>0</v>
      </c>
      <c r="X33" s="35">
        <v>0</v>
      </c>
      <c r="Y33" s="64">
        <v>0.21334674381796651</v>
      </c>
      <c r="Z33" s="64">
        <v>1.948575918972326E-2</v>
      </c>
      <c r="AA33" s="65">
        <f t="shared" ref="AA33" si="20">Y33/Z33</f>
        <v>10.948854583530164</v>
      </c>
      <c r="AB33" s="63">
        <f>(Y33*10)*100*100*G33*U33/1000000</f>
        <v>1.1260441138712274</v>
      </c>
      <c r="AC33" s="63">
        <f t="shared" si="9"/>
        <v>0.10284583700335936</v>
      </c>
      <c r="AD33" s="34">
        <f t="shared" si="19"/>
        <v>0</v>
      </c>
    </row>
    <row r="34" spans="1:39" x14ac:dyDescent="0.25">
      <c r="D34" s="32" t="s">
        <v>57</v>
      </c>
      <c r="G34" s="32">
        <v>50</v>
      </c>
      <c r="H34" s="33"/>
      <c r="I34" s="33"/>
      <c r="J34" s="33"/>
      <c r="K34" s="41"/>
      <c r="L34" s="35"/>
      <c r="M34" s="35"/>
      <c r="N34" s="35"/>
      <c r="W34" s="35"/>
      <c r="X34" s="35"/>
      <c r="AA34" s="65"/>
      <c r="AB34" s="63"/>
      <c r="AC34" s="63"/>
      <c r="AD34" s="35"/>
    </row>
    <row r="35" spans="1:39" x14ac:dyDescent="0.25">
      <c r="D35" s="32" t="s">
        <v>58</v>
      </c>
      <c r="G35" s="32">
        <v>50</v>
      </c>
      <c r="H35" s="33"/>
      <c r="I35" s="33"/>
      <c r="J35" s="33"/>
      <c r="K35" s="33" t="s">
        <v>219</v>
      </c>
      <c r="L35" s="35"/>
      <c r="M35" s="35"/>
      <c r="N35" s="35"/>
      <c r="W35" s="35"/>
      <c r="X35" s="35"/>
      <c r="AB35" s="63"/>
      <c r="AC35" s="63"/>
      <c r="AD35" s="35"/>
    </row>
    <row r="36" spans="1:39" x14ac:dyDescent="0.25">
      <c r="D36" s="32" t="s">
        <v>59</v>
      </c>
      <c r="G36" s="32">
        <v>50</v>
      </c>
      <c r="H36" s="33"/>
      <c r="I36" s="33"/>
      <c r="J36" s="33"/>
      <c r="K36" s="33"/>
      <c r="L36" s="35"/>
      <c r="M36" s="35"/>
      <c r="N36" s="35"/>
      <c r="W36" s="35"/>
      <c r="X36" s="35"/>
      <c r="AB36" s="63"/>
      <c r="AC36" s="63"/>
      <c r="AD36" s="35"/>
    </row>
    <row r="37" spans="1:39" x14ac:dyDescent="0.25">
      <c r="D37" s="32" t="s">
        <v>60</v>
      </c>
      <c r="G37" s="32">
        <v>50</v>
      </c>
      <c r="H37" s="33"/>
      <c r="I37" s="33"/>
      <c r="J37" s="33"/>
      <c r="K37" s="33"/>
      <c r="L37" s="35"/>
      <c r="M37" s="35"/>
      <c r="N37" s="35"/>
      <c r="W37" s="35"/>
      <c r="X37" s="35"/>
      <c r="AB37" s="63"/>
      <c r="AC37" s="63"/>
      <c r="AD37" s="35"/>
    </row>
    <row r="38" spans="1:39" x14ac:dyDescent="0.25">
      <c r="H38" s="33"/>
      <c r="I38" s="33"/>
      <c r="J38" s="33"/>
      <c r="K38" s="33"/>
      <c r="L38" s="35"/>
      <c r="M38" s="35"/>
      <c r="N38" s="35"/>
      <c r="W38" s="35"/>
      <c r="X38" s="35"/>
    </row>
    <row r="39" spans="1:39" x14ac:dyDescent="0.25">
      <c r="A39" s="32" t="s">
        <v>62</v>
      </c>
      <c r="B39" s="32">
        <v>50</v>
      </c>
      <c r="C39" s="32" t="s">
        <v>18</v>
      </c>
      <c r="D39" s="32" t="s">
        <v>51</v>
      </c>
      <c r="H39" s="33">
        <v>373.01</v>
      </c>
      <c r="I39" s="33"/>
      <c r="J39" s="33"/>
      <c r="K39" s="33"/>
      <c r="L39" s="35"/>
      <c r="M39" s="35"/>
      <c r="N39" s="35"/>
      <c r="P39" s="32">
        <v>304.89999999999998</v>
      </c>
      <c r="W39" s="35"/>
      <c r="X39" s="35"/>
      <c r="AB39" s="63">
        <f>(P39*0.5)/9/(25*25)*100*100/1000</f>
        <v>0.27102222222222216</v>
      </c>
      <c r="AK39" s="32" t="s">
        <v>217</v>
      </c>
      <c r="AL39" t="s">
        <v>216</v>
      </c>
      <c r="AM39" s="32" t="s">
        <v>218</v>
      </c>
    </row>
    <row r="40" spans="1:39" x14ac:dyDescent="0.25">
      <c r="D40" s="32" t="s">
        <v>52</v>
      </c>
      <c r="F40" s="32" t="s">
        <v>211</v>
      </c>
      <c r="G40" s="32">
        <v>10</v>
      </c>
      <c r="H40" s="33">
        <v>8843.3700000000008</v>
      </c>
      <c r="I40" s="33">
        <v>3635.25</v>
      </c>
      <c r="J40" s="33">
        <f>I40/2.76</f>
        <v>1317.1195652173915</v>
      </c>
      <c r="K40" s="33">
        <f>J40/Q40*100</f>
        <v>22.45728158938434</v>
      </c>
      <c r="L40" s="35">
        <v>4.1500000000000004</v>
      </c>
      <c r="M40" s="35">
        <v>52.14</v>
      </c>
      <c r="N40" s="35">
        <v>39.44</v>
      </c>
      <c r="O40" s="34">
        <f>(N40-L40)/M40</f>
        <v>0.67683160721135405</v>
      </c>
      <c r="P40" s="33"/>
      <c r="Q40" s="32">
        <v>5865</v>
      </c>
      <c r="R40" s="33">
        <f>(H40-I40)*O40</f>
        <v>3525.0202301495979</v>
      </c>
      <c r="S40" s="33">
        <f>Q40-J40</f>
        <v>4547.8804347826081</v>
      </c>
      <c r="T40" s="34">
        <f t="shared" ref="T40" si="21">R40/S40</f>
        <v>0.77509078804928966</v>
      </c>
      <c r="U40" s="34">
        <f>U29</f>
        <v>0.74</v>
      </c>
      <c r="V40" s="34">
        <f>V29</f>
        <v>0.98281297241681143</v>
      </c>
      <c r="W40" s="35">
        <v>27.98</v>
      </c>
      <c r="X40" s="35">
        <v>31.37</v>
      </c>
      <c r="Y40" s="64">
        <v>6.0329946687413907</v>
      </c>
      <c r="Z40" s="64">
        <v>0.45962783563889392</v>
      </c>
      <c r="AA40" s="65">
        <f>Y40/Z40</f>
        <v>13.125825289400458</v>
      </c>
      <c r="AB40" s="63">
        <f t="shared" ref="AB40" si="22">(Y40*10)*100*100*G40*T40/1000000</f>
        <v>4.676118592091929</v>
      </c>
      <c r="AC40" s="63">
        <f t="shared" ref="AC40" si="23">(Z40*10)*100*100*G40*T40/1000000</f>
        <v>0.35625330133473965</v>
      </c>
      <c r="AD40" s="34">
        <f>(W40*0.5)/Q40*100*100*G40/1000</f>
        <v>0.23853367433930095</v>
      </c>
      <c r="AE40" s="63">
        <f>SUM(AB40:AB44)</f>
        <v>10.77677740594574</v>
      </c>
      <c r="AF40" s="63">
        <f>SUM(AC40:AC44)</f>
        <v>0.81200388449325911</v>
      </c>
      <c r="AG40" s="63">
        <f>AE40/AF40</f>
        <v>13.271829866517349</v>
      </c>
      <c r="AH40" s="35">
        <f>SUM(AD40:AD44)</f>
        <v>0.32960883091550136</v>
      </c>
      <c r="AI40" s="35"/>
    </row>
    <row r="41" spans="1:39" x14ac:dyDescent="0.3">
      <c r="D41" s="32" t="s">
        <v>53</v>
      </c>
      <c r="E41" s="32" t="s">
        <v>107</v>
      </c>
      <c r="G41" s="32">
        <v>10</v>
      </c>
      <c r="H41" s="33">
        <v>6675.1</v>
      </c>
      <c r="I41" s="33">
        <v>1732.81</v>
      </c>
      <c r="J41" s="33">
        <f t="shared" ref="J41:J43" si="24">I41/2.76</f>
        <v>627.82971014492762</v>
      </c>
      <c r="K41" s="33">
        <f>AM41</f>
        <v>16.307348768526129</v>
      </c>
      <c r="L41" s="35">
        <v>4.13</v>
      </c>
      <c r="M41" s="35">
        <v>50.64</v>
      </c>
      <c r="N41" s="35">
        <v>42.88</v>
      </c>
      <c r="O41" s="34">
        <f t="shared" ref="O41:O43" si="25">(N41-L41)/M41</f>
        <v>0.76520537124802523</v>
      </c>
      <c r="R41" s="33">
        <f>(H41-I41)*O41</f>
        <v>3781.8668542654032</v>
      </c>
      <c r="S41" s="66">
        <f>(H41-I41)*O41/V41</f>
        <v>3168.1369714314528</v>
      </c>
      <c r="U41" s="34">
        <f t="shared" ref="U41:V44" si="26">U30</f>
        <v>0.85199999999999998</v>
      </c>
      <c r="V41" s="34">
        <f t="shared" si="26"/>
        <v>1.1937194914134821</v>
      </c>
      <c r="W41" s="35">
        <v>1.81</v>
      </c>
      <c r="X41" s="35">
        <v>18</v>
      </c>
      <c r="Y41" s="64">
        <v>2.7929094303593582</v>
      </c>
      <c r="Z41" s="64">
        <v>0.20874059421419405</v>
      </c>
      <c r="AA41" s="65">
        <f>Y41/Z41</f>
        <v>13.379809714891788</v>
      </c>
      <c r="AB41" s="63">
        <f t="shared" ref="AB41" si="27">(Y41*10)*100*100*G41*U41/1000000</f>
        <v>2.3795588346661729</v>
      </c>
      <c r="AC41" s="63">
        <f t="shared" ref="AC41" si="28">(Z41*10)*100*100*G41*U41/1000000</f>
        <v>0.17784698627049331</v>
      </c>
      <c r="AD41" s="34">
        <f>(W41*0.5)/(5*38.32*G41)*100*100*G41/1000</f>
        <v>4.7233820459290185E-2</v>
      </c>
      <c r="AK41" s="33">
        <f>R41*U41</f>
        <v>3222.1505598341232</v>
      </c>
      <c r="AL41" s="30">
        <f>I41/2.76</f>
        <v>627.82971014492762</v>
      </c>
      <c r="AM41" s="32">
        <f>AL41/(AL41+AK41)*100</f>
        <v>16.307348768526129</v>
      </c>
    </row>
    <row r="42" spans="1:39" x14ac:dyDescent="0.3">
      <c r="D42" s="32" t="s">
        <v>54</v>
      </c>
      <c r="G42" s="32">
        <v>10</v>
      </c>
      <c r="H42" s="33">
        <v>2608.11</v>
      </c>
      <c r="I42" s="33">
        <v>690.02</v>
      </c>
      <c r="J42" s="33">
        <f t="shared" si="24"/>
        <v>250.00724637681159</v>
      </c>
      <c r="K42" s="33">
        <f t="shared" ref="K42:K43" si="29">AM42</f>
        <v>13.937618583327785</v>
      </c>
      <c r="L42" s="35">
        <v>4.16</v>
      </c>
      <c r="M42" s="35">
        <v>53.35</v>
      </c>
      <c r="N42" s="35">
        <v>46.01</v>
      </c>
      <c r="O42" s="34">
        <f t="shared" si="25"/>
        <v>0.78444236176194926</v>
      </c>
      <c r="R42" s="33">
        <f>(H42-I42)*O42</f>
        <v>1504.6310496719773</v>
      </c>
      <c r="S42" s="66">
        <f t="shared" ref="S42:S43" si="30">(H42-I42)*O42/V42</f>
        <v>1065.9588763147706</v>
      </c>
      <c r="U42" s="34">
        <f t="shared" si="26"/>
        <v>1.026</v>
      </c>
      <c r="V42" s="34">
        <f t="shared" si="26"/>
        <v>1.4115282335035124</v>
      </c>
      <c r="W42" s="35">
        <v>1.58</v>
      </c>
      <c r="X42" s="35">
        <v>9.09</v>
      </c>
      <c r="Y42" s="64">
        <v>2.2332392591172905</v>
      </c>
      <c r="Z42" s="64">
        <v>0.17147141821913611</v>
      </c>
      <c r="AA42" s="65">
        <f>Y42/Z42</f>
        <v>13.023973804562971</v>
      </c>
      <c r="AB42" s="63">
        <f>(Y42*10)*100*100*G42*U42/1000000</f>
        <v>2.2913034798543408</v>
      </c>
      <c r="AC42" s="63">
        <f t="shared" si="9"/>
        <v>0.17592967509283367</v>
      </c>
      <c r="AD42" s="34">
        <f t="shared" ref="AD42:AD43" si="31">(W42*0.5)/(5*38.32*G42)*100*100*G42/1000</f>
        <v>4.1231732776617951E-2</v>
      </c>
      <c r="AK42" s="33">
        <f>R42*U42</f>
        <v>1543.7514569634486</v>
      </c>
      <c r="AL42" s="30">
        <f>I42/2.76</f>
        <v>250.00724637681159</v>
      </c>
      <c r="AM42" s="32">
        <f t="shared" ref="AM42:AM43" si="32">AL42/(AL42+AK42)*100</f>
        <v>13.937618583327785</v>
      </c>
    </row>
    <row r="43" spans="1:39" x14ac:dyDescent="0.3">
      <c r="D43" s="32" t="s">
        <v>55</v>
      </c>
      <c r="E43" s="32" t="s">
        <v>108</v>
      </c>
      <c r="G43" s="32">
        <v>20</v>
      </c>
      <c r="H43" s="33">
        <v>1889.44</v>
      </c>
      <c r="I43" s="33">
        <v>343.67</v>
      </c>
      <c r="J43" s="33">
        <f t="shared" si="24"/>
        <v>124.518115942029</v>
      </c>
      <c r="K43" s="33">
        <f t="shared" si="29"/>
        <v>9.7420727899650288</v>
      </c>
      <c r="L43" s="35">
        <v>4.1500000000000004</v>
      </c>
      <c r="M43" s="35">
        <v>50.11</v>
      </c>
      <c r="N43" s="35">
        <v>39.75</v>
      </c>
      <c r="O43" s="34">
        <f t="shared" si="25"/>
        <v>0.71043703851526641</v>
      </c>
      <c r="R43" s="33">
        <f>(H43-I43)*O43</f>
        <v>1098.1722610257434</v>
      </c>
      <c r="S43" s="66">
        <f t="shared" si="30"/>
        <v>755.10402497247605</v>
      </c>
      <c r="U43" s="34">
        <f t="shared" si="26"/>
        <v>1.0505</v>
      </c>
      <c r="V43" s="34">
        <f t="shared" si="26"/>
        <v>1.4543324160744242</v>
      </c>
      <c r="W43" s="35">
        <v>0.1</v>
      </c>
      <c r="X43" s="35">
        <v>0</v>
      </c>
      <c r="Y43" s="64">
        <v>0.68053141329523925</v>
      </c>
      <c r="Z43" s="64">
        <v>4.8535898046260115E-2</v>
      </c>
      <c r="AA43" s="65">
        <f>Y43/Z43</f>
        <v>14.021197519547636</v>
      </c>
      <c r="AB43" s="63">
        <f>(Y43*10)*100*100*G43*U43/1000000</f>
        <v>1.4297964993332977</v>
      </c>
      <c r="AC43" s="63">
        <f t="shared" si="9"/>
        <v>0.1019739217951925</v>
      </c>
      <c r="AD43" s="34">
        <f t="shared" si="31"/>
        <v>2.609603340292276E-3</v>
      </c>
      <c r="AK43" s="33">
        <f>R43*U43</f>
        <v>1153.6299602075435</v>
      </c>
      <c r="AL43" s="30">
        <f>I43/2.76</f>
        <v>124.518115942029</v>
      </c>
      <c r="AM43" s="32">
        <f t="shared" si="32"/>
        <v>9.7420727899650288</v>
      </c>
    </row>
    <row r="44" spans="1:39" x14ac:dyDescent="0.25">
      <c r="D44" s="32" t="s">
        <v>56</v>
      </c>
      <c r="E44" s="32" t="s">
        <v>109</v>
      </c>
      <c r="G44" s="32">
        <v>50</v>
      </c>
      <c r="H44" s="33"/>
      <c r="I44" s="33"/>
      <c r="J44" s="33"/>
      <c r="K44" s="33"/>
      <c r="L44" s="35"/>
      <c r="M44" s="35"/>
      <c r="N44" s="35"/>
      <c r="U44" s="34">
        <f t="shared" si="26"/>
        <v>1.0556000000000001</v>
      </c>
      <c r="V44" s="34">
        <f t="shared" si="26"/>
        <v>1.3490643949624299</v>
      </c>
      <c r="W44" s="35"/>
      <c r="X44" s="35"/>
      <c r="AB44" s="63"/>
      <c r="AC44" s="63"/>
      <c r="AD44" s="34"/>
    </row>
    <row r="45" spans="1:39" x14ac:dyDescent="0.25">
      <c r="D45" s="32" t="s">
        <v>57</v>
      </c>
      <c r="G45" s="32">
        <v>50</v>
      </c>
      <c r="H45" s="33"/>
      <c r="I45" s="33"/>
      <c r="J45" s="33"/>
      <c r="K45" s="33"/>
      <c r="L45" s="35"/>
      <c r="M45" s="35"/>
      <c r="N45" s="35"/>
      <c r="W45" s="35"/>
      <c r="X45" s="35"/>
      <c r="AB45" s="63"/>
      <c r="AC45" s="63"/>
      <c r="AD45" s="35"/>
    </row>
    <row r="46" spans="1:39" x14ac:dyDescent="0.25">
      <c r="D46" s="32" t="s">
        <v>58</v>
      </c>
      <c r="G46" s="32">
        <v>50</v>
      </c>
      <c r="H46" s="33"/>
      <c r="I46" s="33"/>
      <c r="J46" s="33"/>
      <c r="K46" s="33"/>
      <c r="L46" s="35"/>
      <c r="M46" s="35"/>
      <c r="N46" s="35"/>
      <c r="W46" s="35"/>
      <c r="X46" s="35"/>
      <c r="AB46" s="63"/>
      <c r="AC46" s="63"/>
      <c r="AD46" s="35"/>
    </row>
    <row r="47" spans="1:39" x14ac:dyDescent="0.25">
      <c r="D47" s="32" t="s">
        <v>59</v>
      </c>
      <c r="G47" s="32">
        <v>50</v>
      </c>
      <c r="H47" s="33"/>
      <c r="I47" s="33"/>
      <c r="J47" s="33"/>
      <c r="K47" s="33"/>
      <c r="L47" s="35"/>
      <c r="M47" s="35"/>
      <c r="N47" s="35"/>
      <c r="W47" s="35"/>
      <c r="X47" s="35"/>
      <c r="AB47" s="63"/>
      <c r="AC47" s="63"/>
      <c r="AD47" s="35"/>
    </row>
    <row r="48" spans="1:39" x14ac:dyDescent="0.25">
      <c r="D48" s="32" t="s">
        <v>60</v>
      </c>
      <c r="G48" s="32">
        <v>50</v>
      </c>
      <c r="H48" s="33"/>
      <c r="I48" s="33"/>
      <c r="J48" s="33"/>
      <c r="K48" s="33"/>
      <c r="L48" s="35"/>
      <c r="M48" s="35"/>
      <c r="N48" s="35"/>
      <c r="W48" s="35"/>
      <c r="X48" s="35"/>
      <c r="AB48" s="63"/>
      <c r="AC48" s="63"/>
      <c r="AD48" s="35"/>
    </row>
    <row r="49" spans="1:39" x14ac:dyDescent="0.25">
      <c r="H49" s="33"/>
      <c r="I49" s="33"/>
      <c r="J49" s="33"/>
      <c r="K49" s="33"/>
      <c r="L49" s="35"/>
      <c r="M49" s="35"/>
      <c r="N49" s="35"/>
      <c r="W49" s="35"/>
      <c r="X49" s="35"/>
    </row>
    <row r="50" spans="1:39" x14ac:dyDescent="0.25">
      <c r="A50" s="32" t="s">
        <v>63</v>
      </c>
      <c r="B50" s="32">
        <v>50</v>
      </c>
      <c r="C50" s="32" t="s">
        <v>10</v>
      </c>
      <c r="D50" s="32" t="s">
        <v>51</v>
      </c>
      <c r="H50" s="33">
        <v>843.65</v>
      </c>
      <c r="I50" s="33"/>
      <c r="J50" s="33"/>
      <c r="K50" s="33"/>
      <c r="L50" s="35"/>
      <c r="M50" s="35"/>
      <c r="N50" s="35"/>
      <c r="P50" s="32">
        <v>726.93</v>
      </c>
      <c r="W50" s="35"/>
      <c r="X50" s="35"/>
      <c r="AB50" s="63">
        <f>(P50*0.5)/9/(25*25)*100*100/1000</f>
        <v>0.64615999999999985</v>
      </c>
    </row>
    <row r="51" spans="1:39" x14ac:dyDescent="0.25">
      <c r="D51" s="32" t="s">
        <v>52</v>
      </c>
      <c r="F51" s="32" t="s">
        <v>212</v>
      </c>
      <c r="G51" s="32">
        <v>10</v>
      </c>
      <c r="H51" s="33">
        <v>6568.83</v>
      </c>
      <c r="I51" s="33">
        <v>4234.47</v>
      </c>
      <c r="J51" s="33">
        <f>I51/2.76</f>
        <v>1534.2282608695655</v>
      </c>
      <c r="K51" s="33">
        <f>J51/Q51*100</f>
        <v>33.505749309228335</v>
      </c>
      <c r="L51" s="35">
        <v>4.18</v>
      </c>
      <c r="M51" s="35">
        <v>51.49</v>
      </c>
      <c r="N51" s="35">
        <v>46.15</v>
      </c>
      <c r="O51" s="34">
        <f>(N51-L51)/M51</f>
        <v>0.8151097300446688</v>
      </c>
      <c r="P51" s="33"/>
      <c r="Q51" s="32">
        <v>4579</v>
      </c>
      <c r="R51" s="33">
        <f>(H51-I51)*O51</f>
        <v>1902.7595494270729</v>
      </c>
      <c r="S51" s="33">
        <f>Q51-J51</f>
        <v>3044.7717391304345</v>
      </c>
      <c r="T51" s="34">
        <f t="shared" ref="T51" si="33">R51/S51</f>
        <v>0.62492682948065192</v>
      </c>
      <c r="U51" s="34">
        <f>'Pit bulk density'!X5</f>
        <v>0.83274999999999988</v>
      </c>
      <c r="V51" s="34">
        <f>'Pit bulk density'!AD5</f>
        <v>0.9649217490163926</v>
      </c>
      <c r="W51" s="35">
        <v>22.38</v>
      </c>
      <c r="X51" s="35">
        <v>21.19</v>
      </c>
      <c r="Y51" s="64">
        <v>6.537256972958545</v>
      </c>
      <c r="Z51" s="64">
        <v>0.4457328866021919</v>
      </c>
      <c r="AA51" s="65">
        <f>Y51/Z51</f>
        <v>14.666310630099238</v>
      </c>
      <c r="AB51" s="63">
        <f t="shared" ref="AB51" si="34">(Y51*10)*100*100*G51*T51/1000000</f>
        <v>4.0853072736112672</v>
      </c>
      <c r="AC51" s="63">
        <f t="shared" ref="AC51" si="35">(Z51*10)*100*100*G51*T51/1000000</f>
        <v>0.27855043961956677</v>
      </c>
      <c r="AD51" s="34">
        <f>(W51*0.5)/Q51*100*100*G51/1000</f>
        <v>0.24437650141952388</v>
      </c>
      <c r="AE51" s="63">
        <f>SUM(AB51:AB55)</f>
        <v>10.184825504149947</v>
      </c>
      <c r="AF51" s="63">
        <f>SUM(AC51:AC55)</f>
        <v>0.68702844817353848</v>
      </c>
      <c r="AG51" s="63">
        <f>AE51/AF51</f>
        <v>14.824459643885564</v>
      </c>
      <c r="AH51" s="35">
        <f>SUM(AD51:AD55)</f>
        <v>0.29630760789134014</v>
      </c>
      <c r="AI51" s="35"/>
    </row>
    <row r="52" spans="1:39" x14ac:dyDescent="0.3">
      <c r="D52" s="32" t="s">
        <v>53</v>
      </c>
      <c r="G52" s="32">
        <v>10</v>
      </c>
      <c r="H52" s="33">
        <v>2606.94</v>
      </c>
      <c r="I52" s="33">
        <v>907.62</v>
      </c>
      <c r="J52" s="33">
        <f t="shared" ref="J52:J54" si="36">I52/2.76</f>
        <v>328.84782608695656</v>
      </c>
      <c r="K52" s="33">
        <f>AM52</f>
        <v>19.450610093212624</v>
      </c>
      <c r="L52" s="35">
        <v>4.29</v>
      </c>
      <c r="M52" s="35">
        <v>54.79</v>
      </c>
      <c r="N52" s="35">
        <v>49.58</v>
      </c>
      <c r="O52" s="34">
        <f t="shared" ref="O52:O54" si="37">(N52-L52)/M52</f>
        <v>0.82661069538236909</v>
      </c>
      <c r="R52" s="33">
        <f t="shared" ref="R52:R54" si="38">(H52-I52)*O52</f>
        <v>1404.6760868771676</v>
      </c>
      <c r="S52" s="66">
        <f>(H52-I52)*O52/V52</f>
        <v>1114.2073777386183</v>
      </c>
      <c r="U52" s="34">
        <f>'Pit bulk density'!X6</f>
        <v>0.96949999999999992</v>
      </c>
      <c r="V52" s="34">
        <f>'Pit bulk density'!AD6</f>
        <v>1.2606953740766651</v>
      </c>
      <c r="W52" s="35">
        <v>1.05</v>
      </c>
      <c r="X52" s="35">
        <v>1.1000000000000001</v>
      </c>
      <c r="Y52" s="64">
        <v>2.448636833461626</v>
      </c>
      <c r="Z52" s="64">
        <v>0.16543244133494814</v>
      </c>
      <c r="AA52" s="65">
        <f>Y52/Z52</f>
        <v>14.801430805847291</v>
      </c>
      <c r="AB52" s="63">
        <f t="shared" ref="AB52" si="39">(Y52*10)*100*100*G52*U52/1000000</f>
        <v>2.3739534100410462</v>
      </c>
      <c r="AC52" s="63">
        <f t="shared" ref="AC52" si="40">(Z52*10)*100*100*G52*U52/1000000</f>
        <v>0.16038675187423226</v>
      </c>
      <c r="AD52" s="34">
        <f>(W52*0.5)/(5*38.32*G52)*100*100*G52/1000</f>
        <v>2.7400835073068897E-2</v>
      </c>
      <c r="AK52" s="33">
        <f>R52*U52</f>
        <v>1361.8334662274137</v>
      </c>
      <c r="AL52" s="30">
        <f>I52/2.76</f>
        <v>328.84782608695656</v>
      </c>
      <c r="AM52" s="32">
        <f>AL52/(AL52+AK52)*100</f>
        <v>19.450610093212624</v>
      </c>
    </row>
    <row r="53" spans="1:39" x14ac:dyDescent="0.3">
      <c r="D53" s="32" t="s">
        <v>54</v>
      </c>
      <c r="E53" s="32" t="s">
        <v>110</v>
      </c>
      <c r="G53" s="32">
        <v>10</v>
      </c>
      <c r="H53" s="33">
        <v>1433.87</v>
      </c>
      <c r="I53" s="33">
        <v>210.44</v>
      </c>
      <c r="J53" s="33">
        <f t="shared" si="36"/>
        <v>76.246376811594203</v>
      </c>
      <c r="K53" s="33">
        <f t="shared" ref="K53:K54" si="41">AM53</f>
        <v>6.3699160302465447</v>
      </c>
      <c r="L53" s="35">
        <v>4.17</v>
      </c>
      <c r="M53" s="35">
        <v>53.64</v>
      </c>
      <c r="N53" s="35">
        <v>45.54</v>
      </c>
      <c r="O53" s="34">
        <f t="shared" si="37"/>
        <v>0.77125279642058164</v>
      </c>
      <c r="R53" s="33">
        <f t="shared" si="38"/>
        <v>943.57380872483202</v>
      </c>
      <c r="S53" s="66">
        <f t="shared" ref="S53:S54" si="42">(H53-I53)*O53/V53</f>
        <v>673.91161875436308</v>
      </c>
      <c r="U53" s="34">
        <f>'Pit bulk density'!X7</f>
        <v>1.1877499999999999</v>
      </c>
      <c r="V53" s="34">
        <f>'Pit bulk density'!AD7</f>
        <v>1.4001447407434584</v>
      </c>
      <c r="W53" s="35">
        <v>0.63</v>
      </c>
      <c r="X53" s="35">
        <v>1.67</v>
      </c>
      <c r="Y53" s="64">
        <v>1.1411226367821017</v>
      </c>
      <c r="Z53" s="64">
        <v>7.4771220560763949E-2</v>
      </c>
      <c r="AA53" s="65">
        <f>Y53/Z53</f>
        <v>15.261522123405106</v>
      </c>
      <c r="AB53" s="63">
        <f>(Y53*10)*100*100*G53*U53/1000000</f>
        <v>1.3553684118379412</v>
      </c>
      <c r="AC53" s="63">
        <f t="shared" si="9"/>
        <v>8.8809517221047365E-2</v>
      </c>
      <c r="AD53" s="34">
        <f t="shared" ref="AD53:AD54" si="43">(W53*0.5)/(5*38.32*G53)*100*100*G53/1000</f>
        <v>1.6440501043841337E-2</v>
      </c>
      <c r="AK53" s="33">
        <f>R53*U53</f>
        <v>1120.7297913129191</v>
      </c>
      <c r="AL53" s="30">
        <f>I53/2.76</f>
        <v>76.246376811594203</v>
      </c>
      <c r="AM53" s="32">
        <f t="shared" ref="AM53:AM55" si="44">AL53/(AL53+AK53)*100</f>
        <v>6.3699160302465447</v>
      </c>
    </row>
    <row r="54" spans="1:39" x14ac:dyDescent="0.3">
      <c r="D54" s="32" t="s">
        <v>55</v>
      </c>
      <c r="G54" s="32">
        <v>20</v>
      </c>
      <c r="H54" s="33">
        <v>1002.66</v>
      </c>
      <c r="I54" s="33">
        <v>133.63</v>
      </c>
      <c r="J54" s="33">
        <f t="shared" si="36"/>
        <v>48.416666666666671</v>
      </c>
      <c r="K54" s="33">
        <f t="shared" si="41"/>
        <v>5.2654781513251532</v>
      </c>
      <c r="L54" s="35">
        <v>4.1900000000000004</v>
      </c>
      <c r="M54" s="35">
        <v>50.5</v>
      </c>
      <c r="N54" s="35">
        <v>43.56</v>
      </c>
      <c r="O54" s="34">
        <f t="shared" si="37"/>
        <v>0.77960396039603974</v>
      </c>
      <c r="R54" s="33">
        <f t="shared" si="38"/>
        <v>677.49922970297041</v>
      </c>
      <c r="S54" s="66">
        <f t="shared" si="42"/>
        <v>471.7203498012027</v>
      </c>
      <c r="U54" s="34">
        <f>'Pit bulk density'!X8</f>
        <v>1.2857499999999999</v>
      </c>
      <c r="V54" s="34">
        <f>'Pit bulk density'!AD8</f>
        <v>1.4362306607897861</v>
      </c>
      <c r="W54" s="35">
        <v>0.31</v>
      </c>
      <c r="X54" s="35">
        <v>0.44</v>
      </c>
      <c r="Y54" s="64">
        <v>0.92171744454975368</v>
      </c>
      <c r="Z54" s="64">
        <v>6.1941178090099962E-2</v>
      </c>
      <c r="AA54" s="65">
        <f>Y54/Z54</f>
        <v>14.880528155422208</v>
      </c>
      <c r="AB54" s="63">
        <f>(Y54*10)*100*100*G54*U54/1000000</f>
        <v>2.3701964086596914</v>
      </c>
      <c r="AC54" s="63">
        <f t="shared" si="9"/>
        <v>0.15928173945869203</v>
      </c>
      <c r="AD54" s="34">
        <f t="shared" si="43"/>
        <v>8.0897703549060538E-3</v>
      </c>
      <c r="AK54" s="33">
        <f>R54*U54</f>
        <v>871.09463459059418</v>
      </c>
      <c r="AL54" s="30">
        <f>I54/2.76</f>
        <v>48.416666666666671</v>
      </c>
      <c r="AM54" s="32">
        <f t="shared" si="44"/>
        <v>5.2654781513251532</v>
      </c>
    </row>
    <row r="55" spans="1:39" x14ac:dyDescent="0.3">
      <c r="D55" s="32" t="s">
        <v>56</v>
      </c>
      <c r="G55" s="32">
        <v>50</v>
      </c>
      <c r="H55" s="33"/>
      <c r="I55" s="33"/>
      <c r="J55" s="33"/>
      <c r="K55" s="33"/>
      <c r="L55" s="35"/>
      <c r="M55" s="35"/>
      <c r="N55" s="35"/>
      <c r="U55" s="34">
        <f>'Pit bulk density'!X9</f>
        <v>1.3718694142112708</v>
      </c>
      <c r="V55" s="34">
        <f>'Pit bulk density'!AD9</f>
        <v>1.4478906960347426</v>
      </c>
      <c r="W55" s="35"/>
      <c r="X55" s="35"/>
      <c r="AB55" s="63"/>
      <c r="AC55" s="63"/>
      <c r="AD55" s="35"/>
      <c r="AK55" s="33">
        <f>R55*U55</f>
        <v>0</v>
      </c>
      <c r="AL55" s="30">
        <f>I55/2.76</f>
        <v>0</v>
      </c>
      <c r="AM55" s="32" t="e">
        <f t="shared" si="44"/>
        <v>#DIV/0!</v>
      </c>
    </row>
    <row r="56" spans="1:39" x14ac:dyDescent="0.3">
      <c r="D56" s="32" t="s">
        <v>57</v>
      </c>
      <c r="G56" s="32">
        <v>50</v>
      </c>
      <c r="H56" s="33"/>
      <c r="I56" s="33"/>
      <c r="J56" s="33"/>
      <c r="K56" s="33"/>
      <c r="L56" s="35"/>
      <c r="M56" s="35"/>
      <c r="N56" s="35"/>
      <c r="U56" s="34">
        <f>'Pit bulk density'!X10</f>
        <v>1.3989143165798161</v>
      </c>
      <c r="V56" s="34">
        <f>'Pit bulk density'!AD10</f>
        <v>1.4457674247628549</v>
      </c>
      <c r="W56" s="35"/>
      <c r="X56" s="35"/>
      <c r="AB56" s="63"/>
      <c r="AC56" s="63"/>
      <c r="AD56" s="35"/>
      <c r="AK56" s="33">
        <f>R56*U56</f>
        <v>0</v>
      </c>
      <c r="AL56" s="30">
        <f>I56/2.76</f>
        <v>0</v>
      </c>
      <c r="AM56" s="32" t="e">
        <f t="shared" ref="AM56:AM119" si="45">AL56/(AL56+AK56)*100</f>
        <v>#DIV/0!</v>
      </c>
    </row>
    <row r="57" spans="1:39" x14ac:dyDescent="0.3">
      <c r="D57" s="32" t="s">
        <v>58</v>
      </c>
      <c r="G57" s="32">
        <v>50</v>
      </c>
      <c r="H57" s="33"/>
      <c r="I57" s="33"/>
      <c r="J57" s="33"/>
      <c r="K57" s="33"/>
      <c r="L57" s="35"/>
      <c r="M57" s="35"/>
      <c r="N57" s="35"/>
      <c r="U57" s="34">
        <f>'Pit bulk density'!X11</f>
        <v>1.38</v>
      </c>
      <c r="V57" s="34">
        <f>'Pit bulk density'!AD11</f>
        <v>1.4331986779930224</v>
      </c>
      <c r="W57" s="35"/>
      <c r="X57" s="35"/>
      <c r="AB57" s="63"/>
      <c r="AC57" s="63"/>
      <c r="AD57" s="35"/>
      <c r="AK57" s="33">
        <f>R57*U57</f>
        <v>0</v>
      </c>
      <c r="AL57" s="30">
        <f>I57/2.76</f>
        <v>0</v>
      </c>
      <c r="AM57" s="32" t="e">
        <f t="shared" si="45"/>
        <v>#DIV/0!</v>
      </c>
    </row>
    <row r="58" spans="1:39" x14ac:dyDescent="0.3">
      <c r="D58" s="32" t="s">
        <v>59</v>
      </c>
      <c r="G58" s="32">
        <v>50</v>
      </c>
      <c r="H58" s="33"/>
      <c r="I58" s="33"/>
      <c r="J58" s="33"/>
      <c r="K58" s="33"/>
      <c r="L58" s="35"/>
      <c r="M58" s="35"/>
      <c r="N58" s="35"/>
      <c r="U58" s="34">
        <f>U57</f>
        <v>1.38</v>
      </c>
      <c r="V58" s="34">
        <f>V57</f>
        <v>1.4331986779930224</v>
      </c>
      <c r="W58" s="35"/>
      <c r="X58" s="35"/>
      <c r="AB58" s="63"/>
      <c r="AC58" s="63"/>
      <c r="AD58" s="35"/>
      <c r="AK58" s="33">
        <f>R58*U58</f>
        <v>0</v>
      </c>
      <c r="AL58" s="30">
        <f>I58/2.76</f>
        <v>0</v>
      </c>
      <c r="AM58" s="32" t="e">
        <f t="shared" si="45"/>
        <v>#DIV/0!</v>
      </c>
    </row>
    <row r="59" spans="1:39" x14ac:dyDescent="0.3">
      <c r="D59" s="32" t="s">
        <v>60</v>
      </c>
      <c r="G59" s="32">
        <v>50</v>
      </c>
      <c r="H59" s="33"/>
      <c r="I59" s="33"/>
      <c r="J59" s="33"/>
      <c r="K59" s="33"/>
      <c r="L59" s="35"/>
      <c r="M59" s="35"/>
      <c r="N59" s="35"/>
      <c r="U59" s="34">
        <f>U58</f>
        <v>1.38</v>
      </c>
      <c r="V59" s="34">
        <f>V58</f>
        <v>1.4331986779930224</v>
      </c>
      <c r="W59" s="35"/>
      <c r="X59" s="35"/>
      <c r="AB59" s="63"/>
      <c r="AC59" s="63"/>
      <c r="AD59" s="35"/>
      <c r="AK59" s="33">
        <f>R59*U59</f>
        <v>0</v>
      </c>
      <c r="AL59" s="30">
        <f>I59/2.76</f>
        <v>0</v>
      </c>
      <c r="AM59" s="32" t="e">
        <f t="shared" si="45"/>
        <v>#DIV/0!</v>
      </c>
    </row>
    <row r="60" spans="1:39" x14ac:dyDescent="0.3">
      <c r="H60" s="33"/>
      <c r="I60" s="33"/>
      <c r="J60" s="33"/>
      <c r="K60" s="33"/>
      <c r="L60" s="35"/>
      <c r="M60" s="35"/>
      <c r="N60" s="35"/>
      <c r="W60" s="35"/>
      <c r="X60" s="35"/>
      <c r="AK60" s="33">
        <f>R60*U60</f>
        <v>0</v>
      </c>
      <c r="AL60" s="30">
        <f>I60/2.76</f>
        <v>0</v>
      </c>
      <c r="AM60" s="32" t="e">
        <f t="shared" si="45"/>
        <v>#DIV/0!</v>
      </c>
    </row>
    <row r="61" spans="1:39" x14ac:dyDescent="0.3">
      <c r="A61" s="32" t="s">
        <v>64</v>
      </c>
      <c r="B61" s="32">
        <v>50</v>
      </c>
      <c r="C61" s="32" t="s">
        <v>2</v>
      </c>
      <c r="D61" s="32" t="s">
        <v>51</v>
      </c>
      <c r="E61" s="32" t="s">
        <v>111</v>
      </c>
      <c r="H61" s="33">
        <v>672.32</v>
      </c>
      <c r="I61" s="33"/>
      <c r="J61" s="33"/>
      <c r="K61" s="33"/>
      <c r="L61" s="35"/>
      <c r="M61" s="35"/>
      <c r="P61" s="35">
        <v>613.41999999999996</v>
      </c>
      <c r="W61" s="35"/>
      <c r="X61" s="35"/>
      <c r="AB61" s="63">
        <f>(P61*0.5)/9/(25*25)*100*100/1000</f>
        <v>0.54526222222222209</v>
      </c>
      <c r="AK61" s="33">
        <f>R61*U61</f>
        <v>0</v>
      </c>
      <c r="AL61" s="30">
        <f>I61/2.76</f>
        <v>0</v>
      </c>
      <c r="AM61" s="32" t="e">
        <f t="shared" si="45"/>
        <v>#DIV/0!</v>
      </c>
    </row>
    <row r="62" spans="1:39" x14ac:dyDescent="0.3">
      <c r="D62" s="32" t="s">
        <v>52</v>
      </c>
      <c r="F62" s="32" t="s">
        <v>212</v>
      </c>
      <c r="G62" s="32">
        <v>10</v>
      </c>
      <c r="H62" s="33">
        <v>10281.129999999999</v>
      </c>
      <c r="I62" s="33">
        <v>6570.85</v>
      </c>
      <c r="J62" s="33">
        <f>I62/2.76</f>
        <v>2380.7427536231889</v>
      </c>
      <c r="K62" s="33">
        <f>J62/Q62*100</f>
        <v>38.275606971433909</v>
      </c>
      <c r="L62" s="35">
        <v>4.16</v>
      </c>
      <c r="M62" s="35">
        <v>52.54</v>
      </c>
      <c r="N62" s="35">
        <v>47.44</v>
      </c>
      <c r="O62" s="34">
        <f>(N62-L62)/M62</f>
        <v>0.82375333079558433</v>
      </c>
      <c r="P62" s="33"/>
      <c r="Q62" s="32">
        <v>6220</v>
      </c>
      <c r="R62" s="33">
        <f>(H62-I62)*O62</f>
        <v>3056.3555081842396</v>
      </c>
      <c r="S62" s="33">
        <f>Q62-J62</f>
        <v>3839.2572463768111</v>
      </c>
      <c r="T62" s="34">
        <f t="shared" ref="T62" si="46">R62/S62</f>
        <v>0.79607989567997495</v>
      </c>
      <c r="U62" s="34">
        <f>U51</f>
        <v>0.83274999999999988</v>
      </c>
      <c r="V62" s="34">
        <f>V51</f>
        <v>0.9649217490163926</v>
      </c>
      <c r="W62" s="35">
        <v>29</v>
      </c>
      <c r="X62" s="35">
        <v>30.57</v>
      </c>
      <c r="Y62" s="64">
        <v>5.9904816128404663</v>
      </c>
      <c r="Z62" s="64">
        <v>0.41699625200679968</v>
      </c>
      <c r="AA62" s="65">
        <f>Y62/Z62</f>
        <v>14.365792459791182</v>
      </c>
      <c r="AB62" s="63">
        <f t="shared" ref="AB62" si="47">(Y62*10)*100*100*G62*T62/1000000</f>
        <v>4.7689019774228463</v>
      </c>
      <c r="AC62" s="63">
        <f t="shared" ref="AC62" si="48">(Z62*10)*100*100*G62*T62/1000000</f>
        <v>0.33196233279651355</v>
      </c>
      <c r="AD62" s="34">
        <f>(W62*0.5)/Q62*100*100*G62/1000</f>
        <v>0.23311897106109325</v>
      </c>
      <c r="AE62" s="63">
        <f>SUM(AB62:AB66)</f>
        <v>8.7322030301251949</v>
      </c>
      <c r="AF62" s="63">
        <f>SUM(AC62:AC66)</f>
        <v>0.59147714406216956</v>
      </c>
      <c r="AG62" s="63">
        <f>AE62/AF62</f>
        <v>14.763382013637642</v>
      </c>
      <c r="AH62" s="35">
        <f>SUM(AD62:AD66)</f>
        <v>0.28270143452664648</v>
      </c>
      <c r="AI62" s="35"/>
      <c r="AK62" s="33">
        <f>R62*U62</f>
        <v>2545.1800494404251</v>
      </c>
      <c r="AL62" s="30">
        <f>I62/2.76</f>
        <v>2380.7427536231889</v>
      </c>
      <c r="AM62" s="32">
        <f t="shared" si="45"/>
        <v>48.330898570771694</v>
      </c>
    </row>
    <row r="63" spans="1:39" x14ac:dyDescent="0.3">
      <c r="D63" s="32" t="s">
        <v>53</v>
      </c>
      <c r="G63" s="32">
        <v>10</v>
      </c>
      <c r="H63" s="33">
        <v>2205.83</v>
      </c>
      <c r="I63" s="33">
        <v>837.36</v>
      </c>
      <c r="J63" s="33">
        <f t="shared" ref="J63:J64" si="49">I63/2.76</f>
        <v>303.39130434782612</v>
      </c>
      <c r="K63" s="33">
        <f>AM63</f>
        <v>20.724199749014083</v>
      </c>
      <c r="L63" s="35">
        <v>4.2699999999999996</v>
      </c>
      <c r="M63" s="35">
        <v>49.58</v>
      </c>
      <c r="N63" s="35">
        <v>47.64</v>
      </c>
      <c r="O63" s="34">
        <f t="shared" ref="O63:O64" si="50">(N63-L63)/M63</f>
        <v>0.87474788221056887</v>
      </c>
      <c r="R63" s="33">
        <f t="shared" ref="R63:R64" si="51">(H63-I63)*O63</f>
        <v>1197.066234368697</v>
      </c>
      <c r="S63" s="66">
        <f>(H63-I63)*O63/V63</f>
        <v>949.52853717372432</v>
      </c>
      <c r="U63" s="34">
        <f t="shared" ref="U63:V70" si="52">U52</f>
        <v>0.96949999999999992</v>
      </c>
      <c r="V63" s="34">
        <f t="shared" si="52"/>
        <v>1.2606953740766651</v>
      </c>
      <c r="W63" s="35">
        <v>1.19</v>
      </c>
      <c r="X63" s="35">
        <v>8.0299999999999994</v>
      </c>
      <c r="Y63" s="64">
        <v>2.2769349846724332</v>
      </c>
      <c r="Z63" s="64">
        <v>0.14409155095920784</v>
      </c>
      <c r="AA63" s="65">
        <f>Y63/Z63</f>
        <v>15.802002057129853</v>
      </c>
      <c r="AB63" s="63">
        <f t="shared" ref="AB63" si="53">(Y63*10)*100*100*G63*U63/1000000</f>
        <v>2.2074884676399242</v>
      </c>
      <c r="AC63" s="63">
        <f t="shared" ref="AC63" si="54">(Z63*10)*100*100*G63*U63/1000000</f>
        <v>0.13969675865495199</v>
      </c>
      <c r="AD63" s="34">
        <f>(W63*0.5)/(5*38.32*G63)*100*100*G63/1000</f>
        <v>3.1054279749478081E-2</v>
      </c>
      <c r="AK63" s="33">
        <f>R63*U63</f>
        <v>1160.5557142204516</v>
      </c>
      <c r="AL63" s="30">
        <f>I63/2.76</f>
        <v>303.39130434782612</v>
      </c>
      <c r="AM63" s="32">
        <f t="shared" si="45"/>
        <v>20.724199749014083</v>
      </c>
    </row>
    <row r="64" spans="1:39" x14ac:dyDescent="0.3">
      <c r="D64" s="32" t="s">
        <v>54</v>
      </c>
      <c r="E64" s="32" t="s">
        <v>112</v>
      </c>
      <c r="G64" s="32">
        <v>10</v>
      </c>
      <c r="H64" s="33">
        <v>2929.33</v>
      </c>
      <c r="I64" s="33">
        <v>864.76</v>
      </c>
      <c r="J64" s="33">
        <f t="shared" si="49"/>
        <v>313.31884057971018</v>
      </c>
      <c r="K64" s="33">
        <f t="shared" ref="K64:K65" si="55">AM64</f>
        <v>12.837632523368402</v>
      </c>
      <c r="L64" s="35">
        <v>4.18</v>
      </c>
      <c r="M64" s="35">
        <v>50.42</v>
      </c>
      <c r="N64" s="35">
        <v>47.92</v>
      </c>
      <c r="O64" s="34">
        <f t="shared" si="50"/>
        <v>0.86751289170963908</v>
      </c>
      <c r="R64" s="33">
        <f t="shared" si="51"/>
        <v>1791.0410908369693</v>
      </c>
      <c r="S64" s="66">
        <f t="shared" ref="S64:S65" si="56">(H64-I64)*O64/V64</f>
        <v>1279.1828149752218</v>
      </c>
      <c r="U64" s="34">
        <f t="shared" si="52"/>
        <v>1.1877499999999999</v>
      </c>
      <c r="V64" s="34">
        <f t="shared" si="52"/>
        <v>1.4001447407434584</v>
      </c>
      <c r="W64" s="35">
        <v>0.71</v>
      </c>
      <c r="X64" s="35">
        <v>14.55</v>
      </c>
      <c r="Y64" s="64">
        <v>1.4782678047252564</v>
      </c>
      <c r="Z64" s="64">
        <v>0.10087817521423192</v>
      </c>
      <c r="AA64" s="65">
        <f>Y64/Z64</f>
        <v>14.653990336223904</v>
      </c>
      <c r="AB64" s="63">
        <f>(Y64*10)*100*100*G64*U64/1000000</f>
        <v>1.7558125850624231</v>
      </c>
      <c r="AC64" s="63">
        <f t="shared" si="9"/>
        <v>0.11981805261070395</v>
      </c>
      <c r="AD64" s="34">
        <f t="shared" ref="AD64" si="57">(W64*0.5)/(5*38.32*G64)*100*100*G64/1000</f>
        <v>1.8528183716075154E-2</v>
      </c>
      <c r="AK64" s="33">
        <f>R64*U64</f>
        <v>2127.30905564161</v>
      </c>
      <c r="AL64" s="30">
        <f>I64/2.76</f>
        <v>313.31884057971018</v>
      </c>
      <c r="AM64" s="32">
        <f t="shared" si="45"/>
        <v>12.837632523368402</v>
      </c>
    </row>
    <row r="65" spans="1:39" x14ac:dyDescent="0.3">
      <c r="D65" s="32" t="s">
        <v>55</v>
      </c>
      <c r="G65" s="32">
        <v>20</v>
      </c>
      <c r="H65" s="33"/>
      <c r="I65" s="33"/>
      <c r="J65" s="33"/>
      <c r="K65" s="33" t="e">
        <f t="shared" si="55"/>
        <v>#DIV/0!</v>
      </c>
      <c r="L65" s="35"/>
      <c r="M65" s="35"/>
      <c r="N65" s="35"/>
      <c r="O65" s="34"/>
      <c r="S65" s="66"/>
      <c r="U65" s="34">
        <f t="shared" si="52"/>
        <v>1.2857499999999999</v>
      </c>
      <c r="V65" s="34">
        <f t="shared" si="52"/>
        <v>1.4362306607897861</v>
      </c>
      <c r="W65" s="35"/>
      <c r="X65" s="35"/>
      <c r="AA65" s="65"/>
      <c r="AB65" s="63"/>
      <c r="AC65" s="63"/>
      <c r="AD65" s="34"/>
      <c r="AK65" s="33">
        <f>R65*U65</f>
        <v>0</v>
      </c>
      <c r="AL65" s="30">
        <f>I65/2.76</f>
        <v>0</v>
      </c>
      <c r="AM65" s="32" t="e">
        <f t="shared" si="45"/>
        <v>#DIV/0!</v>
      </c>
    </row>
    <row r="66" spans="1:39" x14ac:dyDescent="0.3">
      <c r="D66" s="32" t="s">
        <v>56</v>
      </c>
      <c r="G66" s="32">
        <v>50</v>
      </c>
      <c r="H66" s="33"/>
      <c r="I66" s="33"/>
      <c r="J66" s="33"/>
      <c r="K66" s="33"/>
      <c r="L66" s="35"/>
      <c r="M66" s="35"/>
      <c r="N66" s="35"/>
      <c r="U66" s="34">
        <f t="shared" si="52"/>
        <v>1.3718694142112708</v>
      </c>
      <c r="V66" s="34">
        <f t="shared" si="52"/>
        <v>1.4478906960347426</v>
      </c>
      <c r="W66" s="35"/>
      <c r="X66" s="35"/>
      <c r="AB66" s="63"/>
      <c r="AC66" s="63"/>
      <c r="AD66" s="35"/>
      <c r="AK66" s="33">
        <f>R66*U66</f>
        <v>0</v>
      </c>
      <c r="AL66" s="30">
        <f>I66/2.76</f>
        <v>0</v>
      </c>
      <c r="AM66" s="32" t="e">
        <f t="shared" si="45"/>
        <v>#DIV/0!</v>
      </c>
    </row>
    <row r="67" spans="1:39" x14ac:dyDescent="0.3">
      <c r="D67" s="32" t="s">
        <v>57</v>
      </c>
      <c r="G67" s="32">
        <v>50</v>
      </c>
      <c r="H67" s="33"/>
      <c r="I67" s="33"/>
      <c r="J67" s="33"/>
      <c r="K67" s="33"/>
      <c r="L67" s="35"/>
      <c r="M67" s="35"/>
      <c r="N67" s="35"/>
      <c r="U67" s="34">
        <f t="shared" si="52"/>
        <v>1.3989143165798161</v>
      </c>
      <c r="V67" s="34">
        <f t="shared" si="52"/>
        <v>1.4457674247628549</v>
      </c>
      <c r="W67" s="35"/>
      <c r="X67" s="35"/>
      <c r="AB67" s="63"/>
      <c r="AC67" s="63"/>
      <c r="AD67" s="35"/>
      <c r="AK67" s="33">
        <f>R67*U67</f>
        <v>0</v>
      </c>
      <c r="AL67" s="30">
        <f>I67/2.76</f>
        <v>0</v>
      </c>
      <c r="AM67" s="32" t="e">
        <f t="shared" si="45"/>
        <v>#DIV/0!</v>
      </c>
    </row>
    <row r="68" spans="1:39" x14ac:dyDescent="0.3">
      <c r="D68" s="32" t="s">
        <v>58</v>
      </c>
      <c r="G68" s="32">
        <v>50</v>
      </c>
      <c r="H68" s="33"/>
      <c r="I68" s="33"/>
      <c r="J68" s="33"/>
      <c r="K68" s="33"/>
      <c r="L68" s="35"/>
      <c r="M68" s="35"/>
      <c r="N68" s="35"/>
      <c r="U68" s="34">
        <f t="shared" si="52"/>
        <v>1.38</v>
      </c>
      <c r="V68" s="34">
        <f t="shared" si="52"/>
        <v>1.4331986779930224</v>
      </c>
      <c r="W68" s="35"/>
      <c r="X68" s="35"/>
      <c r="AB68" s="63"/>
      <c r="AC68" s="63"/>
      <c r="AD68" s="35"/>
      <c r="AK68" s="33">
        <f>R68*U68</f>
        <v>0</v>
      </c>
      <c r="AL68" s="30">
        <f>I68/2.76</f>
        <v>0</v>
      </c>
      <c r="AM68" s="32" t="e">
        <f t="shared" si="45"/>
        <v>#DIV/0!</v>
      </c>
    </row>
    <row r="69" spans="1:39" x14ac:dyDescent="0.3">
      <c r="D69" s="32" t="s">
        <v>59</v>
      </c>
      <c r="G69" s="32">
        <v>50</v>
      </c>
      <c r="H69" s="33"/>
      <c r="I69" s="33"/>
      <c r="J69" s="33"/>
      <c r="K69" s="33"/>
      <c r="L69" s="35"/>
      <c r="M69" s="35"/>
      <c r="N69" s="35"/>
      <c r="U69" s="34">
        <f t="shared" si="52"/>
        <v>1.38</v>
      </c>
      <c r="V69" s="34">
        <f t="shared" si="52"/>
        <v>1.4331986779930224</v>
      </c>
      <c r="W69" s="35"/>
      <c r="X69" s="35"/>
      <c r="AB69" s="63"/>
      <c r="AC69" s="63"/>
      <c r="AD69" s="35"/>
      <c r="AK69" s="33">
        <f>R69*U69</f>
        <v>0</v>
      </c>
      <c r="AL69" s="30">
        <f>I69/2.76</f>
        <v>0</v>
      </c>
      <c r="AM69" s="32" t="e">
        <f t="shared" si="45"/>
        <v>#DIV/0!</v>
      </c>
    </row>
    <row r="70" spans="1:39" x14ac:dyDescent="0.3">
      <c r="D70" s="32" t="s">
        <v>60</v>
      </c>
      <c r="G70" s="32">
        <v>50</v>
      </c>
      <c r="H70" s="33"/>
      <c r="I70" s="33"/>
      <c r="J70" s="33"/>
      <c r="K70" s="33"/>
      <c r="L70" s="35"/>
      <c r="M70" s="35"/>
      <c r="N70" s="35"/>
      <c r="U70" s="34">
        <f t="shared" si="52"/>
        <v>1.38</v>
      </c>
      <c r="V70" s="34">
        <f t="shared" si="52"/>
        <v>1.4331986779930224</v>
      </c>
      <c r="W70" s="35"/>
      <c r="X70" s="35"/>
      <c r="AB70" s="63"/>
      <c r="AC70" s="63"/>
      <c r="AD70" s="35"/>
      <c r="AK70" s="33">
        <f>R70*U70</f>
        <v>0</v>
      </c>
      <c r="AL70" s="30">
        <f>I70/2.76</f>
        <v>0</v>
      </c>
      <c r="AM70" s="32" t="e">
        <f t="shared" si="45"/>
        <v>#DIV/0!</v>
      </c>
    </row>
    <row r="71" spans="1:39" x14ac:dyDescent="0.3">
      <c r="H71" s="33"/>
      <c r="I71" s="33"/>
      <c r="J71" s="33"/>
      <c r="K71" s="33"/>
      <c r="L71" s="35"/>
      <c r="M71" s="35"/>
      <c r="N71" s="35"/>
      <c r="W71" s="35"/>
      <c r="X71" s="35"/>
      <c r="AK71" s="33">
        <f>R71*U71</f>
        <v>0</v>
      </c>
      <c r="AL71" s="30">
        <f>I71/2.76</f>
        <v>0</v>
      </c>
      <c r="AM71" s="32" t="e">
        <f t="shared" si="45"/>
        <v>#DIV/0!</v>
      </c>
    </row>
    <row r="72" spans="1:39" x14ac:dyDescent="0.3">
      <c r="A72" s="32" t="s">
        <v>65</v>
      </c>
      <c r="B72" s="32">
        <v>150</v>
      </c>
      <c r="C72" s="32" t="s">
        <v>37</v>
      </c>
      <c r="D72" s="32" t="s">
        <v>51</v>
      </c>
      <c r="E72" s="32" t="s">
        <v>113</v>
      </c>
      <c r="H72" s="33">
        <v>957.25</v>
      </c>
      <c r="I72" s="33"/>
      <c r="J72" s="33"/>
      <c r="K72" s="33"/>
      <c r="L72" s="35"/>
      <c r="M72" s="35"/>
      <c r="P72" s="35">
        <v>848.6</v>
      </c>
      <c r="W72" s="35"/>
      <c r="X72" s="35"/>
      <c r="AB72" s="63">
        <f>(P72*0.5)/9/(25*25)*100*100/1000</f>
        <v>0.75431111111111115</v>
      </c>
      <c r="AK72" s="33">
        <f>R72*U72</f>
        <v>0</v>
      </c>
      <c r="AL72" s="30">
        <f>I72/2.76</f>
        <v>0</v>
      </c>
      <c r="AM72" s="32" t="e">
        <f t="shared" si="45"/>
        <v>#DIV/0!</v>
      </c>
    </row>
    <row r="73" spans="1:39" x14ac:dyDescent="0.3">
      <c r="D73" s="32" t="s">
        <v>52</v>
      </c>
      <c r="F73" s="32" t="s">
        <v>212</v>
      </c>
      <c r="G73" s="32">
        <v>10</v>
      </c>
      <c r="H73" s="33">
        <v>5618.07</v>
      </c>
      <c r="I73" s="33">
        <v>1123.75</v>
      </c>
      <c r="J73" s="33">
        <f>I73/2.76</f>
        <v>407.15579710144931</v>
      </c>
      <c r="K73" s="33">
        <f>J73/Q73*100</f>
        <v>9.4249027106816978</v>
      </c>
      <c r="L73" s="35">
        <v>4.1900000000000004</v>
      </c>
      <c r="M73" s="35">
        <v>49.76</v>
      </c>
      <c r="N73" s="35">
        <v>46.55</v>
      </c>
      <c r="O73" s="34">
        <f>(N73-L73)/M73</f>
        <v>0.8512861736334405</v>
      </c>
      <c r="P73" s="33"/>
      <c r="Q73" s="32">
        <v>4320</v>
      </c>
      <c r="R73" s="33">
        <f>(H73-I73)*O73</f>
        <v>3825.952475884244</v>
      </c>
      <c r="S73" s="33">
        <f>Q73-J73</f>
        <v>3912.8442028985505</v>
      </c>
      <c r="T73" s="34">
        <f t="shared" ref="T73" si="58">R73/S73</f>
        <v>0.97779320552810689</v>
      </c>
      <c r="U73" s="34">
        <f t="shared" ref="U73:V136" si="59">U62</f>
        <v>0.83274999999999988</v>
      </c>
      <c r="V73" s="34">
        <f t="shared" si="59"/>
        <v>0.9649217490163926</v>
      </c>
      <c r="W73" s="35">
        <v>19.899999999999999</v>
      </c>
      <c r="X73" s="35">
        <v>9.9</v>
      </c>
      <c r="Y73" s="64">
        <v>4.5202839682225839</v>
      </c>
      <c r="Z73" s="64">
        <v>0.2956438853899413</v>
      </c>
      <c r="AA73" s="65">
        <f t="shared" ref="AA73:AA81" si="60">Y73/Z73</f>
        <v>15.289624415064523</v>
      </c>
      <c r="AB73" s="63">
        <f t="shared" ref="AB73" si="61">(Y73*10)*100*100*G73*T73/1000000</f>
        <v>4.4199029511856729</v>
      </c>
      <c r="AC73" s="63">
        <f t="shared" ref="AC73" si="62">(Z73*10)*100*100*G73*T73/1000000</f>
        <v>0.28907858239021494</v>
      </c>
      <c r="AD73" s="34">
        <f>(W73*0.5)/Q73*100*100*G73/1000</f>
        <v>0.23032407407407407</v>
      </c>
      <c r="AE73" s="63">
        <f>SUM(AB73:AB77)</f>
        <v>8.6415957391142779</v>
      </c>
      <c r="AF73" s="63">
        <f>SUM(AC73:AC77)</f>
        <v>0.60924884004438939</v>
      </c>
      <c r="AG73" s="63">
        <f>AE73/AF73</f>
        <v>14.184016728673063</v>
      </c>
      <c r="AH73" s="35">
        <f>SUM(AD73:AD77)</f>
        <v>0.47119046238305112</v>
      </c>
      <c r="AI73" s="35"/>
      <c r="AK73" s="33">
        <f>R73*U73</f>
        <v>3186.0619242926036</v>
      </c>
      <c r="AL73" s="30">
        <f>I73/2.76</f>
        <v>407.15579710144931</v>
      </c>
      <c r="AM73" s="32">
        <f t="shared" si="45"/>
        <v>11.331230909756448</v>
      </c>
    </row>
    <row r="74" spans="1:39" x14ac:dyDescent="0.3">
      <c r="D74" s="32" t="s">
        <v>53</v>
      </c>
      <c r="G74" s="32">
        <v>10</v>
      </c>
      <c r="H74" s="33">
        <v>4656.0200000000004</v>
      </c>
      <c r="I74" s="33">
        <v>257.24</v>
      </c>
      <c r="J74" s="33">
        <f t="shared" ref="J74:J81" si="63">I74/2.76</f>
        <v>93.202898550724655</v>
      </c>
      <c r="K74" s="33">
        <f>AM74</f>
        <v>2.4354991441659943</v>
      </c>
      <c r="L74" s="35">
        <v>4.1399999999999997</v>
      </c>
      <c r="M74" s="35">
        <v>55.66</v>
      </c>
      <c r="N74" s="35">
        <v>52.87</v>
      </c>
      <c r="O74" s="34">
        <f t="shared" ref="O74:O81" si="64">(N74-L74)/M74</f>
        <v>0.87549407114624511</v>
      </c>
      <c r="R74" s="33">
        <f t="shared" ref="R74:R81" si="65">(H74-I74)*O74</f>
        <v>3851.1058102766806</v>
      </c>
      <c r="S74" s="66">
        <f>(H74-I74)*O74/V74</f>
        <v>3054.7473160177456</v>
      </c>
      <c r="U74" s="34">
        <f t="shared" si="59"/>
        <v>0.96949999999999992</v>
      </c>
      <c r="V74" s="34">
        <f t="shared" si="59"/>
        <v>1.2606953740766651</v>
      </c>
      <c r="W74" s="35">
        <v>4.59</v>
      </c>
      <c r="X74" s="35">
        <v>29.33</v>
      </c>
      <c r="Y74" s="64">
        <v>1.1101607345191948</v>
      </c>
      <c r="Z74" s="64">
        <v>7.6568238898760008E-2</v>
      </c>
      <c r="AA74" s="65">
        <f t="shared" si="60"/>
        <v>14.498971773231856</v>
      </c>
      <c r="AB74" s="63">
        <f t="shared" ref="AB74" si="66">(Y74*10)*100*100*G74*U74/1000000</f>
        <v>1.0763008321163592</v>
      </c>
      <c r="AC74" s="63">
        <f t="shared" ref="AC74" si="67">(Z74*10)*100*100*G74*U74/1000000</f>
        <v>7.4232907612347826E-2</v>
      </c>
      <c r="AD74" s="34">
        <f>(W74*0.5)/(5*38.32*G74)*100*100*G74/1000</f>
        <v>0.11978079331941545</v>
      </c>
      <c r="AK74" s="33">
        <f>R74*U74</f>
        <v>3733.6470830632416</v>
      </c>
      <c r="AL74" s="30">
        <f>I74/2.76</f>
        <v>93.202898550724655</v>
      </c>
      <c r="AM74" s="32">
        <f t="shared" si="45"/>
        <v>2.4354991441659943</v>
      </c>
    </row>
    <row r="75" spans="1:39" x14ac:dyDescent="0.3">
      <c r="D75" s="32" t="s">
        <v>54</v>
      </c>
      <c r="G75" s="32">
        <v>10</v>
      </c>
      <c r="H75" s="33">
        <v>5170.9799999999996</v>
      </c>
      <c r="I75" s="33">
        <v>378.75</v>
      </c>
      <c r="J75" s="33">
        <f t="shared" si="63"/>
        <v>137.22826086956522</v>
      </c>
      <c r="K75" s="33">
        <f t="shared" ref="K75:K76" si="68">AM75</f>
        <v>2.7244885574452256</v>
      </c>
      <c r="L75" s="35">
        <v>4.33</v>
      </c>
      <c r="M75" s="35">
        <v>50.86</v>
      </c>
      <c r="N75" s="35">
        <v>48.11</v>
      </c>
      <c r="O75" s="34">
        <f t="shared" si="64"/>
        <v>0.86079433739677547</v>
      </c>
      <c r="R75" s="33">
        <f t="shared" si="65"/>
        <v>4125.1244475029489</v>
      </c>
      <c r="S75" s="66">
        <f t="shared" ref="S75:S76" si="69">(H75-I75)*O75/V75</f>
        <v>2946.2128646160982</v>
      </c>
      <c r="U75" s="34">
        <f t="shared" si="59"/>
        <v>1.1877499999999999</v>
      </c>
      <c r="V75" s="34">
        <f t="shared" si="59"/>
        <v>1.4001447407434584</v>
      </c>
      <c r="W75" s="35">
        <v>2.0499999999999998</v>
      </c>
      <c r="X75" s="35">
        <v>1.42</v>
      </c>
      <c r="Y75" s="64">
        <v>0.72193468622778278</v>
      </c>
      <c r="Z75" s="64">
        <v>4.8330689047734826E-2</v>
      </c>
      <c r="AA75" s="65">
        <f t="shared" si="60"/>
        <v>14.937396930442038</v>
      </c>
      <c r="AB75" s="63">
        <f>(Y75*10)*100*100*G75*U75/1000000</f>
        <v>0.85747792356704899</v>
      </c>
      <c r="AC75" s="63">
        <f t="shared" si="9"/>
        <v>5.7404775916447041E-2</v>
      </c>
      <c r="AD75" s="34">
        <f t="shared" ref="AD75:AD81" si="70">(W75*0.5)/(5*38.32*G75)*100*100*G75/1000</f>
        <v>5.3496868475991645E-2</v>
      </c>
      <c r="AK75" s="33">
        <f>R75*U75</f>
        <v>4899.6165625216272</v>
      </c>
      <c r="AL75" s="30">
        <f>I75/2.76</f>
        <v>137.22826086956522</v>
      </c>
      <c r="AM75" s="32">
        <f t="shared" si="45"/>
        <v>2.7244885574452256</v>
      </c>
    </row>
    <row r="76" spans="1:39" x14ac:dyDescent="0.3">
      <c r="D76" s="32" t="s">
        <v>55</v>
      </c>
      <c r="G76" s="32">
        <v>20</v>
      </c>
      <c r="H76" s="33">
        <v>7246.78</v>
      </c>
      <c r="I76" s="33">
        <v>840.13</v>
      </c>
      <c r="J76" s="33">
        <f t="shared" si="63"/>
        <v>304.39492753623193</v>
      </c>
      <c r="K76" s="33">
        <f t="shared" si="68"/>
        <v>4.1555444883080908</v>
      </c>
      <c r="L76" s="35">
        <v>4.1399999999999997</v>
      </c>
      <c r="M76" s="35">
        <v>50.37</v>
      </c>
      <c r="N76" s="35">
        <v>47.07</v>
      </c>
      <c r="O76" s="34">
        <f t="shared" si="64"/>
        <v>0.85229303156640857</v>
      </c>
      <c r="R76" s="33">
        <f t="shared" si="65"/>
        <v>5460.3431506849311</v>
      </c>
      <c r="S76" s="66">
        <f t="shared" si="69"/>
        <v>3801.856693187623</v>
      </c>
      <c r="U76" s="34">
        <f t="shared" si="59"/>
        <v>1.2857499999999999</v>
      </c>
      <c r="V76" s="34">
        <f t="shared" si="59"/>
        <v>1.4362306607897861</v>
      </c>
      <c r="W76" s="35">
        <v>0.69</v>
      </c>
      <c r="X76" s="35">
        <v>2.2400000000000002</v>
      </c>
      <c r="Y76" s="64">
        <v>0.39670591863377797</v>
      </c>
      <c r="Z76" s="64">
        <v>3.1900280014985877E-2</v>
      </c>
      <c r="AA76" s="65">
        <f t="shared" si="60"/>
        <v>12.435813053911012</v>
      </c>
      <c r="AB76" s="63">
        <f>(Y76*10)*100*100*G76*U76/1000000</f>
        <v>1.0201292697667601</v>
      </c>
      <c r="AC76" s="63">
        <f t="shared" si="9"/>
        <v>8.2031570058536174E-2</v>
      </c>
      <c r="AD76" s="34">
        <f t="shared" si="70"/>
        <v>1.80062630480167E-2</v>
      </c>
      <c r="AK76" s="33">
        <f>R76*U76</f>
        <v>7020.6362059931498</v>
      </c>
      <c r="AL76" s="30">
        <f>I76/2.76</f>
        <v>304.39492753623193</v>
      </c>
      <c r="AM76" s="32">
        <f t="shared" si="45"/>
        <v>4.1555444883080908</v>
      </c>
    </row>
    <row r="77" spans="1:39" x14ac:dyDescent="0.3">
      <c r="D77" s="32" t="s">
        <v>56</v>
      </c>
      <c r="G77" s="32">
        <v>50</v>
      </c>
      <c r="H77" s="33">
        <v>10399.6</v>
      </c>
      <c r="I77" s="33">
        <v>1327.58</v>
      </c>
      <c r="J77" s="33">
        <f t="shared" si="63"/>
        <v>481.00724637681162</v>
      </c>
      <c r="K77" s="33">
        <f>AM77</f>
        <v>4.681532526606941</v>
      </c>
      <c r="L77" s="35">
        <v>4.2</v>
      </c>
      <c r="M77" s="35">
        <v>50.87</v>
      </c>
      <c r="N77" s="35">
        <v>44.23</v>
      </c>
      <c r="O77" s="34">
        <f t="shared" si="64"/>
        <v>0.78690780420680162</v>
      </c>
      <c r="R77" s="33">
        <f t="shared" si="65"/>
        <v>7138.8433379201888</v>
      </c>
      <c r="S77" s="66">
        <f>(H77-I77)*O77/V77</f>
        <v>4930.5126122233814</v>
      </c>
      <c r="U77" s="34">
        <f t="shared" si="59"/>
        <v>1.3718694142112708</v>
      </c>
      <c r="V77" s="34">
        <f t="shared" si="59"/>
        <v>1.4478906960347426</v>
      </c>
      <c r="W77" s="35">
        <v>1.9</v>
      </c>
      <c r="X77" s="35">
        <v>0.74</v>
      </c>
      <c r="Y77" s="64">
        <v>0.18482586598190531</v>
      </c>
      <c r="Z77" s="64">
        <v>1.5526405496557262E-2</v>
      </c>
      <c r="AA77" s="65">
        <f t="shared" si="60"/>
        <v>11.903970047857346</v>
      </c>
      <c r="AB77" s="63">
        <f>(Y77*10)*100*100*G77*U77/1000000</f>
        <v>1.2677847624784364</v>
      </c>
      <c r="AC77" s="63">
        <f t="shared" si="9"/>
        <v>0.10650100406684335</v>
      </c>
      <c r="AD77" s="34">
        <f t="shared" si="70"/>
        <v>4.9582463465553242E-2</v>
      </c>
      <c r="AK77" s="33">
        <f>R77*U77</f>
        <v>9793.560828138603</v>
      </c>
      <c r="AL77" s="30">
        <f>I77/2.76</f>
        <v>481.00724637681162</v>
      </c>
      <c r="AM77" s="32">
        <f t="shared" si="45"/>
        <v>4.681532526606941</v>
      </c>
    </row>
    <row r="78" spans="1:39" x14ac:dyDescent="0.3">
      <c r="D78" s="32" t="s">
        <v>57</v>
      </c>
      <c r="G78" s="32">
        <v>50</v>
      </c>
      <c r="H78" s="33">
        <v>5199.5600000000004</v>
      </c>
      <c r="I78" s="33">
        <v>33.22</v>
      </c>
      <c r="J78" s="33">
        <f t="shared" si="63"/>
        <v>12.036231884057971</v>
      </c>
      <c r="K78" s="33">
        <f>AM78</f>
        <v>0.19264171473266625</v>
      </c>
      <c r="L78" s="35">
        <v>4.1399999999999997</v>
      </c>
      <c r="M78" s="35">
        <v>53.44</v>
      </c>
      <c r="N78" s="35">
        <v>50.25</v>
      </c>
      <c r="O78" s="34">
        <f t="shared" si="64"/>
        <v>0.86283682634730541</v>
      </c>
      <c r="R78" s="33">
        <f t="shared" si="65"/>
        <v>4457.7084094311376</v>
      </c>
      <c r="S78" s="66">
        <f>(H78-I78)*O78/V78</f>
        <v>3083.2818149588084</v>
      </c>
      <c r="U78" s="34">
        <f t="shared" si="59"/>
        <v>1.3989143165798161</v>
      </c>
      <c r="V78" s="34">
        <f t="shared" si="59"/>
        <v>1.4457674247628549</v>
      </c>
      <c r="W78" s="35">
        <v>0.47</v>
      </c>
      <c r="X78" s="35">
        <v>0.99</v>
      </c>
      <c r="Y78" s="64">
        <v>8.9897124706625739E-2</v>
      </c>
      <c r="Z78" s="64">
        <v>9.7001880265621173E-3</v>
      </c>
      <c r="AA78" s="65">
        <f t="shared" si="60"/>
        <v>9.2675651709492222</v>
      </c>
      <c r="AB78" s="63">
        <f>(Y78*10)*100*100*G78*U78/1000000</f>
        <v>0.62879187385729918</v>
      </c>
      <c r="AC78" s="63">
        <f t="shared" si="9"/>
        <v>6.7848659519369289E-2</v>
      </c>
      <c r="AD78" s="34">
        <f t="shared" si="70"/>
        <v>1.2265135699373694E-2</v>
      </c>
      <c r="AK78" s="33">
        <f>R78*U78</f>
        <v>6235.9521130914591</v>
      </c>
      <c r="AL78" s="30">
        <f>I78/2.76</f>
        <v>12.036231884057971</v>
      </c>
      <c r="AM78" s="32">
        <f t="shared" si="45"/>
        <v>0.19264171473266625</v>
      </c>
    </row>
    <row r="79" spans="1:39" x14ac:dyDescent="0.3">
      <c r="D79" s="32" t="s">
        <v>58</v>
      </c>
      <c r="G79" s="32">
        <v>50</v>
      </c>
      <c r="H79" s="33">
        <v>5130.58</v>
      </c>
      <c r="I79" s="33">
        <v>86.52</v>
      </c>
      <c r="J79" s="33">
        <f t="shared" si="63"/>
        <v>31.347826086956523</v>
      </c>
      <c r="K79" s="33">
        <f>AM79</f>
        <v>0.52724032507340313</v>
      </c>
      <c r="L79" s="35">
        <v>4.1900000000000004</v>
      </c>
      <c r="M79" s="35">
        <v>52.48</v>
      </c>
      <c r="N79" s="35">
        <v>48.78</v>
      </c>
      <c r="O79" s="34">
        <f t="shared" si="64"/>
        <v>0.84965701219512202</v>
      </c>
      <c r="R79" s="33">
        <f t="shared" si="65"/>
        <v>4285.7209489329271</v>
      </c>
      <c r="S79" s="66">
        <f t="shared" ref="S79:S80" si="71">(H79-I79)*O79/V79</f>
        <v>2990.3187986012031</v>
      </c>
      <c r="U79" s="34">
        <f t="shared" si="59"/>
        <v>1.38</v>
      </c>
      <c r="V79" s="34">
        <f t="shared" si="59"/>
        <v>1.4331986779930224</v>
      </c>
      <c r="W79" s="35">
        <v>0</v>
      </c>
      <c r="X79" s="35">
        <v>0.97</v>
      </c>
      <c r="Y79" s="64">
        <v>0.12705307068988134</v>
      </c>
      <c r="Z79" s="64">
        <v>1.1417325778889417E-2</v>
      </c>
      <c r="AA79" s="65">
        <f t="shared" si="60"/>
        <v>11.128093666627423</v>
      </c>
      <c r="AB79" s="63">
        <f>(Y79*10)*100*100*G79*U79/1000000</f>
        <v>0.87666618776018113</v>
      </c>
      <c r="AC79" s="63">
        <f t="shared" si="9"/>
        <v>7.8779547874336969E-2</v>
      </c>
      <c r="AD79" s="34">
        <f t="shared" si="70"/>
        <v>0</v>
      </c>
      <c r="AK79" s="33">
        <f>R79*U79</f>
        <v>5914.2949095274389</v>
      </c>
      <c r="AL79" s="30">
        <f>I79/2.76</f>
        <v>31.347826086956523</v>
      </c>
      <c r="AM79" s="32">
        <f t="shared" si="45"/>
        <v>0.52724032507340313</v>
      </c>
    </row>
    <row r="80" spans="1:39" x14ac:dyDescent="0.3">
      <c r="D80" s="32" t="s">
        <v>59</v>
      </c>
      <c r="G80" s="32">
        <v>50</v>
      </c>
      <c r="H80" s="33">
        <v>4166.58</v>
      </c>
      <c r="I80" s="33">
        <v>3.91</v>
      </c>
      <c r="J80" s="33">
        <f t="shared" si="63"/>
        <v>1.4166666666666667</v>
      </c>
      <c r="K80" s="33">
        <f t="shared" ref="K80:K81" si="72">AM80</f>
        <v>2.9805299650424281E-2</v>
      </c>
      <c r="L80" s="35">
        <v>4.18</v>
      </c>
      <c r="M80" s="35">
        <v>50.28</v>
      </c>
      <c r="N80" s="35">
        <v>45.77</v>
      </c>
      <c r="O80" s="34">
        <f t="shared" si="64"/>
        <v>0.82716785998408915</v>
      </c>
      <c r="R80" s="33">
        <f t="shared" si="65"/>
        <v>3443.2268357199682</v>
      </c>
      <c r="S80" s="66">
        <f t="shared" si="71"/>
        <v>2402.4769828434992</v>
      </c>
      <c r="U80" s="34">
        <f t="shared" si="59"/>
        <v>1.38</v>
      </c>
      <c r="V80" s="34">
        <f t="shared" si="59"/>
        <v>1.4331986779930224</v>
      </c>
      <c r="W80" s="35">
        <v>0.74</v>
      </c>
      <c r="X80" s="35">
        <v>0</v>
      </c>
      <c r="Y80" s="64">
        <v>9.7997150521058091E-2</v>
      </c>
      <c r="Z80" s="64">
        <v>1.0688150405308379E-2</v>
      </c>
      <c r="AA80" s="65">
        <f t="shared" si="60"/>
        <v>9.1687660450948378</v>
      </c>
      <c r="AB80" s="63">
        <f>(Y80*10)*100*100*G80*U80/1000000</f>
        <v>0.6761803385953008</v>
      </c>
      <c r="AC80" s="63">
        <f t="shared" si="9"/>
        <v>7.37482377966278E-2</v>
      </c>
      <c r="AD80" s="34">
        <f t="shared" si="70"/>
        <v>1.9311064718162838E-2</v>
      </c>
      <c r="AK80" s="33">
        <f>R80*U80</f>
        <v>4751.6530332935554</v>
      </c>
      <c r="AL80" s="30">
        <f>I80/2.76</f>
        <v>1.4166666666666667</v>
      </c>
      <c r="AM80" s="32">
        <f t="shared" si="45"/>
        <v>2.9805299650424281E-2</v>
      </c>
    </row>
    <row r="81" spans="1:39" x14ac:dyDescent="0.3">
      <c r="D81" s="32" t="s">
        <v>60</v>
      </c>
      <c r="G81" s="32">
        <v>50</v>
      </c>
      <c r="H81" s="33">
        <v>3179.41</v>
      </c>
      <c r="I81" s="33">
        <v>3.45</v>
      </c>
      <c r="J81" s="33">
        <f t="shared" si="63"/>
        <v>1.2500000000000002</v>
      </c>
      <c r="K81" s="33">
        <f t="shared" si="72"/>
        <v>3.4338764425234834E-2</v>
      </c>
      <c r="L81" s="35">
        <v>4.18</v>
      </c>
      <c r="M81" s="35">
        <v>50.14</v>
      </c>
      <c r="N81" s="35">
        <v>45.81</v>
      </c>
      <c r="O81" s="34">
        <f t="shared" si="64"/>
        <v>0.83027522935779818</v>
      </c>
      <c r="R81" s="33">
        <f t="shared" si="65"/>
        <v>2636.9209174311927</v>
      </c>
      <c r="S81" s="66">
        <f>(H81-I81)*O81/V81</f>
        <v>1839.8851170612304</v>
      </c>
      <c r="U81" s="34">
        <f t="shared" si="59"/>
        <v>1.38</v>
      </c>
      <c r="V81" s="34">
        <f t="shared" si="59"/>
        <v>1.4331986779930224</v>
      </c>
      <c r="W81" s="35">
        <v>0.08</v>
      </c>
      <c r="X81" s="35">
        <v>0</v>
      </c>
      <c r="Y81" s="64">
        <v>9.3570245595978166E-2</v>
      </c>
      <c r="Z81" s="64">
        <v>1.0576603834092825E-2</v>
      </c>
      <c r="AA81" s="65">
        <f t="shared" si="60"/>
        <v>8.8469084276714671</v>
      </c>
      <c r="AB81" s="63">
        <f>(Y81*10)*100*100*G81*U81/1000000</f>
        <v>0.64563469461224932</v>
      </c>
      <c r="AC81" s="63">
        <f t="shared" si="9"/>
        <v>7.2978566455240493E-2</v>
      </c>
      <c r="AD81" s="34">
        <f t="shared" si="70"/>
        <v>2.0876826722338207E-3</v>
      </c>
      <c r="AK81" s="33">
        <f>R81*U81</f>
        <v>3638.9508660550455</v>
      </c>
      <c r="AL81" s="30">
        <f>I81/2.76</f>
        <v>1.2500000000000002</v>
      </c>
      <c r="AM81" s="32">
        <f t="shared" si="45"/>
        <v>3.4338764425234834E-2</v>
      </c>
    </row>
    <row r="82" spans="1:39" x14ac:dyDescent="0.3">
      <c r="H82" s="33"/>
      <c r="I82" s="33"/>
      <c r="J82" s="33"/>
      <c r="K82" s="33"/>
      <c r="L82" s="35"/>
      <c r="M82" s="35"/>
      <c r="N82" s="35"/>
      <c r="W82" s="35"/>
      <c r="X82" s="35"/>
      <c r="AK82" s="33">
        <f>R82*U82</f>
        <v>0</v>
      </c>
      <c r="AL82" s="30">
        <f>I82/2.76</f>
        <v>0</v>
      </c>
      <c r="AM82" s="32" t="e">
        <f t="shared" si="45"/>
        <v>#DIV/0!</v>
      </c>
    </row>
    <row r="83" spans="1:39" x14ac:dyDescent="0.3">
      <c r="A83" s="32" t="s">
        <v>66</v>
      </c>
      <c r="B83" s="32">
        <v>150</v>
      </c>
      <c r="C83" s="32" t="s">
        <v>31</v>
      </c>
      <c r="D83" s="32" t="s">
        <v>51</v>
      </c>
      <c r="E83" s="32" t="s">
        <v>113</v>
      </c>
      <c r="H83" s="33">
        <v>990.8599999999999</v>
      </c>
      <c r="I83" s="33"/>
      <c r="J83" s="33"/>
      <c r="K83" s="33"/>
      <c r="L83" s="35"/>
      <c r="M83" s="35"/>
      <c r="P83" s="35">
        <v>855.94</v>
      </c>
      <c r="W83" s="35"/>
      <c r="X83" s="35"/>
      <c r="AB83" s="63">
        <f>(P83*0.5)/9/(25*25)*100*100/1000</f>
        <v>0.7608355555555556</v>
      </c>
      <c r="AK83" s="33">
        <f>R83*U83</f>
        <v>0</v>
      </c>
      <c r="AL83" s="30">
        <f>I83/2.76</f>
        <v>0</v>
      </c>
      <c r="AM83" s="32" t="e">
        <f t="shared" si="45"/>
        <v>#DIV/0!</v>
      </c>
    </row>
    <row r="84" spans="1:39" x14ac:dyDescent="0.3">
      <c r="D84" s="32" t="s">
        <v>52</v>
      </c>
      <c r="F84" s="32" t="s">
        <v>212</v>
      </c>
      <c r="G84" s="32">
        <v>10</v>
      </c>
      <c r="H84" s="33">
        <v>5400.27</v>
      </c>
      <c r="I84" s="33">
        <v>2712.73</v>
      </c>
      <c r="J84" s="33">
        <f>I84/2.76</f>
        <v>982.87318840579724</v>
      </c>
      <c r="K84" s="33">
        <f>J84/Q84*100</f>
        <v>22.491377309057146</v>
      </c>
      <c r="L84" s="35">
        <v>4.1900000000000004</v>
      </c>
      <c r="M84" s="35">
        <v>52.1</v>
      </c>
      <c r="N84" s="35">
        <v>45.22</v>
      </c>
      <c r="O84" s="34">
        <f t="shared" ref="O84:O87" si="73">(N84-L84)/M84</f>
        <v>0.78752399232245685</v>
      </c>
      <c r="P84" s="33"/>
      <c r="Q84" s="32">
        <v>4370</v>
      </c>
      <c r="R84" s="33">
        <f>(H84-I84)*O84</f>
        <v>2116.5022303262958</v>
      </c>
      <c r="S84" s="33">
        <f>Q84-J84</f>
        <v>3387.126811594203</v>
      </c>
      <c r="T84" s="34">
        <f t="shared" ref="T84" si="74">R84/S84</f>
        <v>0.62486654561661714</v>
      </c>
      <c r="U84" s="34">
        <f t="shared" ref="U84:V84" si="75">U73</f>
        <v>0.83274999999999988</v>
      </c>
      <c r="V84" s="34">
        <f t="shared" si="75"/>
        <v>0.9649217490163926</v>
      </c>
      <c r="W84" s="35">
        <v>23.92</v>
      </c>
      <c r="X84" s="35">
        <v>9.23</v>
      </c>
      <c r="Y84" s="64">
        <v>6.5049665252579869</v>
      </c>
      <c r="Z84" s="64">
        <v>0.44925619230879837</v>
      </c>
      <c r="AA84" s="65">
        <f>Y84/Z84</f>
        <v>14.479414277692955</v>
      </c>
      <c r="AB84" s="63">
        <f t="shared" ref="AB84" si="76">(Y84*10)*100*100*G84*T84/1000000</f>
        <v>4.0647359619896868</v>
      </c>
      <c r="AC84" s="63">
        <f t="shared" ref="AC84" si="77">(Z84*10)*100*100*G84*T84/1000000</f>
        <v>0.28072516498487349</v>
      </c>
      <c r="AD84" s="34">
        <f>(W84*0.5)/Q84*100*100*G84/1000</f>
        <v>0.27368421052631586</v>
      </c>
      <c r="AE84" s="63">
        <f>SUM(AB84:AB88)</f>
        <v>8.3149080508333562</v>
      </c>
      <c r="AF84" s="63">
        <f>SUM(AC84:AC88)</f>
        <v>0.63395598843810796</v>
      </c>
      <c r="AG84" s="63">
        <f>AE84/AF84</f>
        <v>13.115907417041658</v>
      </c>
      <c r="AH84" s="35">
        <f>SUM(AD84:AD88)</f>
        <v>0.45087627733216135</v>
      </c>
      <c r="AI84" s="35"/>
      <c r="AK84" s="33">
        <f>R84*U84</f>
        <v>1762.5172323042225</v>
      </c>
      <c r="AL84" s="30">
        <f>I84/2.76</f>
        <v>982.87318840579724</v>
      </c>
      <c r="AM84" s="32">
        <f t="shared" si="45"/>
        <v>35.800852985842511</v>
      </c>
    </row>
    <row r="85" spans="1:39" x14ac:dyDescent="0.3">
      <c r="D85" s="32" t="s">
        <v>53</v>
      </c>
      <c r="G85" s="32">
        <v>10</v>
      </c>
      <c r="H85" s="33">
        <v>1545.86</v>
      </c>
      <c r="I85" s="33">
        <v>1099.0899999999999</v>
      </c>
      <c r="J85" s="33">
        <f t="shared" ref="J85:J87" si="78">I85/2.76</f>
        <v>398.22101449275362</v>
      </c>
      <c r="K85" s="33">
        <f>AM85</f>
        <v>51.521199386293794</v>
      </c>
      <c r="L85" s="35">
        <v>4.13</v>
      </c>
      <c r="M85" s="35">
        <v>51.81</v>
      </c>
      <c r="N85" s="35">
        <v>48.95</v>
      </c>
      <c r="O85" s="34">
        <f t="shared" si="73"/>
        <v>0.86508396062536186</v>
      </c>
      <c r="R85" s="33">
        <f t="shared" ref="R85:R87" si="79">(H85-I85)*O85</f>
        <v>386.49356108859291</v>
      </c>
      <c r="S85" s="66">
        <f>(H85-I85)*O85/V85</f>
        <v>306.57172940898693</v>
      </c>
      <c r="U85" s="34">
        <f t="shared" si="59"/>
        <v>0.96949999999999992</v>
      </c>
      <c r="V85" s="34">
        <f t="shared" si="59"/>
        <v>1.2606953740766651</v>
      </c>
      <c r="W85" s="35">
        <v>5.52</v>
      </c>
      <c r="X85" s="35">
        <v>9.86</v>
      </c>
      <c r="Y85" s="64">
        <v>1.7964286482201406</v>
      </c>
      <c r="Z85" s="64">
        <v>0.13482051708843434</v>
      </c>
      <c r="AA85" s="65">
        <f>Y85/Z85</f>
        <v>13.324593964001702</v>
      </c>
      <c r="AB85" s="63">
        <f t="shared" ref="AB85:AB143" si="80">(Y85*10)*100*100*G85*U85/1000000</f>
        <v>1.7416375744494261</v>
      </c>
      <c r="AC85" s="63">
        <f t="shared" ref="AC85:AC143" si="81">(Z85*10)*100*100*G85*U85/1000000</f>
        <v>0.13070849131723708</v>
      </c>
      <c r="AD85" s="34">
        <f>(W85*0.5)/(5*38.32*G85)*100*100*G85/1000</f>
        <v>0.1440501043841336</v>
      </c>
      <c r="AK85" s="33">
        <f>R85*U85</f>
        <v>374.70550747539079</v>
      </c>
      <c r="AL85" s="30">
        <f>I85/2.76</f>
        <v>398.22101449275362</v>
      </c>
      <c r="AM85" s="32">
        <f t="shared" si="45"/>
        <v>51.521199386293794</v>
      </c>
    </row>
    <row r="86" spans="1:39" x14ac:dyDescent="0.3">
      <c r="D86" s="32" t="s">
        <v>54</v>
      </c>
      <c r="G86" s="32">
        <v>10</v>
      </c>
      <c r="H86" s="33">
        <v>1931.08</v>
      </c>
      <c r="I86" s="33">
        <v>138.74</v>
      </c>
      <c r="J86" s="33">
        <f t="shared" si="78"/>
        <v>50.268115942028992</v>
      </c>
      <c r="K86" s="33">
        <f t="shared" ref="K86:K87" si="82">AM86</f>
        <v>2.7068359379170208</v>
      </c>
      <c r="L86" s="35">
        <v>4.1500000000000004</v>
      </c>
      <c r="M86" s="35">
        <v>50.24</v>
      </c>
      <c r="N86" s="35">
        <v>46.79</v>
      </c>
      <c r="O86" s="34">
        <f t="shared" si="73"/>
        <v>0.84872611464968151</v>
      </c>
      <c r="R86" s="33">
        <f t="shared" si="79"/>
        <v>1521.20576433121</v>
      </c>
      <c r="S86" s="66">
        <f t="shared" ref="S86:S87" si="83">(H86-I86)*O86/V86</f>
        <v>1086.4632205978003</v>
      </c>
      <c r="U86" s="34">
        <f t="shared" si="59"/>
        <v>1.1877499999999999</v>
      </c>
      <c r="V86" s="34">
        <f t="shared" si="59"/>
        <v>1.4001447407434584</v>
      </c>
      <c r="W86" s="35">
        <v>0.94</v>
      </c>
      <c r="X86" s="35">
        <v>8.9</v>
      </c>
      <c r="Y86" s="64">
        <v>0.79774873814094338</v>
      </c>
      <c r="Z86" s="64">
        <v>6.4269197618083043E-2</v>
      </c>
      <c r="AA86" s="65">
        <f>Y86/Z86</f>
        <v>12.412613938041224</v>
      </c>
      <c r="AB86" s="63">
        <f t="shared" si="80"/>
        <v>0.9475260637269054</v>
      </c>
      <c r="AC86" s="63">
        <f t="shared" si="81"/>
        <v>7.6335739470878142E-2</v>
      </c>
      <c r="AD86" s="34">
        <f t="shared" ref="AD86:AD87" si="84">(W86*0.5)/(5*38.32*G86)*100*100*G86/1000</f>
        <v>2.4530271398747389E-2</v>
      </c>
      <c r="AK86" s="33">
        <f>R86*U86</f>
        <v>1806.8121465843944</v>
      </c>
      <c r="AL86" s="30">
        <f>I86/2.76</f>
        <v>50.268115942028992</v>
      </c>
      <c r="AM86" s="32">
        <f t="shared" si="45"/>
        <v>2.7068359379170208</v>
      </c>
    </row>
    <row r="87" spans="1:39" x14ac:dyDescent="0.3">
      <c r="D87" s="32" t="s">
        <v>55</v>
      </c>
      <c r="G87" s="32">
        <v>20</v>
      </c>
      <c r="H87" s="33">
        <v>1622.57</v>
      </c>
      <c r="I87" s="33">
        <v>162.9</v>
      </c>
      <c r="J87" s="33">
        <f t="shared" si="78"/>
        <v>59.021739130434788</v>
      </c>
      <c r="K87" s="33">
        <f t="shared" si="82"/>
        <v>3.5987906272406578</v>
      </c>
      <c r="L87" s="35">
        <v>4.12</v>
      </c>
      <c r="M87" s="35">
        <v>52.48</v>
      </c>
      <c r="N87" s="35">
        <v>48.33</v>
      </c>
      <c r="O87" s="34">
        <f t="shared" si="73"/>
        <v>0.84241615853658547</v>
      </c>
      <c r="R87" s="33">
        <f t="shared" si="79"/>
        <v>1229.6495941310975</v>
      </c>
      <c r="S87" s="66">
        <f t="shared" si="83"/>
        <v>856.16442240197739</v>
      </c>
      <c r="U87" s="34">
        <f t="shared" si="59"/>
        <v>1.2857499999999999</v>
      </c>
      <c r="V87" s="34">
        <f t="shared" si="59"/>
        <v>1.4362306607897861</v>
      </c>
      <c r="W87" s="35">
        <v>0.33</v>
      </c>
      <c r="X87" s="35">
        <v>1</v>
      </c>
      <c r="Y87" s="64">
        <v>0.60704197964897444</v>
      </c>
      <c r="Z87" s="64">
        <v>5.6848762459700261E-2</v>
      </c>
      <c r="AA87" s="65">
        <f>Y87/Z87</f>
        <v>10.678191633094965</v>
      </c>
      <c r="AB87" s="63">
        <f t="shared" si="80"/>
        <v>1.5610084506673378</v>
      </c>
      <c r="AC87" s="63">
        <f t="shared" si="81"/>
        <v>0.14618659266511921</v>
      </c>
      <c r="AD87" s="34">
        <f t="shared" si="84"/>
        <v>8.6116910229645082E-3</v>
      </c>
      <c r="AK87" s="33">
        <f>R87*U87</f>
        <v>1581.0219656540585</v>
      </c>
      <c r="AL87" s="30">
        <f>I87/2.76</f>
        <v>59.021739130434788</v>
      </c>
      <c r="AM87" s="32">
        <f t="shared" si="45"/>
        <v>3.5987906272406578</v>
      </c>
    </row>
    <row r="88" spans="1:39" x14ac:dyDescent="0.3">
      <c r="D88" s="32" t="s">
        <v>56</v>
      </c>
      <c r="G88" s="32">
        <v>50</v>
      </c>
      <c r="H88" s="33"/>
      <c r="I88" s="33"/>
      <c r="J88" s="33"/>
      <c r="K88" s="33"/>
      <c r="L88" s="35"/>
      <c r="M88" s="35"/>
      <c r="N88" s="35"/>
      <c r="S88" s="66"/>
      <c r="U88" s="34">
        <f t="shared" si="59"/>
        <v>1.3718694142112708</v>
      </c>
      <c r="V88" s="34">
        <f t="shared" si="59"/>
        <v>1.4478906960347426</v>
      </c>
      <c r="W88" s="35"/>
      <c r="X88" s="35"/>
      <c r="AB88" s="63"/>
      <c r="AC88" s="63"/>
      <c r="AD88" s="35"/>
      <c r="AK88" s="33">
        <f>R88*U88</f>
        <v>0</v>
      </c>
      <c r="AL88" s="30">
        <f>I88/2.76</f>
        <v>0</v>
      </c>
      <c r="AM88" s="32" t="e">
        <f t="shared" si="45"/>
        <v>#DIV/0!</v>
      </c>
    </row>
    <row r="89" spans="1:39" x14ac:dyDescent="0.3">
      <c r="D89" s="32" t="s">
        <v>57</v>
      </c>
      <c r="G89" s="32">
        <v>50</v>
      </c>
      <c r="H89" s="33"/>
      <c r="I89" s="33"/>
      <c r="J89" s="33"/>
      <c r="K89" s="33"/>
      <c r="L89" s="35"/>
      <c r="M89" s="35"/>
      <c r="N89" s="35"/>
      <c r="U89" s="34">
        <f t="shared" si="59"/>
        <v>1.3989143165798161</v>
      </c>
      <c r="V89" s="34">
        <f t="shared" si="59"/>
        <v>1.4457674247628549</v>
      </c>
      <c r="W89" s="35"/>
      <c r="X89" s="35"/>
      <c r="AB89" s="63"/>
      <c r="AC89" s="63"/>
      <c r="AD89" s="35"/>
      <c r="AK89" s="33">
        <f>R89*U89</f>
        <v>0</v>
      </c>
      <c r="AL89" s="30">
        <f>I89/2.76</f>
        <v>0</v>
      </c>
      <c r="AM89" s="32" t="e">
        <f t="shared" si="45"/>
        <v>#DIV/0!</v>
      </c>
    </row>
    <row r="90" spans="1:39" x14ac:dyDescent="0.3">
      <c r="D90" s="32" t="s">
        <v>58</v>
      </c>
      <c r="G90" s="32">
        <v>50</v>
      </c>
      <c r="H90" s="33"/>
      <c r="I90" s="33"/>
      <c r="J90" s="33"/>
      <c r="K90" s="33"/>
      <c r="L90" s="35"/>
      <c r="M90" s="35"/>
      <c r="N90" s="35"/>
      <c r="U90" s="34">
        <f t="shared" si="59"/>
        <v>1.38</v>
      </c>
      <c r="V90" s="34">
        <f t="shared" si="59"/>
        <v>1.4331986779930224</v>
      </c>
      <c r="W90" s="35"/>
      <c r="X90" s="35"/>
      <c r="AB90" s="63"/>
      <c r="AC90" s="63"/>
      <c r="AD90" s="35"/>
      <c r="AK90" s="33">
        <f>R90*U90</f>
        <v>0</v>
      </c>
      <c r="AL90" s="30">
        <f>I90/2.76</f>
        <v>0</v>
      </c>
      <c r="AM90" s="32" t="e">
        <f t="shared" si="45"/>
        <v>#DIV/0!</v>
      </c>
    </row>
    <row r="91" spans="1:39" x14ac:dyDescent="0.3">
      <c r="D91" s="32" t="s">
        <v>59</v>
      </c>
      <c r="G91" s="32">
        <v>50</v>
      </c>
      <c r="H91" s="33"/>
      <c r="I91" s="33"/>
      <c r="J91" s="33"/>
      <c r="K91" s="33"/>
      <c r="L91" s="35"/>
      <c r="M91" s="35"/>
      <c r="N91" s="35"/>
      <c r="U91" s="34">
        <f t="shared" si="59"/>
        <v>1.38</v>
      </c>
      <c r="V91" s="34">
        <f t="shared" si="59"/>
        <v>1.4331986779930224</v>
      </c>
      <c r="W91" s="35"/>
      <c r="X91" s="35"/>
      <c r="AB91" s="63"/>
      <c r="AC91" s="63"/>
      <c r="AD91" s="35"/>
      <c r="AK91" s="33">
        <f>R91*U91</f>
        <v>0</v>
      </c>
      <c r="AL91" s="30">
        <f>I91/2.76</f>
        <v>0</v>
      </c>
      <c r="AM91" s="32" t="e">
        <f t="shared" si="45"/>
        <v>#DIV/0!</v>
      </c>
    </row>
    <row r="92" spans="1:39" x14ac:dyDescent="0.3">
      <c r="D92" s="32" t="s">
        <v>60</v>
      </c>
      <c r="G92" s="32">
        <v>50</v>
      </c>
      <c r="H92" s="33"/>
      <c r="I92" s="33"/>
      <c r="J92" s="33"/>
      <c r="K92" s="33"/>
      <c r="L92" s="35"/>
      <c r="M92" s="35"/>
      <c r="N92" s="35"/>
      <c r="U92" s="34">
        <f t="shared" si="59"/>
        <v>1.38</v>
      </c>
      <c r="V92" s="34">
        <f t="shared" si="59"/>
        <v>1.4331986779930224</v>
      </c>
      <c r="W92" s="35"/>
      <c r="X92" s="35"/>
      <c r="AB92" s="63"/>
      <c r="AC92" s="63"/>
      <c r="AD92" s="35"/>
      <c r="AK92" s="33">
        <f>R92*U92</f>
        <v>0</v>
      </c>
      <c r="AL92" s="30">
        <f>I92/2.76</f>
        <v>0</v>
      </c>
      <c r="AM92" s="32" t="e">
        <f t="shared" si="45"/>
        <v>#DIV/0!</v>
      </c>
    </row>
    <row r="93" spans="1:39" x14ac:dyDescent="0.3">
      <c r="H93" s="33"/>
      <c r="I93" s="33"/>
      <c r="J93" s="33"/>
      <c r="K93" s="33"/>
      <c r="L93" s="35"/>
      <c r="M93" s="35"/>
      <c r="N93" s="35"/>
      <c r="W93" s="35"/>
      <c r="X93" s="35"/>
      <c r="AK93" s="33">
        <f>R93*U93</f>
        <v>0</v>
      </c>
      <c r="AL93" s="30">
        <f>I93/2.76</f>
        <v>0</v>
      </c>
      <c r="AM93" s="32" t="e">
        <f t="shared" si="45"/>
        <v>#DIV/0!</v>
      </c>
    </row>
    <row r="94" spans="1:39" x14ac:dyDescent="0.3">
      <c r="A94" s="32" t="s">
        <v>67</v>
      </c>
      <c r="B94" s="32">
        <v>150</v>
      </c>
      <c r="C94" s="32" t="s">
        <v>25</v>
      </c>
      <c r="D94" s="32" t="s">
        <v>51</v>
      </c>
      <c r="E94" s="32" t="s">
        <v>113</v>
      </c>
      <c r="H94" s="33">
        <v>983.26</v>
      </c>
      <c r="I94" s="33"/>
      <c r="J94" s="33"/>
      <c r="K94" s="33"/>
      <c r="L94" s="35"/>
      <c r="M94" s="35"/>
      <c r="P94" s="35">
        <v>655.51</v>
      </c>
      <c r="W94" s="35"/>
      <c r="X94" s="35"/>
      <c r="AB94" s="63">
        <f>(P94*0.5)/9/(25*25)*100*100/1000</f>
        <v>0.58267555555555539</v>
      </c>
      <c r="AK94" s="33">
        <f>R94*U94</f>
        <v>0</v>
      </c>
      <c r="AL94" s="30">
        <f>I94/2.76</f>
        <v>0</v>
      </c>
      <c r="AM94" s="32" t="e">
        <f t="shared" si="45"/>
        <v>#DIV/0!</v>
      </c>
    </row>
    <row r="95" spans="1:39" x14ac:dyDescent="0.3">
      <c r="D95" s="32" t="s">
        <v>52</v>
      </c>
      <c r="E95" s="32" t="s">
        <v>114</v>
      </c>
      <c r="F95" s="32" t="s">
        <v>212</v>
      </c>
      <c r="G95" s="32">
        <v>10</v>
      </c>
      <c r="H95" s="33">
        <v>7105.41</v>
      </c>
      <c r="I95" s="33">
        <v>4372.74</v>
      </c>
      <c r="J95" s="33">
        <f>I95/2.76</f>
        <v>1584.3260869565217</v>
      </c>
      <c r="K95" s="33">
        <f>J95/Q95*100</f>
        <v>34.743993135011443</v>
      </c>
      <c r="L95" s="35">
        <v>4.18</v>
      </c>
      <c r="M95" s="35">
        <v>51.8</v>
      </c>
      <c r="N95" s="35">
        <v>42.83</v>
      </c>
      <c r="O95" s="34">
        <f t="shared" ref="O95:O99" si="85">(N95-L95)/M95</f>
        <v>0.74613899613899615</v>
      </c>
      <c r="P95" s="33"/>
      <c r="Q95" s="32">
        <v>4560</v>
      </c>
      <c r="R95" s="33">
        <f>(H95-I95)*O95</f>
        <v>2038.9516505791507</v>
      </c>
      <c r="S95" s="33">
        <f>Q95-J95</f>
        <v>2975.673913043478</v>
      </c>
      <c r="T95" s="34">
        <f t="shared" ref="T95" si="86">R95/S95</f>
        <v>0.68520668264142537</v>
      </c>
      <c r="U95" s="34">
        <f t="shared" ref="U95:V95" si="87">U84</f>
        <v>0.83274999999999988</v>
      </c>
      <c r="V95" s="34">
        <f t="shared" si="87"/>
        <v>0.9649217490163926</v>
      </c>
      <c r="W95" s="35">
        <v>18.03</v>
      </c>
      <c r="X95" s="35">
        <v>4.05</v>
      </c>
      <c r="Y95" s="64">
        <v>7.7182143158469394</v>
      </c>
      <c r="Z95" s="64">
        <v>0.46156325462263065</v>
      </c>
      <c r="AA95" s="65">
        <f>Y95/Z95</f>
        <v>16.721899411505952</v>
      </c>
      <c r="AB95" s="63">
        <f t="shared" ref="AB95" si="88">(Y95*10)*100*100*G95*T95/1000000</f>
        <v>5.2885720272770396</v>
      </c>
      <c r="AC95" s="63">
        <f t="shared" ref="AC95" si="89">(Z95*10)*100*100*G95*T95/1000000</f>
        <v>0.31626622652915232</v>
      </c>
      <c r="AD95" s="34">
        <f>(W95*0.5)/Q95*100*100*G95/1000</f>
        <v>0.19769736842105262</v>
      </c>
      <c r="AE95" s="63">
        <f>SUM(AB95:AB99)</f>
        <v>10.435923233796149</v>
      </c>
      <c r="AF95" s="63">
        <f>SUM(AC95:AC99)</f>
        <v>0.72608367173777466</v>
      </c>
      <c r="AG95" s="63">
        <f>AE95/AF95</f>
        <v>14.372893428135217</v>
      </c>
      <c r="AH95" s="35">
        <f>SUM(AD95:AD99)</f>
        <v>0.35923181518514447</v>
      </c>
      <c r="AI95" s="35"/>
      <c r="AK95" s="33">
        <f>R95*U95</f>
        <v>1697.9369870197875</v>
      </c>
      <c r="AL95" s="30">
        <f>I95/2.76</f>
        <v>1584.3260869565217</v>
      </c>
      <c r="AM95" s="32">
        <f t="shared" si="45"/>
        <v>48.269320625698178</v>
      </c>
    </row>
    <row r="96" spans="1:39" x14ac:dyDescent="0.3">
      <c r="D96" s="32" t="s">
        <v>53</v>
      </c>
      <c r="G96" s="32">
        <v>10</v>
      </c>
      <c r="H96" s="33">
        <v>2562.36</v>
      </c>
      <c r="I96" s="33">
        <v>575.58000000000004</v>
      </c>
      <c r="J96" s="33">
        <f t="shared" ref="J96:J100" si="90">I96/2.76</f>
        <v>208.54347826086959</v>
      </c>
      <c r="K96" s="33">
        <f>AM96</f>
        <v>11.765148722501301</v>
      </c>
      <c r="L96" s="35">
        <v>4.1399999999999997</v>
      </c>
      <c r="M96" s="35">
        <v>56.96</v>
      </c>
      <c r="N96" s="35">
        <v>50.39</v>
      </c>
      <c r="O96" s="34">
        <f t="shared" si="85"/>
        <v>0.8119733146067416</v>
      </c>
      <c r="R96" s="33">
        <f t="shared" ref="R96:R99" si="91">(H96-I96)*O96</f>
        <v>1613.2123419943823</v>
      </c>
      <c r="S96" s="66">
        <f>(H96-I96)*O96/V96</f>
        <v>1279.6210529255738</v>
      </c>
      <c r="U96" s="34">
        <f t="shared" si="59"/>
        <v>0.96949999999999992</v>
      </c>
      <c r="V96" s="34">
        <f t="shared" si="59"/>
        <v>1.2606953740766651</v>
      </c>
      <c r="W96" s="35">
        <v>2.66</v>
      </c>
      <c r="X96" s="35">
        <v>2.79</v>
      </c>
      <c r="Y96" s="64">
        <v>1.2162107172629781</v>
      </c>
      <c r="Z96" s="64">
        <v>7.410558568937195E-2</v>
      </c>
      <c r="AA96" s="65">
        <f>Y96/Z96</f>
        <v>16.411862964837269</v>
      </c>
      <c r="AB96" s="63">
        <f t="shared" ref="AB96" si="92">(Y96*10)*100*100*G96*U96/1000000</f>
        <v>1.1791162903864569</v>
      </c>
      <c r="AC96" s="63">
        <f t="shared" ref="AC96" si="93">(Z96*10)*100*100*G96*U96/1000000</f>
        <v>7.1845365325846094E-2</v>
      </c>
      <c r="AD96" s="34">
        <f>(W96*0.5)/(5*38.32*G96)*100*100*G96/1000</f>
        <v>6.9415448851774531E-2</v>
      </c>
      <c r="AK96" s="33">
        <f>R96*U96</f>
        <v>1564.0093655635535</v>
      </c>
      <c r="AL96" s="30">
        <f>I96/2.76</f>
        <v>208.54347826086959</v>
      </c>
      <c r="AM96" s="32">
        <f t="shared" si="45"/>
        <v>11.765148722501301</v>
      </c>
    </row>
    <row r="97" spans="1:39" x14ac:dyDescent="0.3">
      <c r="D97" s="32" t="s">
        <v>54</v>
      </c>
      <c r="E97" s="32" t="s">
        <v>115</v>
      </c>
      <c r="G97" s="32">
        <v>10</v>
      </c>
      <c r="H97" s="33">
        <v>2675.79</v>
      </c>
      <c r="I97" s="33">
        <v>512.16</v>
      </c>
      <c r="J97" s="33">
        <f t="shared" si="90"/>
        <v>185.56521739130434</v>
      </c>
      <c r="K97" s="33">
        <f>AM97</f>
        <v>8.1160568392256138</v>
      </c>
      <c r="L97" s="35">
        <v>4.13</v>
      </c>
      <c r="M97" s="35">
        <v>53.97</v>
      </c>
      <c r="N97" s="35">
        <v>48.25</v>
      </c>
      <c r="O97" s="34">
        <f t="shared" si="85"/>
        <v>0.81749119881415599</v>
      </c>
      <c r="R97" s="33">
        <f t="shared" si="91"/>
        <v>1768.7484824902724</v>
      </c>
      <c r="S97" s="66">
        <f t="shared" ref="S97:S98" si="94">(H97-I97)*O97/V97</f>
        <v>1263.2611693781676</v>
      </c>
      <c r="U97" s="34">
        <f t="shared" si="59"/>
        <v>1.1877499999999999</v>
      </c>
      <c r="V97" s="34">
        <f t="shared" si="59"/>
        <v>1.4001447407434584</v>
      </c>
      <c r="W97" s="35">
        <v>1.89</v>
      </c>
      <c r="X97" s="35">
        <v>1.34</v>
      </c>
      <c r="Y97" s="64">
        <v>0.93852159396234258</v>
      </c>
      <c r="Z97" s="64">
        <v>5.8722655119575445E-2</v>
      </c>
      <c r="AA97" s="65">
        <f>Y97/Z97</f>
        <v>15.982274508045574</v>
      </c>
      <c r="AB97" s="63">
        <f t="shared" si="80"/>
        <v>1.1147290232287723</v>
      </c>
      <c r="AC97" s="63">
        <f t="shared" si="81"/>
        <v>6.9747833618275717E-2</v>
      </c>
      <c r="AD97" s="34">
        <f t="shared" ref="AD97:AD99" si="95">(W97*0.5)/(5*38.32*G97)*100*100*G97/1000</f>
        <v>4.932150313152401E-2</v>
      </c>
      <c r="AK97" s="33">
        <f>R97*U97</f>
        <v>2100.8310100778208</v>
      </c>
      <c r="AL97" s="30">
        <f>I97/2.76</f>
        <v>185.56521739130434</v>
      </c>
      <c r="AM97" s="32">
        <f t="shared" si="45"/>
        <v>8.1160568392256138</v>
      </c>
    </row>
    <row r="98" spans="1:39" x14ac:dyDescent="0.3">
      <c r="D98" s="32" t="s">
        <v>55</v>
      </c>
      <c r="E98" s="32" t="s">
        <v>116</v>
      </c>
      <c r="G98" s="32">
        <v>20</v>
      </c>
      <c r="H98" s="33">
        <v>3739.62</v>
      </c>
      <c r="I98" s="33">
        <v>440.32</v>
      </c>
      <c r="J98" s="33">
        <f t="shared" si="90"/>
        <v>159.53623188405797</v>
      </c>
      <c r="K98" s="33">
        <f t="shared" ref="K98:K99" si="96">AM98</f>
        <v>4.4438281927572101</v>
      </c>
      <c r="L98" s="35">
        <v>4.16</v>
      </c>
      <c r="M98" s="35">
        <v>53.16</v>
      </c>
      <c r="N98" s="35">
        <v>47.15</v>
      </c>
      <c r="O98" s="34">
        <f t="shared" si="85"/>
        <v>0.80869074492099313</v>
      </c>
      <c r="R98" s="33">
        <f t="shared" si="91"/>
        <v>2668.1133747178324</v>
      </c>
      <c r="S98" s="66">
        <f t="shared" si="94"/>
        <v>1857.7192700026551</v>
      </c>
      <c r="U98" s="34">
        <f t="shared" si="59"/>
        <v>1.2857499999999999</v>
      </c>
      <c r="V98" s="34">
        <f t="shared" si="59"/>
        <v>1.4362306607897861</v>
      </c>
      <c r="W98" s="35">
        <v>1.22</v>
      </c>
      <c r="X98" s="35">
        <v>2.78</v>
      </c>
      <c r="Y98" s="64">
        <v>0.48907287386592346</v>
      </c>
      <c r="Z98" s="64">
        <v>4.0363799859014865E-2</v>
      </c>
      <c r="AA98" s="65">
        <f>Y98/Z98</f>
        <v>12.116621219364553</v>
      </c>
      <c r="AB98" s="63">
        <f t="shared" si="80"/>
        <v>1.2576508951462224</v>
      </c>
      <c r="AC98" s="63">
        <f t="shared" si="81"/>
        <v>0.10379551133745672</v>
      </c>
      <c r="AD98" s="34">
        <f t="shared" si="95"/>
        <v>3.1837160751565757E-2</v>
      </c>
      <c r="AK98" s="33">
        <f>R98*U98</f>
        <v>3430.5267715434529</v>
      </c>
      <c r="AL98" s="30">
        <f>I98/2.76</f>
        <v>159.53623188405797</v>
      </c>
      <c r="AM98" s="32">
        <f t="shared" si="45"/>
        <v>4.4438281927572101</v>
      </c>
    </row>
    <row r="99" spans="1:39" x14ac:dyDescent="0.3">
      <c r="D99" s="32" t="s">
        <v>56</v>
      </c>
      <c r="E99" s="32" t="s">
        <v>117</v>
      </c>
      <c r="G99" s="32">
        <v>50</v>
      </c>
      <c r="H99" s="33">
        <v>2075.1799999999998</v>
      </c>
      <c r="I99" s="33">
        <v>70.73</v>
      </c>
      <c r="J99" s="33">
        <f t="shared" si="90"/>
        <v>25.626811594202902</v>
      </c>
      <c r="K99" s="33">
        <f t="shared" si="96"/>
        <v>1.1418515496075203</v>
      </c>
      <c r="L99" s="35">
        <v>4.18</v>
      </c>
      <c r="M99" s="35">
        <v>53.48</v>
      </c>
      <c r="N99" s="35">
        <v>47.33</v>
      </c>
      <c r="O99" s="34">
        <f t="shared" si="85"/>
        <v>0.80684367988032912</v>
      </c>
      <c r="R99" s="33">
        <f t="shared" si="91"/>
        <v>1617.2778141361255</v>
      </c>
      <c r="S99" s="66">
        <f>(H99-I99)*O99/V99</f>
        <v>1116.9888849795595</v>
      </c>
      <c r="U99" s="34">
        <f t="shared" si="59"/>
        <v>1.3718694142112708</v>
      </c>
      <c r="V99" s="34">
        <f t="shared" si="59"/>
        <v>1.4478906960347426</v>
      </c>
      <c r="W99" s="35">
        <v>0.42</v>
      </c>
      <c r="X99" s="35">
        <v>0</v>
      </c>
      <c r="Y99" s="64">
        <v>0.23265406768692556</v>
      </c>
      <c r="Z99" s="64">
        <v>2.3971484927605712E-2</v>
      </c>
      <c r="AA99" s="65">
        <f>Y99/Z99</f>
        <v>9.7054508049686845</v>
      </c>
      <c r="AB99" s="63">
        <f t="shared" si="80"/>
        <v>1.5958549977576595</v>
      </c>
      <c r="AC99" s="63">
        <f t="shared" si="81"/>
        <v>0.1644287349270438</v>
      </c>
      <c r="AD99" s="34">
        <f t="shared" si="95"/>
        <v>1.0960334029227555E-2</v>
      </c>
      <c r="AK99" s="33">
        <f>R99*U99</f>
        <v>2218.6939674958112</v>
      </c>
      <c r="AL99" s="30">
        <f>I99/2.76</f>
        <v>25.626811594202902</v>
      </c>
      <c r="AM99" s="32">
        <f t="shared" si="45"/>
        <v>1.1418515496075203</v>
      </c>
    </row>
    <row r="100" spans="1:39" x14ac:dyDescent="0.3">
      <c r="D100" s="32" t="s">
        <v>57</v>
      </c>
      <c r="G100" s="32">
        <v>50</v>
      </c>
      <c r="H100" s="33"/>
      <c r="I100" s="33"/>
      <c r="J100" s="33"/>
      <c r="K100" s="33"/>
      <c r="L100" s="35"/>
      <c r="M100" s="35"/>
      <c r="N100" s="35"/>
      <c r="U100" s="34">
        <f t="shared" si="59"/>
        <v>1.3989143165798161</v>
      </c>
      <c r="V100" s="34">
        <f t="shared" si="59"/>
        <v>1.4457674247628549</v>
      </c>
      <c r="W100" s="35"/>
      <c r="X100" s="35"/>
      <c r="AB100" s="63"/>
      <c r="AC100" s="63"/>
      <c r="AD100" s="35"/>
      <c r="AK100" s="33">
        <f>R100*U100</f>
        <v>0</v>
      </c>
      <c r="AL100" s="30">
        <f>I100/2.76</f>
        <v>0</v>
      </c>
      <c r="AM100" s="32" t="e">
        <f t="shared" si="45"/>
        <v>#DIV/0!</v>
      </c>
    </row>
    <row r="101" spans="1:39" x14ac:dyDescent="0.3">
      <c r="D101" s="32" t="s">
        <v>58</v>
      </c>
      <c r="G101" s="32">
        <v>50</v>
      </c>
      <c r="H101" s="33"/>
      <c r="I101" s="33"/>
      <c r="J101" s="33"/>
      <c r="K101" s="33"/>
      <c r="L101" s="35"/>
      <c r="M101" s="35"/>
      <c r="N101" s="35"/>
      <c r="U101" s="34">
        <f t="shared" si="59"/>
        <v>1.38</v>
      </c>
      <c r="V101" s="34">
        <f t="shared" si="59"/>
        <v>1.4331986779930224</v>
      </c>
      <c r="W101" s="35"/>
      <c r="X101" s="35"/>
      <c r="AB101" s="63"/>
      <c r="AC101" s="63"/>
      <c r="AD101" s="35"/>
      <c r="AK101" s="33">
        <f>R101*U101</f>
        <v>0</v>
      </c>
      <c r="AL101" s="30">
        <f>I101/2.76</f>
        <v>0</v>
      </c>
      <c r="AM101" s="32" t="e">
        <f t="shared" si="45"/>
        <v>#DIV/0!</v>
      </c>
    </row>
    <row r="102" spans="1:39" x14ac:dyDescent="0.3">
      <c r="D102" s="32" t="s">
        <v>59</v>
      </c>
      <c r="G102" s="32">
        <v>50</v>
      </c>
      <c r="H102" s="33"/>
      <c r="I102" s="33"/>
      <c r="J102" s="33"/>
      <c r="K102" s="33"/>
      <c r="L102" s="35"/>
      <c r="M102" s="35"/>
      <c r="N102" s="35"/>
      <c r="U102" s="34">
        <f t="shared" si="59"/>
        <v>1.38</v>
      </c>
      <c r="V102" s="34">
        <f t="shared" si="59"/>
        <v>1.4331986779930224</v>
      </c>
      <c r="W102" s="35"/>
      <c r="X102" s="35"/>
      <c r="AB102" s="63"/>
      <c r="AC102" s="63"/>
      <c r="AD102" s="35"/>
      <c r="AK102" s="33">
        <f>R102*U102</f>
        <v>0</v>
      </c>
      <c r="AL102" s="30">
        <f>I102/2.76</f>
        <v>0</v>
      </c>
      <c r="AM102" s="32" t="e">
        <f t="shared" si="45"/>
        <v>#DIV/0!</v>
      </c>
    </row>
    <row r="103" spans="1:39" x14ac:dyDescent="0.3">
      <c r="D103" s="32" t="s">
        <v>60</v>
      </c>
      <c r="G103" s="32">
        <v>50</v>
      </c>
      <c r="H103" s="33"/>
      <c r="I103" s="33"/>
      <c r="J103" s="33"/>
      <c r="K103" s="33"/>
      <c r="L103" s="35"/>
      <c r="M103" s="35"/>
      <c r="N103" s="35"/>
      <c r="U103" s="34">
        <f t="shared" si="59"/>
        <v>1.38</v>
      </c>
      <c r="V103" s="34">
        <f t="shared" si="59"/>
        <v>1.4331986779930224</v>
      </c>
      <c r="W103" s="35"/>
      <c r="X103" s="35"/>
      <c r="AB103" s="63"/>
      <c r="AC103" s="63"/>
      <c r="AD103" s="35"/>
      <c r="AK103" s="33">
        <f>R103*U103</f>
        <v>0</v>
      </c>
      <c r="AL103" s="30">
        <f>I103/2.76</f>
        <v>0</v>
      </c>
      <c r="AM103" s="32" t="e">
        <f t="shared" si="45"/>
        <v>#DIV/0!</v>
      </c>
    </row>
    <row r="104" spans="1:39" x14ac:dyDescent="0.3">
      <c r="H104" s="33"/>
      <c r="I104" s="33"/>
      <c r="J104" s="33"/>
      <c r="K104" s="33"/>
      <c r="L104" s="35"/>
      <c r="M104" s="35"/>
      <c r="N104" s="35"/>
      <c r="W104" s="35"/>
      <c r="X104" s="35"/>
      <c r="AK104" s="33">
        <f>R104*U104</f>
        <v>0</v>
      </c>
      <c r="AL104" s="30">
        <f>I104/2.76</f>
        <v>0</v>
      </c>
      <c r="AM104" s="32" t="e">
        <f t="shared" si="45"/>
        <v>#DIV/0!</v>
      </c>
    </row>
    <row r="105" spans="1:39" x14ac:dyDescent="0.3">
      <c r="A105" s="32" t="s">
        <v>68</v>
      </c>
      <c r="B105" s="32">
        <v>150</v>
      </c>
      <c r="C105" s="32" t="s">
        <v>18</v>
      </c>
      <c r="D105" s="32" t="s">
        <v>51</v>
      </c>
      <c r="E105" s="32" t="s">
        <v>118</v>
      </c>
      <c r="H105" s="33">
        <v>1477.81</v>
      </c>
      <c r="I105" s="33"/>
      <c r="J105" s="33"/>
      <c r="K105" s="33"/>
      <c r="L105" s="35"/>
      <c r="M105" s="35"/>
      <c r="P105" s="35">
        <v>811.64</v>
      </c>
      <c r="W105" s="35"/>
      <c r="X105" s="35"/>
      <c r="AB105" s="63">
        <f>(P105*0.5)/9/(25*25)*100*100/1000</f>
        <v>0.72145777777777786</v>
      </c>
      <c r="AK105" s="33">
        <f>R105*U105</f>
        <v>0</v>
      </c>
      <c r="AL105" s="30">
        <f>I105/2.76</f>
        <v>0</v>
      </c>
      <c r="AM105" s="32" t="e">
        <f t="shared" si="45"/>
        <v>#DIV/0!</v>
      </c>
    </row>
    <row r="106" spans="1:39" x14ac:dyDescent="0.3">
      <c r="D106" s="32" t="s">
        <v>52</v>
      </c>
      <c r="E106" s="32" t="s">
        <v>114</v>
      </c>
      <c r="F106" s="32" t="s">
        <v>212</v>
      </c>
      <c r="G106" s="32">
        <v>10</v>
      </c>
      <c r="H106" s="33">
        <v>6606.5</v>
      </c>
      <c r="I106" s="33">
        <v>2892.88</v>
      </c>
      <c r="J106" s="33">
        <f t="shared" ref="J106:J109" si="97">I106/2.76</f>
        <v>1048.144927536232</v>
      </c>
      <c r="K106" s="33">
        <f>J106/Q106*100</f>
        <v>22.638119385231793</v>
      </c>
      <c r="L106" s="35">
        <v>4.1900000000000004</v>
      </c>
      <c r="M106" s="35">
        <v>50.28</v>
      </c>
      <c r="N106" s="35">
        <v>43.78</v>
      </c>
      <c r="O106" s="34">
        <f t="shared" ref="O106:O109" si="98">(N106-L106)/M106</f>
        <v>0.78739061256961018</v>
      </c>
      <c r="P106" s="33"/>
      <c r="Q106" s="32">
        <v>4630</v>
      </c>
      <c r="R106" s="33">
        <f>(H106-I106)*O106</f>
        <v>2924.0695266507555</v>
      </c>
      <c r="S106" s="33">
        <f>Q106-J106</f>
        <v>3581.855072463768</v>
      </c>
      <c r="T106" s="34">
        <f t="shared" ref="T106" si="99">R106/S106</f>
        <v>0.81635618066463067</v>
      </c>
      <c r="U106" s="34">
        <f t="shared" ref="U106:V106" si="100">U95</f>
        <v>0.83274999999999988</v>
      </c>
      <c r="V106" s="34">
        <f t="shared" si="100"/>
        <v>0.9649217490163926</v>
      </c>
      <c r="W106" s="35">
        <v>31.8</v>
      </c>
      <c r="X106" s="35">
        <v>7.08</v>
      </c>
      <c r="Y106" s="64">
        <v>7.431051704365526</v>
      </c>
      <c r="Z106" s="64">
        <v>0.32519810504673319</v>
      </c>
      <c r="AA106" s="65">
        <f>Y106/Z106</f>
        <v>22.850845650830692</v>
      </c>
      <c r="AB106" s="63">
        <f t="shared" ref="AB106" si="101">(Y106*10)*100*100*G106*T106/1000000</f>
        <v>6.0663849876972353</v>
      </c>
      <c r="AC106" s="63">
        <f t="shared" ref="AC106" si="102">(Z106*10)*100*100*G106*T106/1000000</f>
        <v>0.26547748299532647</v>
      </c>
      <c r="AD106" s="34">
        <f>(W106*0.5)/Q106*100*100*G106/1000</f>
        <v>0.34341252699784025</v>
      </c>
      <c r="AE106" s="63">
        <f>SUM(AB106:AB110)</f>
        <v>9.6806920227611037</v>
      </c>
      <c r="AF106" s="63">
        <f>SUM(AC106:AC110)</f>
        <v>0.45927861725895369</v>
      </c>
      <c r="AG106" s="63">
        <f>AE106/AF106</f>
        <v>21.078037729117419</v>
      </c>
      <c r="AH106" s="35">
        <f>SUM(AD106:AD110)</f>
        <v>0.49764008440911378</v>
      </c>
      <c r="AI106" s="35"/>
      <c r="AK106" s="33">
        <f>R106*U106</f>
        <v>2435.0188983184162</v>
      </c>
      <c r="AL106" s="30">
        <f>I106/2.76</f>
        <v>1048.144927536232</v>
      </c>
      <c r="AM106" s="32">
        <f t="shared" si="45"/>
        <v>30.091749338808469</v>
      </c>
    </row>
    <row r="107" spans="1:39" x14ac:dyDescent="0.3">
      <c r="D107" s="32" t="s">
        <v>53</v>
      </c>
      <c r="G107" s="32">
        <v>10</v>
      </c>
      <c r="H107" s="33">
        <v>2643.36</v>
      </c>
      <c r="I107" s="33">
        <v>610.29999999999995</v>
      </c>
      <c r="J107" s="33">
        <f t="shared" si="97"/>
        <v>221.12318840579709</v>
      </c>
      <c r="K107" s="33">
        <f>AM107</f>
        <v>11.520408275929068</v>
      </c>
      <c r="L107" s="35">
        <v>4.09</v>
      </c>
      <c r="M107" s="35">
        <v>50.51</v>
      </c>
      <c r="N107" s="35">
        <v>47.61</v>
      </c>
      <c r="O107" s="34">
        <f t="shared" si="98"/>
        <v>0.86161156206691736</v>
      </c>
      <c r="R107" s="33">
        <f t="shared" ref="R107:R109" si="103">(H107-I107)*O107</f>
        <v>1751.7080023757671</v>
      </c>
      <c r="S107" s="66">
        <f>(H107-I107)*O107/V107</f>
        <v>1389.4776156045789</v>
      </c>
      <c r="U107" s="34">
        <f t="shared" si="59"/>
        <v>0.96949999999999992</v>
      </c>
      <c r="V107" s="34">
        <f t="shared" si="59"/>
        <v>1.2606953740766651</v>
      </c>
      <c r="W107" s="35">
        <v>3.15</v>
      </c>
      <c r="X107" s="35">
        <v>2.66</v>
      </c>
      <c r="Y107" s="64">
        <v>1.0330903114224705</v>
      </c>
      <c r="Z107" s="64">
        <v>4.7643907579581361E-2</v>
      </c>
      <c r="AA107" s="65">
        <f>Y107/Z107</f>
        <v>21.683576429932032</v>
      </c>
      <c r="AB107" s="63">
        <f t="shared" ref="AB107" si="104">(Y107*10)*100*100*G107*U107/1000000</f>
        <v>1.0015810569240848</v>
      </c>
      <c r="AC107" s="64">
        <f t="shared" si="81"/>
        <v>4.6190768398404122E-2</v>
      </c>
      <c r="AD107" s="34">
        <f>(W107*0.5)/(5*38.32*G107)*100*100*G107/1000</f>
        <v>8.2202505219206676E-2</v>
      </c>
      <c r="AK107" s="33">
        <f>R107*U107</f>
        <v>1698.2809083033062</v>
      </c>
      <c r="AL107" s="30">
        <f>I107/2.76</f>
        <v>221.12318840579709</v>
      </c>
      <c r="AM107" s="32">
        <f t="shared" si="45"/>
        <v>11.520408275929068</v>
      </c>
    </row>
    <row r="108" spans="1:39" x14ac:dyDescent="0.3">
      <c r="D108" s="32" t="s">
        <v>54</v>
      </c>
      <c r="G108" s="32">
        <v>10</v>
      </c>
      <c r="H108" s="33">
        <v>2466.62</v>
      </c>
      <c r="I108" s="33">
        <v>510.51</v>
      </c>
      <c r="J108" s="33">
        <f t="shared" si="97"/>
        <v>184.96739130434784</v>
      </c>
      <c r="K108" s="33">
        <f t="shared" ref="K108:K109" si="105">AM108</f>
        <v>8.5636078645243412</v>
      </c>
      <c r="L108" s="35">
        <v>4.2300000000000004</v>
      </c>
      <c r="M108" s="35">
        <v>50.48</v>
      </c>
      <c r="N108" s="35">
        <v>47.14</v>
      </c>
      <c r="O108" s="34">
        <f t="shared" si="98"/>
        <v>0.850039619651347</v>
      </c>
      <c r="R108" s="33">
        <f t="shared" si="103"/>
        <v>1662.7710003961963</v>
      </c>
      <c r="S108" s="66">
        <f t="shared" ref="S108:S109" si="106">(H108-I108)*O108/V108</f>
        <v>1187.5707932261967</v>
      </c>
      <c r="U108" s="34">
        <f t="shared" si="59"/>
        <v>1.1877499999999999</v>
      </c>
      <c r="V108" s="34">
        <f t="shared" si="59"/>
        <v>1.4001447407434584</v>
      </c>
      <c r="W108" s="35">
        <v>2.08</v>
      </c>
      <c r="X108" s="35">
        <v>6.59</v>
      </c>
      <c r="Y108" s="64">
        <v>0.96792166920639344</v>
      </c>
      <c r="Z108" s="64">
        <v>4.2872058528328205E-2</v>
      </c>
      <c r="AA108" s="65">
        <f>Y108/Z108</f>
        <v>22.576981428751036</v>
      </c>
      <c r="AB108" s="63">
        <f t="shared" si="80"/>
        <v>1.1496489625998938</v>
      </c>
      <c r="AC108" s="64">
        <f t="shared" si="81"/>
        <v>5.0921287517021817E-2</v>
      </c>
      <c r="AD108" s="34">
        <f t="shared" ref="AD108:AD109" si="107">(W108*0.5)/(5*38.32*G108)*100*100*G108/1000</f>
        <v>5.4279749478079321E-2</v>
      </c>
      <c r="AK108" s="33">
        <f>R108*U108</f>
        <v>1974.956255720582</v>
      </c>
      <c r="AL108" s="30">
        <f>I108/2.76</f>
        <v>184.96739130434784</v>
      </c>
      <c r="AM108" s="32">
        <f t="shared" si="45"/>
        <v>8.5636078645243412</v>
      </c>
    </row>
    <row r="109" spans="1:39" x14ac:dyDescent="0.3">
      <c r="D109" s="32" t="s">
        <v>55</v>
      </c>
      <c r="G109" s="32">
        <v>20</v>
      </c>
      <c r="H109" s="33">
        <v>1318.15</v>
      </c>
      <c r="I109" s="33">
        <v>45.79</v>
      </c>
      <c r="J109" s="33">
        <f t="shared" si="97"/>
        <v>16.590579710144929</v>
      </c>
      <c r="K109" s="33">
        <f t="shared" si="105"/>
        <v>1.2487658307411675</v>
      </c>
      <c r="L109" s="35">
        <v>4.16</v>
      </c>
      <c r="M109" s="35">
        <v>52.87</v>
      </c>
      <c r="N109" s="35">
        <v>46.56</v>
      </c>
      <c r="O109" s="34">
        <f t="shared" si="98"/>
        <v>0.80196708908643854</v>
      </c>
      <c r="R109" s="33">
        <f t="shared" si="103"/>
        <v>1020.3908454700211</v>
      </c>
      <c r="S109" s="66">
        <f t="shared" si="106"/>
        <v>710.46446321436008</v>
      </c>
      <c r="U109" s="34">
        <f t="shared" si="59"/>
        <v>1.2857499999999999</v>
      </c>
      <c r="V109" s="34">
        <f t="shared" si="59"/>
        <v>1.4362306607897861</v>
      </c>
      <c r="W109" s="35">
        <v>0.68</v>
      </c>
      <c r="X109" s="35">
        <v>6.53</v>
      </c>
      <c r="Y109" s="64">
        <v>0.56895859052688713</v>
      </c>
      <c r="Z109" s="64">
        <v>3.7600263794750642E-2</v>
      </c>
      <c r="AA109" s="65">
        <f>Y109/Z109</f>
        <v>15.131771245879376</v>
      </c>
      <c r="AB109" s="63">
        <f t="shared" si="80"/>
        <v>1.4630770155398904</v>
      </c>
      <c r="AC109" s="64">
        <f t="shared" si="81"/>
        <v>9.6689078348201271E-2</v>
      </c>
      <c r="AD109" s="34">
        <f t="shared" si="107"/>
        <v>1.7745302713987478E-2</v>
      </c>
      <c r="AK109" s="33">
        <f>R109*U109</f>
        <v>1311.9675295630796</v>
      </c>
      <c r="AL109" s="30">
        <f>I109/2.76</f>
        <v>16.590579710144929</v>
      </c>
      <c r="AM109" s="32">
        <f t="shared" si="45"/>
        <v>1.2487658307411675</v>
      </c>
    </row>
    <row r="110" spans="1:39" x14ac:dyDescent="0.3">
      <c r="D110" s="32" t="s">
        <v>56</v>
      </c>
      <c r="G110" s="32">
        <v>50</v>
      </c>
      <c r="H110" s="33"/>
      <c r="I110" s="33"/>
      <c r="J110" s="33"/>
      <c r="K110" s="33"/>
      <c r="L110" s="35"/>
      <c r="M110" s="35"/>
      <c r="N110" s="35"/>
      <c r="S110" s="66"/>
      <c r="U110" s="34">
        <f t="shared" si="59"/>
        <v>1.3718694142112708</v>
      </c>
      <c r="V110" s="34">
        <f t="shared" si="59"/>
        <v>1.4478906960347426</v>
      </c>
      <c r="W110" s="35"/>
      <c r="X110" s="35"/>
      <c r="AA110" s="65"/>
      <c r="AB110" s="63"/>
      <c r="AC110" s="63"/>
      <c r="AD110" s="35"/>
      <c r="AK110" s="33">
        <f>R110*U110</f>
        <v>0</v>
      </c>
      <c r="AL110" s="30">
        <f>I110/2.76</f>
        <v>0</v>
      </c>
      <c r="AM110" s="32" t="e">
        <f t="shared" si="45"/>
        <v>#DIV/0!</v>
      </c>
    </row>
    <row r="111" spans="1:39" x14ac:dyDescent="0.3">
      <c r="D111" s="32" t="s">
        <v>57</v>
      </c>
      <c r="G111" s="32">
        <v>50</v>
      </c>
      <c r="H111" s="33"/>
      <c r="I111" s="33"/>
      <c r="J111" s="33"/>
      <c r="K111" s="33"/>
      <c r="L111" s="35"/>
      <c r="M111" s="35"/>
      <c r="N111" s="35"/>
      <c r="U111" s="34">
        <f t="shared" si="59"/>
        <v>1.3989143165798161</v>
      </c>
      <c r="V111" s="34">
        <f t="shared" si="59"/>
        <v>1.4457674247628549</v>
      </c>
      <c r="W111" s="35"/>
      <c r="X111" s="35"/>
      <c r="AB111" s="63"/>
      <c r="AC111" s="63"/>
      <c r="AD111" s="35"/>
      <c r="AK111" s="33">
        <f>R111*U111</f>
        <v>0</v>
      </c>
      <c r="AL111" s="30">
        <f>I111/2.76</f>
        <v>0</v>
      </c>
      <c r="AM111" s="32" t="e">
        <f t="shared" si="45"/>
        <v>#DIV/0!</v>
      </c>
    </row>
    <row r="112" spans="1:39" x14ac:dyDescent="0.3">
      <c r="D112" s="32" t="s">
        <v>58</v>
      </c>
      <c r="G112" s="32">
        <v>50</v>
      </c>
      <c r="H112" s="33"/>
      <c r="I112" s="33"/>
      <c r="J112" s="33"/>
      <c r="K112" s="33"/>
      <c r="L112" s="35"/>
      <c r="M112" s="35"/>
      <c r="N112" s="35"/>
      <c r="U112" s="34">
        <f t="shared" si="59"/>
        <v>1.38</v>
      </c>
      <c r="V112" s="34">
        <f t="shared" si="59"/>
        <v>1.4331986779930224</v>
      </c>
      <c r="W112" s="35"/>
      <c r="X112" s="35"/>
      <c r="AB112" s="63"/>
      <c r="AC112" s="63"/>
      <c r="AD112" s="35"/>
      <c r="AK112" s="33">
        <f>R112*U112</f>
        <v>0</v>
      </c>
      <c r="AL112" s="30">
        <f>I112/2.76</f>
        <v>0</v>
      </c>
      <c r="AM112" s="32" t="e">
        <f t="shared" si="45"/>
        <v>#DIV/0!</v>
      </c>
    </row>
    <row r="113" spans="1:39" x14ac:dyDescent="0.3">
      <c r="D113" s="32" t="s">
        <v>59</v>
      </c>
      <c r="G113" s="32">
        <v>50</v>
      </c>
      <c r="H113" s="33"/>
      <c r="I113" s="33"/>
      <c r="J113" s="33"/>
      <c r="K113" s="33"/>
      <c r="L113" s="35"/>
      <c r="M113" s="35"/>
      <c r="N113" s="35"/>
      <c r="U113" s="34">
        <f t="shared" si="59"/>
        <v>1.38</v>
      </c>
      <c r="V113" s="34">
        <f t="shared" si="59"/>
        <v>1.4331986779930224</v>
      </c>
      <c r="W113" s="35"/>
      <c r="X113" s="35"/>
      <c r="AB113" s="63"/>
      <c r="AC113" s="63"/>
      <c r="AD113" s="35"/>
      <c r="AK113" s="33">
        <f>R113*U113</f>
        <v>0</v>
      </c>
      <c r="AL113" s="30">
        <f>I113/2.76</f>
        <v>0</v>
      </c>
      <c r="AM113" s="32" t="e">
        <f t="shared" si="45"/>
        <v>#DIV/0!</v>
      </c>
    </row>
    <row r="114" spans="1:39" x14ac:dyDescent="0.3">
      <c r="D114" s="32" t="s">
        <v>60</v>
      </c>
      <c r="G114" s="32">
        <v>50</v>
      </c>
      <c r="H114" s="33"/>
      <c r="I114" s="33"/>
      <c r="J114" s="33"/>
      <c r="K114" s="33"/>
      <c r="L114" s="35"/>
      <c r="M114" s="35"/>
      <c r="N114" s="35"/>
      <c r="U114" s="34">
        <f t="shared" si="59"/>
        <v>1.38</v>
      </c>
      <c r="V114" s="34">
        <f t="shared" si="59"/>
        <v>1.4331986779930224</v>
      </c>
      <c r="W114" s="35"/>
      <c r="X114" s="35"/>
      <c r="AB114" s="63"/>
      <c r="AC114" s="63"/>
      <c r="AD114" s="35"/>
      <c r="AK114" s="33">
        <f>R114*U114</f>
        <v>0</v>
      </c>
      <c r="AL114" s="30">
        <f>I114/2.76</f>
        <v>0</v>
      </c>
      <c r="AM114" s="32" t="e">
        <f t="shared" si="45"/>
        <v>#DIV/0!</v>
      </c>
    </row>
    <row r="115" spans="1:39" x14ac:dyDescent="0.3">
      <c r="H115" s="33"/>
      <c r="I115" s="33"/>
      <c r="J115" s="33"/>
      <c r="K115" s="33"/>
      <c r="L115" s="35"/>
      <c r="M115" s="35"/>
      <c r="N115" s="35"/>
      <c r="W115" s="35"/>
      <c r="X115" s="35"/>
      <c r="AK115" s="33">
        <f>R115*U115</f>
        <v>0</v>
      </c>
      <c r="AL115" s="30">
        <f>I115/2.76</f>
        <v>0</v>
      </c>
      <c r="AM115" s="32" t="e">
        <f t="shared" si="45"/>
        <v>#DIV/0!</v>
      </c>
    </row>
    <row r="116" spans="1:39" x14ac:dyDescent="0.3">
      <c r="A116" s="32" t="s">
        <v>69</v>
      </c>
      <c r="B116" s="32">
        <v>150</v>
      </c>
      <c r="C116" s="32" t="s">
        <v>10</v>
      </c>
      <c r="D116" s="32" t="s">
        <v>51</v>
      </c>
      <c r="E116" s="32" t="s">
        <v>119</v>
      </c>
      <c r="H116" s="33">
        <v>1918.95</v>
      </c>
      <c r="I116" s="33"/>
      <c r="J116" s="33"/>
      <c r="K116" s="33"/>
      <c r="L116" s="35"/>
      <c r="M116" s="35"/>
      <c r="P116" s="35">
        <v>1071.6099999999999</v>
      </c>
      <c r="W116" s="35"/>
      <c r="X116" s="35"/>
      <c r="AB116" s="63">
        <f>(P116*0.5)/9/(25*25)*100*100/1000</f>
        <v>0.95254222222222218</v>
      </c>
      <c r="AK116" s="33">
        <f>R116*U116</f>
        <v>0</v>
      </c>
      <c r="AL116" s="30">
        <f>I116/2.76</f>
        <v>0</v>
      </c>
      <c r="AM116" s="32" t="e">
        <f t="shared" si="45"/>
        <v>#DIV/0!</v>
      </c>
    </row>
    <row r="117" spans="1:39" x14ac:dyDescent="0.3">
      <c r="D117" s="32" t="s">
        <v>52</v>
      </c>
      <c r="E117" s="32" t="s">
        <v>114</v>
      </c>
      <c r="F117" s="32" t="s">
        <v>212</v>
      </c>
      <c r="G117" s="32">
        <v>10</v>
      </c>
      <c r="H117" s="33">
        <v>6618.23</v>
      </c>
      <c r="I117" s="33">
        <v>3116.8</v>
      </c>
      <c r="J117" s="33">
        <f t="shared" ref="J117:J125" si="108">I117/2.76</f>
        <v>1129.2753623188407</v>
      </c>
      <c r="K117" s="33">
        <f>J117/Q117*100</f>
        <v>23.236118566231291</v>
      </c>
      <c r="L117" s="35">
        <v>4.21</v>
      </c>
      <c r="M117" s="35">
        <v>52.63</v>
      </c>
      <c r="N117" s="35">
        <v>40.35</v>
      </c>
      <c r="O117" s="34">
        <f t="shared" ref="O117:O125" si="109">(N117-L117)/M117</f>
        <v>0.68668060041801249</v>
      </c>
      <c r="P117" s="33"/>
      <c r="Q117" s="32">
        <v>4860</v>
      </c>
      <c r="R117" s="33">
        <f>(H117-I117)*O117</f>
        <v>2404.364054721641</v>
      </c>
      <c r="S117" s="33">
        <f>Q117-J117</f>
        <v>3730.724637681159</v>
      </c>
      <c r="T117" s="34">
        <f t="shared" ref="T117" si="110">R117/S117</f>
        <v>0.64447641898762043</v>
      </c>
      <c r="U117" s="34">
        <f t="shared" ref="U117:V117" si="111">U106</f>
        <v>0.83274999999999988</v>
      </c>
      <c r="V117" s="34">
        <f t="shared" si="111"/>
        <v>0.9649217490163926</v>
      </c>
      <c r="W117" s="35">
        <v>17.09</v>
      </c>
      <c r="X117" s="35">
        <v>4.04</v>
      </c>
      <c r="Y117" s="64">
        <v>5.5847625823596125</v>
      </c>
      <c r="Z117" s="64">
        <v>0.40346521934751667</v>
      </c>
      <c r="AA117" s="65">
        <f t="shared" ref="AA117:AA125" si="112">Y117/Z117</f>
        <v>13.841992604446256</v>
      </c>
      <c r="AB117" s="63">
        <f t="shared" ref="AB117" si="113">(Y117*10)*100*100*G117*T117/1000000</f>
        <v>3.5992477899751787</v>
      </c>
      <c r="AC117" s="63">
        <f t="shared" ref="AC117" si="114">(Z117*10)*100*100*G117*T117/1000000</f>
        <v>0.2600238197511423</v>
      </c>
      <c r="AD117" s="34">
        <f>(W117*0.5)/Q117*100*100*G117/1000</f>
        <v>0.17582304526748971</v>
      </c>
      <c r="AE117" s="63">
        <f>SUM(AB117:AB121)</f>
        <v>8.9508366181924703</v>
      </c>
      <c r="AF117" s="63">
        <f>SUM(AC117:AC121)</f>
        <v>0.70508388969136215</v>
      </c>
      <c r="AG117" s="63">
        <f>AE117/AF117</f>
        <v>12.69471157837763</v>
      </c>
      <c r="AH117" s="35">
        <f>SUM(AD117:AD121)</f>
        <v>0.34701302439066301</v>
      </c>
      <c r="AI117" s="35"/>
      <c r="AK117" s="33">
        <f>R117*U117</f>
        <v>2002.2341665694462</v>
      </c>
      <c r="AL117" s="30">
        <f>I117/2.76</f>
        <v>1129.2753623188407</v>
      </c>
      <c r="AM117" s="32">
        <f t="shared" si="45"/>
        <v>36.061693311204564</v>
      </c>
    </row>
    <row r="118" spans="1:39" x14ac:dyDescent="0.3">
      <c r="D118" s="32" t="s">
        <v>53</v>
      </c>
      <c r="G118" s="32">
        <v>10</v>
      </c>
      <c r="H118" s="33">
        <v>3772.56</v>
      </c>
      <c r="I118" s="33">
        <v>978.08</v>
      </c>
      <c r="J118" s="33">
        <f t="shared" si="108"/>
        <v>354.37681159420293</v>
      </c>
      <c r="K118" s="33">
        <f>AM118</f>
        <v>15.269268956850579</v>
      </c>
      <c r="L118" s="35">
        <v>4.1399999999999997</v>
      </c>
      <c r="M118" s="35">
        <v>52.56</v>
      </c>
      <c r="N118" s="35">
        <v>42.29</v>
      </c>
      <c r="O118" s="34">
        <f t="shared" si="109"/>
        <v>0.72583713850837128</v>
      </c>
      <c r="R118" s="33">
        <f t="shared" ref="R118:R125" si="115">(H118-I118)*O118</f>
        <v>2028.3373668188733</v>
      </c>
      <c r="S118" s="66">
        <f>(H118-I118)*O118/V118</f>
        <v>1608.9036324928456</v>
      </c>
      <c r="U118" s="34">
        <f t="shared" si="59"/>
        <v>0.96949999999999992</v>
      </c>
      <c r="V118" s="34">
        <f t="shared" si="59"/>
        <v>1.2606953740766651</v>
      </c>
      <c r="W118" s="35">
        <v>3.34</v>
      </c>
      <c r="X118" s="35">
        <v>8.1199999999999992</v>
      </c>
      <c r="Y118" s="64">
        <v>1.6934259721273355</v>
      </c>
      <c r="Z118" s="64">
        <v>0.12531432269889881</v>
      </c>
      <c r="AA118" s="65">
        <f t="shared" si="112"/>
        <v>13.513427161843619</v>
      </c>
      <c r="AB118" s="63">
        <f t="shared" ref="AB118" si="116">(Y118*10)*100*100*G118*U118/1000000</f>
        <v>1.6417764799774517</v>
      </c>
      <c r="AC118" s="63">
        <f t="shared" ref="AC118" si="117">(Z118*10)*100*100*G118*U118/1000000</f>
        <v>0.12149223585658239</v>
      </c>
      <c r="AD118" s="34">
        <f>(W118*0.5)/(5*38.32*G118)*100*100*G118/1000</f>
        <v>8.7160751565762015E-2</v>
      </c>
      <c r="AK118" s="33">
        <f>R118*U118</f>
        <v>1966.4730771308975</v>
      </c>
      <c r="AL118" s="30">
        <f>I118/2.76</f>
        <v>354.37681159420293</v>
      </c>
      <c r="AM118" s="32">
        <f t="shared" si="45"/>
        <v>15.269268956850579</v>
      </c>
    </row>
    <row r="119" spans="1:39" x14ac:dyDescent="0.3">
      <c r="D119" s="32" t="s">
        <v>54</v>
      </c>
      <c r="G119" s="32">
        <v>10</v>
      </c>
      <c r="H119" s="33">
        <v>2942.46</v>
      </c>
      <c r="I119" s="33">
        <v>473.76</v>
      </c>
      <c r="J119" s="33">
        <f t="shared" si="108"/>
        <v>171.6521739130435</v>
      </c>
      <c r="K119" s="33">
        <f t="shared" ref="K119:K120" si="118">AM119</f>
        <v>6.676234808289343</v>
      </c>
      <c r="L119" s="35">
        <v>4.1399999999999997</v>
      </c>
      <c r="M119" s="35">
        <v>50.58</v>
      </c>
      <c r="N119" s="35">
        <v>45.53</v>
      </c>
      <c r="O119" s="34">
        <f t="shared" si="109"/>
        <v>0.81830763147489127</v>
      </c>
      <c r="R119" s="33">
        <f t="shared" si="115"/>
        <v>2020.156049822064</v>
      </c>
      <c r="S119" s="66">
        <f t="shared" ref="S119:S120" si="119">(H119-I119)*O119/V119</f>
        <v>1442.8194393312422</v>
      </c>
      <c r="U119" s="34">
        <f t="shared" si="59"/>
        <v>1.1877499999999999</v>
      </c>
      <c r="V119" s="34">
        <f t="shared" si="59"/>
        <v>1.4001447407434584</v>
      </c>
      <c r="W119" s="35">
        <v>1.96</v>
      </c>
      <c r="X119" s="35">
        <v>19.13</v>
      </c>
      <c r="Y119" s="64">
        <v>0.97823335277143342</v>
      </c>
      <c r="Z119" s="64">
        <v>7.2231861964151892E-2</v>
      </c>
      <c r="AA119" s="65">
        <f t="shared" si="112"/>
        <v>13.54296187542449</v>
      </c>
      <c r="AB119" s="63">
        <f t="shared" si="80"/>
        <v>1.1618966647542699</v>
      </c>
      <c r="AC119" s="63">
        <f t="shared" si="81"/>
        <v>8.5793394047921398E-2</v>
      </c>
      <c r="AD119" s="34">
        <f t="shared" ref="AD119:AD125" si="120">(W119*0.5)/(5*38.32*G119)*100*100*G119/1000</f>
        <v>5.1148225469728602E-2</v>
      </c>
      <c r="AK119" s="33">
        <f>R119*U119</f>
        <v>2399.440348176156</v>
      </c>
      <c r="AL119" s="30">
        <f>I119/2.76</f>
        <v>171.6521739130435</v>
      </c>
      <c r="AM119" s="32">
        <f t="shared" si="45"/>
        <v>6.676234808289343</v>
      </c>
    </row>
    <row r="120" spans="1:39" x14ac:dyDescent="0.3">
      <c r="D120" s="32" t="s">
        <v>55</v>
      </c>
      <c r="G120" s="32">
        <v>20</v>
      </c>
      <c r="H120" s="33">
        <v>2883.7</v>
      </c>
      <c r="I120" s="33">
        <v>200.7</v>
      </c>
      <c r="J120" s="33">
        <f t="shared" si="108"/>
        <v>72.717391304347828</v>
      </c>
      <c r="K120" s="33">
        <f t="shared" si="118"/>
        <v>2.5105999503122209</v>
      </c>
      <c r="L120" s="35">
        <v>4.1900000000000004</v>
      </c>
      <c r="M120" s="35">
        <v>50.48</v>
      </c>
      <c r="N120" s="35">
        <v>45.51</v>
      </c>
      <c r="O120" s="34">
        <f t="shared" si="109"/>
        <v>0.81854199683042794</v>
      </c>
      <c r="R120" s="33">
        <f t="shared" si="115"/>
        <v>2196.148177496038</v>
      </c>
      <c r="S120" s="66">
        <f t="shared" si="119"/>
        <v>1529.1054824636396</v>
      </c>
      <c r="U120" s="34">
        <f t="shared" si="59"/>
        <v>1.2857499999999999</v>
      </c>
      <c r="V120" s="34">
        <f t="shared" si="59"/>
        <v>1.4362306607897861</v>
      </c>
      <c r="W120" s="35">
        <v>0.56999999999999995</v>
      </c>
      <c r="X120" s="35">
        <v>9.2899999999999991</v>
      </c>
      <c r="Y120" s="64">
        <v>0.52827561983226978</v>
      </c>
      <c r="Z120" s="64">
        <v>4.4336186773787194E-2</v>
      </c>
      <c r="AA120" s="65">
        <f t="shared" si="112"/>
        <v>11.915224521397073</v>
      </c>
      <c r="AB120" s="63">
        <f t="shared" si="80"/>
        <v>1.3584607563986815</v>
      </c>
      <c r="AC120" s="63">
        <f t="shared" si="81"/>
        <v>0.11401050428879377</v>
      </c>
      <c r="AD120" s="34">
        <f t="shared" si="120"/>
        <v>1.487473903966597E-2</v>
      </c>
      <c r="AK120" s="33">
        <f>R120*U120</f>
        <v>2823.6975192155305</v>
      </c>
      <c r="AL120" s="30">
        <f>I120/2.76</f>
        <v>72.717391304347828</v>
      </c>
      <c r="AM120" s="32">
        <f t="shared" ref="AM120:AM183" si="121">AL120/(AL120+AK120)*100</f>
        <v>2.5105999503122209</v>
      </c>
    </row>
    <row r="121" spans="1:39" x14ac:dyDescent="0.3">
      <c r="D121" s="32" t="s">
        <v>56</v>
      </c>
      <c r="G121" s="32">
        <v>50</v>
      </c>
      <c r="H121" s="33">
        <v>4352.83</v>
      </c>
      <c r="I121" s="33">
        <v>7.51</v>
      </c>
      <c r="J121" s="33">
        <f t="shared" si="108"/>
        <v>2.7210144927536235</v>
      </c>
      <c r="K121" s="33">
        <f>AM121</f>
        <v>5.5856744024976049E-2</v>
      </c>
      <c r="L121" s="35">
        <v>4.1100000000000003</v>
      </c>
      <c r="M121" s="35">
        <v>50.69</v>
      </c>
      <c r="N121" s="35">
        <v>45.51</v>
      </c>
      <c r="O121" s="34">
        <f t="shared" si="109"/>
        <v>0.81672913789702106</v>
      </c>
      <c r="R121" s="33">
        <f t="shared" si="115"/>
        <v>3548.9494574866835</v>
      </c>
      <c r="S121" s="66">
        <f>(H121-I121)*O121/V121</f>
        <v>2451.1169711954039</v>
      </c>
      <c r="U121" s="34">
        <f t="shared" si="59"/>
        <v>1.3718694142112708</v>
      </c>
      <c r="V121" s="34">
        <f t="shared" si="59"/>
        <v>1.4478906960347426</v>
      </c>
      <c r="W121" s="35">
        <v>0.69</v>
      </c>
      <c r="X121" s="35">
        <v>0</v>
      </c>
      <c r="Y121" s="64">
        <v>0.17340643573874592</v>
      </c>
      <c r="Z121" s="64">
        <v>1.804310737812868E-2</v>
      </c>
      <c r="AA121" s="65">
        <f t="shared" si="112"/>
        <v>9.6106747083345549</v>
      </c>
      <c r="AB121" s="63">
        <f t="shared" si="80"/>
        <v>1.1894549270868888</v>
      </c>
      <c r="AC121" s="63">
        <f t="shared" si="81"/>
        <v>0.12376393574692228</v>
      </c>
      <c r="AD121" s="34">
        <f>(W121*0.5)/(5*38.32*G121)*100*100*G121/1000</f>
        <v>1.8006263048016703E-2</v>
      </c>
      <c r="AK121" s="33">
        <f>R121*U121</f>
        <v>4868.6952133076638</v>
      </c>
      <c r="AL121" s="30">
        <f>I121/2.76</f>
        <v>2.7210144927536235</v>
      </c>
      <c r="AM121" s="32">
        <f t="shared" si="121"/>
        <v>5.5856744024976049E-2</v>
      </c>
    </row>
    <row r="122" spans="1:39" x14ac:dyDescent="0.3">
      <c r="D122" s="32" t="s">
        <v>57</v>
      </c>
      <c r="G122" s="32">
        <v>50</v>
      </c>
      <c r="H122" s="33">
        <v>4330.55</v>
      </c>
      <c r="I122" s="33">
        <v>3.69</v>
      </c>
      <c r="J122" s="33">
        <f t="shared" si="108"/>
        <v>1.3369565217391306</v>
      </c>
      <c r="K122" s="33">
        <f>AM122</f>
        <v>2.613062588854221E-2</v>
      </c>
      <c r="L122" s="35">
        <v>4.2</v>
      </c>
      <c r="M122" s="35">
        <v>50.15</v>
      </c>
      <c r="N122" s="35">
        <v>46.58</v>
      </c>
      <c r="O122" s="34">
        <f t="shared" si="109"/>
        <v>0.84506480558325014</v>
      </c>
      <c r="R122" s="33">
        <f t="shared" si="115"/>
        <v>3656.4771046859423</v>
      </c>
      <c r="S122" s="66">
        <f>(H122-I122)*O122/V122</f>
        <v>2529.0908081468938</v>
      </c>
      <c r="U122" s="34">
        <f t="shared" si="59"/>
        <v>1.3989143165798161</v>
      </c>
      <c r="V122" s="34">
        <f t="shared" si="59"/>
        <v>1.4457674247628549</v>
      </c>
      <c r="W122" s="35">
        <v>0.14000000000000001</v>
      </c>
      <c r="X122" s="35">
        <v>2.44</v>
      </c>
      <c r="Y122" s="64">
        <v>8.5262380567812629E-2</v>
      </c>
      <c r="Z122" s="64">
        <v>9.7766131140145617E-3</v>
      </c>
      <c r="AA122" s="65">
        <f t="shared" si="112"/>
        <v>8.7210549884183166</v>
      </c>
      <c r="AB122" s="63">
        <f t="shared" si="80"/>
        <v>0.596373824209949</v>
      </c>
      <c r="AC122" s="63">
        <f t="shared" si="81"/>
        <v>6.8383220264284741E-2</v>
      </c>
      <c r="AD122" s="34">
        <f t="shared" si="120"/>
        <v>3.6534446764091865E-3</v>
      </c>
      <c r="AK122" s="33">
        <f>R122*U122</f>
        <v>5115.0981699914801</v>
      </c>
      <c r="AL122" s="30">
        <f>I122/2.76</f>
        <v>1.3369565217391306</v>
      </c>
      <c r="AM122" s="32">
        <f t="shared" si="121"/>
        <v>2.613062588854221E-2</v>
      </c>
    </row>
    <row r="123" spans="1:39" x14ac:dyDescent="0.3">
      <c r="D123" s="32" t="s">
        <v>58</v>
      </c>
      <c r="G123" s="32">
        <v>50</v>
      </c>
      <c r="H123" s="33">
        <v>4758.33</v>
      </c>
      <c r="I123" s="33">
        <v>16.7</v>
      </c>
      <c r="J123" s="33">
        <f t="shared" si="108"/>
        <v>6.0507246376811592</v>
      </c>
      <c r="K123" s="33">
        <f>AM123</f>
        <v>0.1087605226708825</v>
      </c>
      <c r="L123" s="35">
        <v>4.1399999999999997</v>
      </c>
      <c r="M123" s="35">
        <v>52.22</v>
      </c>
      <c r="N123" s="35">
        <v>48.49</v>
      </c>
      <c r="O123" s="34">
        <f t="shared" si="109"/>
        <v>0.84929145921103033</v>
      </c>
      <c r="R123" s="33">
        <f t="shared" si="115"/>
        <v>4027.0258617387976</v>
      </c>
      <c r="S123" s="66">
        <f t="shared" ref="S123:S124" si="122">(H123-I123)*O123/V123</f>
        <v>2809.8168966901626</v>
      </c>
      <c r="U123" s="34">
        <f t="shared" si="59"/>
        <v>1.38</v>
      </c>
      <c r="V123" s="34">
        <f t="shared" si="59"/>
        <v>1.4331986779930224</v>
      </c>
      <c r="W123" s="35">
        <v>0</v>
      </c>
      <c r="X123" s="35">
        <v>0</v>
      </c>
      <c r="Y123" s="64">
        <v>5.885723027185049E-2</v>
      </c>
      <c r="Z123" s="64">
        <v>7.3381626864954001E-3</v>
      </c>
      <c r="AA123" s="65">
        <f t="shared" si="112"/>
        <v>8.0207039263611435</v>
      </c>
      <c r="AB123" s="63">
        <f t="shared" si="80"/>
        <v>0.40611488887576835</v>
      </c>
      <c r="AC123" s="63">
        <f t="shared" si="81"/>
        <v>5.0633322536818251E-2</v>
      </c>
      <c r="AD123" s="34">
        <f t="shared" si="120"/>
        <v>0</v>
      </c>
      <c r="AK123" s="33">
        <f>R123*U123</f>
        <v>5557.29568919954</v>
      </c>
      <c r="AL123" s="30">
        <f>I123/2.76</f>
        <v>6.0507246376811592</v>
      </c>
      <c r="AM123" s="32">
        <f t="shared" si="121"/>
        <v>0.1087605226708825</v>
      </c>
    </row>
    <row r="124" spans="1:39" x14ac:dyDescent="0.3">
      <c r="D124" s="32" t="s">
        <v>59</v>
      </c>
      <c r="G124" s="32">
        <v>50</v>
      </c>
      <c r="H124" s="33">
        <v>4271.3599999999997</v>
      </c>
      <c r="I124" s="33">
        <v>17.41</v>
      </c>
      <c r="J124" s="33">
        <f t="shared" si="108"/>
        <v>6.3079710144927539</v>
      </c>
      <c r="K124" s="33">
        <f t="shared" ref="K124:K125" si="123">AM124</f>
        <v>0.12921335474907347</v>
      </c>
      <c r="L124" s="35">
        <v>4.12</v>
      </c>
      <c r="M124" s="35">
        <v>50.92</v>
      </c>
      <c r="N124" s="35">
        <v>46.41</v>
      </c>
      <c r="O124" s="34">
        <f t="shared" si="109"/>
        <v>0.83051846032992926</v>
      </c>
      <c r="R124" s="33">
        <f t="shared" si="115"/>
        <v>3532.9840043205027</v>
      </c>
      <c r="S124" s="66">
        <f t="shared" si="122"/>
        <v>2465.1041468081116</v>
      </c>
      <c r="U124" s="34">
        <f t="shared" si="59"/>
        <v>1.38</v>
      </c>
      <c r="V124" s="34">
        <f t="shared" si="59"/>
        <v>1.4331986779930224</v>
      </c>
      <c r="W124" s="35">
        <v>0.14000000000000001</v>
      </c>
      <c r="X124" s="35">
        <v>0</v>
      </c>
      <c r="Y124" s="64">
        <v>4.8201621310513046E-2</v>
      </c>
      <c r="Z124" s="64">
        <v>6.5399833495721239E-3</v>
      </c>
      <c r="AA124" s="65">
        <f t="shared" si="112"/>
        <v>7.37029725215839</v>
      </c>
      <c r="AB124" s="63">
        <f t="shared" si="80"/>
        <v>0.33259118704253993</v>
      </c>
      <c r="AC124" s="63">
        <f t="shared" si="81"/>
        <v>4.5125885112047646E-2</v>
      </c>
      <c r="AD124" s="34">
        <f>(W124*0.5)/(5*38.32*G124)*100*100*G124/1000</f>
        <v>3.6534446764091865E-3</v>
      </c>
      <c r="AK124" s="33">
        <f>R124*U124</f>
        <v>4875.5179259622937</v>
      </c>
      <c r="AL124" s="30">
        <f>I124/2.76</f>
        <v>6.3079710144927539</v>
      </c>
      <c r="AM124" s="32">
        <f t="shared" si="121"/>
        <v>0.12921335474907347</v>
      </c>
    </row>
    <row r="125" spans="1:39" x14ac:dyDescent="0.3">
      <c r="D125" s="32" t="s">
        <v>60</v>
      </c>
      <c r="G125" s="32">
        <v>50</v>
      </c>
      <c r="H125" s="33">
        <v>4620.8100000000004</v>
      </c>
      <c r="I125" s="33">
        <v>20.99</v>
      </c>
      <c r="J125" s="33">
        <f t="shared" si="108"/>
        <v>7.6050724637681162</v>
      </c>
      <c r="K125" s="33">
        <f t="shared" si="123"/>
        <v>0.14208088019057791</v>
      </c>
      <c r="L125" s="35">
        <v>4.3099999999999996</v>
      </c>
      <c r="M125" s="35">
        <v>52.67</v>
      </c>
      <c r="N125" s="35">
        <v>48.66</v>
      </c>
      <c r="O125" s="34">
        <f t="shared" si="109"/>
        <v>0.84203531422061884</v>
      </c>
      <c r="R125" s="33">
        <f t="shared" si="115"/>
        <v>3873.2108790582874</v>
      </c>
      <c r="S125" s="66">
        <f>(H125-I125)*O125/V125</f>
        <v>2702.4940355667454</v>
      </c>
      <c r="U125" s="34">
        <f t="shared" si="59"/>
        <v>1.38</v>
      </c>
      <c r="V125" s="34">
        <f t="shared" si="59"/>
        <v>1.4331986779930224</v>
      </c>
      <c r="W125" s="35">
        <v>0.03</v>
      </c>
      <c r="X125" s="35"/>
      <c r="Y125" s="64">
        <v>4.0741259707408259E-2</v>
      </c>
      <c r="Z125" s="64">
        <v>6.1506840954545002E-3</v>
      </c>
      <c r="AA125" s="65">
        <f t="shared" si="112"/>
        <v>6.6238582692804862</v>
      </c>
      <c r="AB125" s="63">
        <f t="shared" si="80"/>
        <v>0.28111469198111699</v>
      </c>
      <c r="AC125" s="63">
        <f t="shared" si="81"/>
        <v>4.2439720258636043E-2</v>
      </c>
      <c r="AD125" s="34">
        <f t="shared" si="120"/>
        <v>7.8288100208768259E-4</v>
      </c>
      <c r="AK125" s="33">
        <f>R125*U125</f>
        <v>5345.0310131004362</v>
      </c>
      <c r="AL125" s="30">
        <f>I125/2.76</f>
        <v>7.6050724637681162</v>
      </c>
      <c r="AM125" s="32">
        <f t="shared" si="121"/>
        <v>0.14208088019057791</v>
      </c>
    </row>
    <row r="126" spans="1:39" x14ac:dyDescent="0.3">
      <c r="H126" s="33"/>
      <c r="I126" s="33"/>
      <c r="J126" s="33"/>
      <c r="K126" s="33"/>
      <c r="L126" s="35"/>
      <c r="M126" s="35"/>
      <c r="N126" s="35"/>
      <c r="W126" s="35"/>
      <c r="X126" s="35"/>
      <c r="Y126" s="64"/>
      <c r="Z126" s="64"/>
      <c r="AA126" s="64"/>
      <c r="AK126" s="33">
        <f>R126*U126</f>
        <v>0</v>
      </c>
      <c r="AL126" s="30">
        <f>I126/2.76</f>
        <v>0</v>
      </c>
      <c r="AM126" s="32" t="e">
        <f t="shared" si="121"/>
        <v>#DIV/0!</v>
      </c>
    </row>
    <row r="127" spans="1:39" x14ac:dyDescent="0.3">
      <c r="A127" s="32" t="s">
        <v>70</v>
      </c>
      <c r="B127" s="32">
        <v>150</v>
      </c>
      <c r="C127" s="32" t="s">
        <v>2</v>
      </c>
      <c r="D127" s="32" t="s">
        <v>51</v>
      </c>
      <c r="E127" s="32" t="s">
        <v>114</v>
      </c>
      <c r="H127" s="33">
        <v>1370</v>
      </c>
      <c r="I127" s="33"/>
      <c r="J127" s="33"/>
      <c r="K127" s="33"/>
      <c r="L127" s="35"/>
      <c r="M127" s="35"/>
      <c r="P127" s="35">
        <v>900.86</v>
      </c>
      <c r="W127" s="35"/>
      <c r="X127" s="35"/>
      <c r="Y127" s="64"/>
      <c r="Z127" s="64"/>
      <c r="AA127" s="64"/>
      <c r="AB127" s="63">
        <f>(P127*0.5)/9/(25*25)*100*100/1000</f>
        <v>0.8007644444444445</v>
      </c>
      <c r="AK127" s="33">
        <f>R127*U127</f>
        <v>0</v>
      </c>
      <c r="AL127" s="30">
        <f>I127/2.76</f>
        <v>0</v>
      </c>
      <c r="AM127" s="32" t="e">
        <f t="shared" si="121"/>
        <v>#DIV/0!</v>
      </c>
    </row>
    <row r="128" spans="1:39" x14ac:dyDescent="0.3">
      <c r="D128" s="32" t="s">
        <v>52</v>
      </c>
      <c r="F128" s="32" t="s">
        <v>212</v>
      </c>
      <c r="G128" s="32">
        <v>10</v>
      </c>
      <c r="H128" s="33">
        <v>6457.93</v>
      </c>
      <c r="I128" s="33">
        <v>1929.69</v>
      </c>
      <c r="J128" s="33">
        <f t="shared" ref="J128:J133" si="124">I128/2.76</f>
        <v>699.16304347826099</v>
      </c>
      <c r="K128" s="33">
        <f>J128/Q128*100</f>
        <v>14.688299232736576</v>
      </c>
      <c r="L128" s="35">
        <v>4.18</v>
      </c>
      <c r="M128" s="35">
        <v>51.71</v>
      </c>
      <c r="N128" s="35">
        <v>41.07</v>
      </c>
      <c r="O128" s="34">
        <f t="shared" ref="O128:O133" si="125">(N128-L128)/M128</f>
        <v>0.71340166312125319</v>
      </c>
      <c r="P128" s="33"/>
      <c r="Q128" s="32">
        <v>4760</v>
      </c>
      <c r="R128" s="33">
        <f>(H128-I128)*O128</f>
        <v>3230.4539470121836</v>
      </c>
      <c r="S128" s="33">
        <f>Q128-J128</f>
        <v>4060.836956521739</v>
      </c>
      <c r="T128" s="34">
        <f t="shared" ref="T128" si="126">R128/S128</f>
        <v>0.79551431924003912</v>
      </c>
      <c r="U128" s="34">
        <f t="shared" ref="U128:V128" si="127">U117</f>
        <v>0.83274999999999988</v>
      </c>
      <c r="V128" s="34">
        <f t="shared" si="127"/>
        <v>0.9649217490163926</v>
      </c>
      <c r="W128" s="35">
        <v>12.91</v>
      </c>
      <c r="X128" s="35">
        <v>13.65</v>
      </c>
      <c r="Y128" s="64">
        <v>4.6506108790461012</v>
      </c>
      <c r="Z128" s="64">
        <v>0.33501135887214217</v>
      </c>
      <c r="AA128" s="65">
        <f t="shared" ref="AA128:AA133" si="128">Y128/Z128</f>
        <v>13.881949838068079</v>
      </c>
      <c r="AB128" s="63">
        <f t="shared" ref="AB128" si="129">(Y128*10)*100*100*G128*T128/1000000</f>
        <v>3.6996275474946794</v>
      </c>
      <c r="AC128" s="63">
        <f t="shared" ref="AC128" si="130">(Z128*10)*100*100*G128*T128/1000000</f>
        <v>0.26650633309085259</v>
      </c>
      <c r="AD128" s="34">
        <f>(W128*0.5)/Q128*100*100*G128/1000</f>
        <v>0.13560924369747898</v>
      </c>
      <c r="AE128" s="63">
        <f>SUM(AB128:AB132)</f>
        <v>9.2554817420221092</v>
      </c>
      <c r="AF128" s="63">
        <f>SUM(AC128:AC132)</f>
        <v>0.67151879153299321</v>
      </c>
      <c r="AG128" s="63">
        <f>AE128/AF128</f>
        <v>13.782908026881875</v>
      </c>
      <c r="AH128" s="35">
        <f>SUM(AD128:AD132)</f>
        <v>0.20502469254925351</v>
      </c>
      <c r="AI128" s="35"/>
      <c r="AK128" s="33">
        <f>R128*U128</f>
        <v>2690.1605243743957</v>
      </c>
      <c r="AL128" s="30">
        <f>I128/2.76</f>
        <v>699.16304347826099</v>
      </c>
      <c r="AM128" s="32">
        <f t="shared" si="121"/>
        <v>20.6283947071251</v>
      </c>
    </row>
    <row r="129" spans="1:39" x14ac:dyDescent="0.3">
      <c r="D129" s="32" t="s">
        <v>53</v>
      </c>
      <c r="G129" s="32">
        <v>10</v>
      </c>
      <c r="H129" s="33">
        <v>3638.19</v>
      </c>
      <c r="I129" s="33">
        <v>593.39</v>
      </c>
      <c r="J129" s="33">
        <f t="shared" si="124"/>
        <v>214.99637681159422</v>
      </c>
      <c r="K129" s="33">
        <f>AM129</f>
        <v>8.3605642386759769</v>
      </c>
      <c r="L129" s="35">
        <v>4.25</v>
      </c>
      <c r="M129" s="35">
        <v>52.06</v>
      </c>
      <c r="N129" s="35">
        <v>45.81</v>
      </c>
      <c r="O129" s="34">
        <f t="shared" si="125"/>
        <v>0.79830964271993854</v>
      </c>
      <c r="R129" s="33">
        <f t="shared" ref="R129:R133" si="131">(H129-I129)*O129</f>
        <v>2430.6932001536688</v>
      </c>
      <c r="S129" s="66">
        <f>(H129-I129)*O129/V129</f>
        <v>1928.0575229633976</v>
      </c>
      <c r="U129" s="34">
        <f t="shared" si="59"/>
        <v>0.96949999999999992</v>
      </c>
      <c r="V129" s="34">
        <f t="shared" si="59"/>
        <v>1.2606953740766651</v>
      </c>
      <c r="W129" s="35">
        <v>1.48</v>
      </c>
      <c r="X129" s="35">
        <v>1.82</v>
      </c>
      <c r="Y129" s="64">
        <v>1.2517558185109474</v>
      </c>
      <c r="Z129" s="64">
        <v>9.0427325932056282E-2</v>
      </c>
      <c r="AA129" s="65">
        <f t="shared" si="128"/>
        <v>13.842672064100071</v>
      </c>
      <c r="AB129" s="63">
        <f t="shared" ref="AB129" si="132">(Y129*10)*100*100*G129*U129/1000000</f>
        <v>1.2135772660463637</v>
      </c>
      <c r="AC129" s="63">
        <f t="shared" ref="AC129" si="133">(Z129*10)*100*100*G129*U129/1000000</f>
        <v>8.766929249112855E-2</v>
      </c>
      <c r="AD129" s="34">
        <f>(W129*0.5)/(5*38.32*G129)*100*100*G129/1000</f>
        <v>3.8622129436325682E-2</v>
      </c>
      <c r="AK129" s="33">
        <f>R129*U129</f>
        <v>2356.5570575489819</v>
      </c>
      <c r="AL129" s="30">
        <f>I129/2.76</f>
        <v>214.99637681159422</v>
      </c>
      <c r="AM129" s="32">
        <f t="shared" si="121"/>
        <v>8.3605642386759769</v>
      </c>
    </row>
    <row r="130" spans="1:39" x14ac:dyDescent="0.3">
      <c r="D130" s="32" t="s">
        <v>54</v>
      </c>
      <c r="G130" s="32">
        <v>10</v>
      </c>
      <c r="H130" s="33">
        <v>3203.93</v>
      </c>
      <c r="I130" s="33">
        <v>235.27</v>
      </c>
      <c r="J130" s="33">
        <f t="shared" si="124"/>
        <v>85.24275362318842</v>
      </c>
      <c r="K130" s="33">
        <f>AM130</f>
        <v>2.871098781433516</v>
      </c>
      <c r="L130" s="35">
        <v>4.1900000000000004</v>
      </c>
      <c r="M130" s="35">
        <v>51.66</v>
      </c>
      <c r="N130" s="35">
        <v>46.44</v>
      </c>
      <c r="O130" s="34">
        <f t="shared" si="125"/>
        <v>0.81784746418892762</v>
      </c>
      <c r="R130" s="33">
        <f t="shared" si="131"/>
        <v>2427.9110530391017</v>
      </c>
      <c r="S130" s="66">
        <f>(H130-I130)*O130/V130</f>
        <v>1734.0429045570768</v>
      </c>
      <c r="U130" s="34">
        <f t="shared" si="59"/>
        <v>1.1877499999999999</v>
      </c>
      <c r="V130" s="34">
        <f t="shared" si="59"/>
        <v>1.4001447407434584</v>
      </c>
      <c r="W130" s="35">
        <v>0.75</v>
      </c>
      <c r="X130" s="35">
        <v>12.16</v>
      </c>
      <c r="Y130" s="64">
        <v>0.76451103070278714</v>
      </c>
      <c r="Z130" s="64">
        <v>5.4494083679732463E-2</v>
      </c>
      <c r="AA130" s="65">
        <f t="shared" si="128"/>
        <v>14.029248297776689</v>
      </c>
      <c r="AB130" s="63">
        <f t="shared" si="80"/>
        <v>0.90804797671723525</v>
      </c>
      <c r="AC130" s="63">
        <f t="shared" si="81"/>
        <v>6.4725347890602233E-2</v>
      </c>
      <c r="AD130" s="34">
        <f t="shared" ref="AD130:AD133" si="134">(W130*0.5)/(5*38.32*G130)*100*100*G130/1000</f>
        <v>1.9572025052192066E-2</v>
      </c>
      <c r="AK130" s="33">
        <f>R130*U130</f>
        <v>2883.7513532471926</v>
      </c>
      <c r="AL130" s="30">
        <f>I130/2.76</f>
        <v>85.24275362318842</v>
      </c>
      <c r="AM130" s="32">
        <f t="shared" si="121"/>
        <v>2.871098781433516</v>
      </c>
    </row>
    <row r="131" spans="1:39" x14ac:dyDescent="0.3">
      <c r="D131" s="32" t="s">
        <v>55</v>
      </c>
      <c r="G131" s="32">
        <v>20</v>
      </c>
      <c r="H131" s="33">
        <v>4994.67</v>
      </c>
      <c r="I131" s="33">
        <v>129.88</v>
      </c>
      <c r="J131" s="33">
        <f t="shared" si="124"/>
        <v>47.057971014492757</v>
      </c>
      <c r="K131" s="33">
        <f>AM131</f>
        <v>0.92353136278647918</v>
      </c>
      <c r="L131" s="35">
        <v>4.1399999999999997</v>
      </c>
      <c r="M131" s="35">
        <v>50.65</v>
      </c>
      <c r="N131" s="35">
        <v>45.02</v>
      </c>
      <c r="O131" s="34">
        <f t="shared" si="125"/>
        <v>0.80710760118460023</v>
      </c>
      <c r="R131" s="33">
        <f t="shared" si="131"/>
        <v>3926.4089871668311</v>
      </c>
      <c r="S131" s="66">
        <f t="shared" ref="S131:S132" si="135">(H131-I131)*O131/V131</f>
        <v>2733.8289693715988</v>
      </c>
      <c r="U131" s="34">
        <f t="shared" si="59"/>
        <v>1.2857499999999999</v>
      </c>
      <c r="V131" s="34">
        <f t="shared" si="59"/>
        <v>1.4362306607897861</v>
      </c>
      <c r="W131" s="35">
        <v>0.25</v>
      </c>
      <c r="X131" s="35">
        <v>1.98</v>
      </c>
      <c r="Y131" s="64">
        <v>0.42059187070882753</v>
      </c>
      <c r="Z131" s="64">
        <v>3.0936541019063721E-2</v>
      </c>
      <c r="AA131" s="65">
        <f t="shared" si="128"/>
        <v>13.595310168956845</v>
      </c>
      <c r="AB131" s="63">
        <f t="shared" si="80"/>
        <v>1.0815519955277502</v>
      </c>
      <c r="AC131" s="63">
        <f t="shared" si="81"/>
        <v>7.9553315230522365E-2</v>
      </c>
      <c r="AD131" s="34">
        <f t="shared" si="134"/>
        <v>6.5240083507306871E-3</v>
      </c>
      <c r="AK131" s="33">
        <f>R131*U131</f>
        <v>5048.3803552497529</v>
      </c>
      <c r="AL131" s="30">
        <f>I131/2.76</f>
        <v>47.057971014492757</v>
      </c>
      <c r="AM131" s="32">
        <f t="shared" si="121"/>
        <v>0.92353136278647918</v>
      </c>
    </row>
    <row r="132" spans="1:39" x14ac:dyDescent="0.3">
      <c r="D132" s="32" t="s">
        <v>56</v>
      </c>
      <c r="G132" s="32">
        <v>50</v>
      </c>
      <c r="H132" s="33">
        <v>4364.04</v>
      </c>
      <c r="I132" s="33">
        <v>0</v>
      </c>
      <c r="J132" s="33">
        <f t="shared" si="124"/>
        <v>0</v>
      </c>
      <c r="K132" s="33">
        <f t="shared" ref="K132:K133" si="136">AM132</f>
        <v>0</v>
      </c>
      <c r="L132" s="35">
        <v>4.01</v>
      </c>
      <c r="M132" s="35">
        <v>50.22</v>
      </c>
      <c r="N132" s="35">
        <v>42.9</v>
      </c>
      <c r="O132" s="34">
        <f t="shared" si="125"/>
        <v>0.77439267224213459</v>
      </c>
      <c r="R132" s="33">
        <f t="shared" si="131"/>
        <v>3379.4805973715652</v>
      </c>
      <c r="S132" s="66">
        <f t="shared" si="135"/>
        <v>2334.0716302872584</v>
      </c>
      <c r="U132" s="34">
        <f t="shared" si="59"/>
        <v>1.3718694142112708</v>
      </c>
      <c r="V132" s="34">
        <f t="shared" si="59"/>
        <v>1.4478906960347426</v>
      </c>
      <c r="W132" s="35">
        <v>0.18</v>
      </c>
      <c r="X132" s="35">
        <v>2.25</v>
      </c>
      <c r="Y132" s="64">
        <v>0.34298846987396492</v>
      </c>
      <c r="Z132" s="64">
        <v>2.5230463050943886E-2</v>
      </c>
      <c r="AA132" s="65">
        <f t="shared" si="128"/>
        <v>13.594220176673829</v>
      </c>
      <c r="AB132" s="63">
        <f t="shared" si="80"/>
        <v>2.3526769562360821</v>
      </c>
      <c r="AC132" s="63">
        <f t="shared" si="81"/>
        <v>0.17306450282988753</v>
      </c>
      <c r="AD132" s="34">
        <f>(W132*0.5)/(5*38.32*G132)*100*100*G132/1000</f>
        <v>4.6972860125260958E-3</v>
      </c>
      <c r="AK132" s="33">
        <f>R132*U132</f>
        <v>4636.2060674544846</v>
      </c>
      <c r="AL132" s="30">
        <f>I132/2.76</f>
        <v>0</v>
      </c>
      <c r="AM132" s="32">
        <f t="shared" si="121"/>
        <v>0</v>
      </c>
    </row>
    <row r="133" spans="1:39" x14ac:dyDescent="0.3">
      <c r="D133" s="32" t="s">
        <v>57</v>
      </c>
      <c r="G133" s="32">
        <v>50</v>
      </c>
      <c r="H133" s="33">
        <v>3770.05</v>
      </c>
      <c r="I133" s="33">
        <v>83.77</v>
      </c>
      <c r="J133" s="33">
        <f t="shared" si="124"/>
        <v>30.35144927536232</v>
      </c>
      <c r="K133" s="33">
        <f t="shared" si="136"/>
        <v>0.71828933489216629</v>
      </c>
      <c r="L133" s="35">
        <v>4.09</v>
      </c>
      <c r="M133" s="35">
        <v>51.32</v>
      </c>
      <c r="N133" s="35">
        <v>45.84</v>
      </c>
      <c r="O133" s="34">
        <f t="shared" si="125"/>
        <v>0.81352299298519093</v>
      </c>
      <c r="R133" s="33">
        <f t="shared" si="131"/>
        <v>2998.8735385814498</v>
      </c>
      <c r="S133" s="66">
        <f>(H133-I133)*O133/V133</f>
        <v>2074.2433998838687</v>
      </c>
      <c r="U133" s="34">
        <f t="shared" si="59"/>
        <v>1.3989143165798161</v>
      </c>
      <c r="V133" s="34">
        <f t="shared" si="59"/>
        <v>1.4457674247628549</v>
      </c>
      <c r="W133" s="35"/>
      <c r="X133" s="35"/>
      <c r="Y133" s="64">
        <v>0.11094881681292144</v>
      </c>
      <c r="Z133" s="64">
        <v>8.8330779394910994E-3</v>
      </c>
      <c r="AA133" s="65">
        <f t="shared" si="128"/>
        <v>12.56060657145221</v>
      </c>
      <c r="AB133" s="63">
        <f t="shared" si="80"/>
        <v>0.77603944123593604</v>
      </c>
      <c r="AC133" s="63">
        <f t="shared" si="81"/>
        <v>6.1783595945097206E-2</v>
      </c>
      <c r="AD133" s="34">
        <f t="shared" si="134"/>
        <v>0</v>
      </c>
      <c r="AK133" s="33">
        <f>R133*U133</f>
        <v>4195.1671267339634</v>
      </c>
      <c r="AL133" s="30">
        <f>I133/2.76</f>
        <v>30.35144927536232</v>
      </c>
      <c r="AM133" s="32">
        <f t="shared" si="121"/>
        <v>0.71828933489216629</v>
      </c>
    </row>
    <row r="134" spans="1:39" x14ac:dyDescent="0.3">
      <c r="D134" s="32" t="s">
        <v>58</v>
      </c>
      <c r="G134" s="32">
        <v>50</v>
      </c>
      <c r="H134" s="33"/>
      <c r="I134" s="33"/>
      <c r="J134" s="33"/>
      <c r="K134" s="33"/>
      <c r="L134" s="35"/>
      <c r="M134" s="35"/>
      <c r="N134" s="35"/>
      <c r="U134" s="34">
        <f t="shared" si="59"/>
        <v>1.38</v>
      </c>
      <c r="V134" s="34">
        <f t="shared" si="59"/>
        <v>1.4331986779930224</v>
      </c>
      <c r="W134" s="35"/>
      <c r="X134" s="35"/>
      <c r="Y134" s="64"/>
      <c r="Z134" s="64"/>
      <c r="AA134" s="64"/>
      <c r="AB134" s="63"/>
      <c r="AC134" s="63"/>
      <c r="AD134" s="35"/>
      <c r="AK134" s="33">
        <f>R134*U134</f>
        <v>0</v>
      </c>
      <c r="AL134" s="30">
        <f>I134/2.76</f>
        <v>0</v>
      </c>
      <c r="AM134" s="32" t="e">
        <f t="shared" si="121"/>
        <v>#DIV/0!</v>
      </c>
    </row>
    <row r="135" spans="1:39" x14ac:dyDescent="0.3">
      <c r="D135" s="32" t="s">
        <v>59</v>
      </c>
      <c r="G135" s="32">
        <v>50</v>
      </c>
      <c r="H135" s="33"/>
      <c r="I135" s="33"/>
      <c r="J135" s="33"/>
      <c r="K135" s="33"/>
      <c r="L135" s="35"/>
      <c r="M135" s="35"/>
      <c r="N135" s="35"/>
      <c r="U135" s="34">
        <f t="shared" si="59"/>
        <v>1.38</v>
      </c>
      <c r="V135" s="34">
        <f t="shared" si="59"/>
        <v>1.4331986779930224</v>
      </c>
      <c r="W135" s="35"/>
      <c r="X135" s="35"/>
      <c r="Y135" s="64"/>
      <c r="Z135" s="64"/>
      <c r="AA135" s="64"/>
      <c r="AB135" s="63"/>
      <c r="AC135" s="63"/>
      <c r="AD135" s="35"/>
      <c r="AK135" s="33">
        <f>R135*U135</f>
        <v>0</v>
      </c>
      <c r="AL135" s="30">
        <f>I135/2.76</f>
        <v>0</v>
      </c>
      <c r="AM135" s="32" t="e">
        <f t="shared" si="121"/>
        <v>#DIV/0!</v>
      </c>
    </row>
    <row r="136" spans="1:39" x14ac:dyDescent="0.3">
      <c r="D136" s="32" t="s">
        <v>60</v>
      </c>
      <c r="G136" s="32">
        <v>50</v>
      </c>
      <c r="H136" s="33"/>
      <c r="I136" s="33"/>
      <c r="J136" s="33"/>
      <c r="K136" s="33"/>
      <c r="L136" s="35"/>
      <c r="M136" s="35"/>
      <c r="N136" s="35"/>
      <c r="U136" s="34">
        <f t="shared" si="59"/>
        <v>1.38</v>
      </c>
      <c r="V136" s="34">
        <f t="shared" si="59"/>
        <v>1.4331986779930224</v>
      </c>
      <c r="W136" s="35"/>
      <c r="X136" s="35"/>
      <c r="Y136" s="64"/>
      <c r="Z136" s="64"/>
      <c r="AA136" s="64"/>
      <c r="AB136" s="63"/>
      <c r="AC136" s="63"/>
      <c r="AD136" s="35"/>
      <c r="AK136" s="33">
        <f>R136*U136</f>
        <v>0</v>
      </c>
      <c r="AL136" s="30">
        <f>I136/2.76</f>
        <v>0</v>
      </c>
      <c r="AM136" s="32" t="e">
        <f t="shared" si="121"/>
        <v>#DIV/0!</v>
      </c>
    </row>
    <row r="137" spans="1:39" x14ac:dyDescent="0.3">
      <c r="H137" s="33"/>
      <c r="I137" s="33"/>
      <c r="J137" s="33"/>
      <c r="K137" s="33"/>
      <c r="L137" s="35"/>
      <c r="M137" s="35"/>
      <c r="N137" s="35"/>
      <c r="W137" s="35"/>
      <c r="X137" s="35"/>
      <c r="Y137" s="64"/>
      <c r="Z137" s="64"/>
      <c r="AA137" s="64"/>
      <c r="AK137" s="33">
        <f>R137*U137</f>
        <v>0</v>
      </c>
      <c r="AL137" s="30">
        <f>I137/2.76</f>
        <v>0</v>
      </c>
      <c r="AM137" s="32" t="e">
        <f t="shared" si="121"/>
        <v>#DIV/0!</v>
      </c>
    </row>
    <row r="138" spans="1:39" x14ac:dyDescent="0.3">
      <c r="A138" s="32" t="s">
        <v>71</v>
      </c>
      <c r="B138" s="32">
        <v>250</v>
      </c>
      <c r="C138" s="32" t="s">
        <v>37</v>
      </c>
      <c r="D138" s="32" t="s">
        <v>51</v>
      </c>
      <c r="E138" s="32" t="s">
        <v>120</v>
      </c>
      <c r="H138" s="33">
        <v>806.24</v>
      </c>
      <c r="I138" s="33"/>
      <c r="J138" s="33"/>
      <c r="K138" s="33"/>
      <c r="L138" s="35"/>
      <c r="M138" s="35"/>
      <c r="P138" s="35">
        <v>622.41999999999996</v>
      </c>
      <c r="W138" s="35"/>
      <c r="X138" s="35"/>
      <c r="Y138" s="64"/>
      <c r="Z138" s="64"/>
      <c r="AA138" s="64"/>
      <c r="AB138" s="63">
        <f>(P138*0.5)/9/(25*25)*100*100/1000</f>
        <v>0.5532622222222221</v>
      </c>
      <c r="AK138" s="33">
        <f>R138*U138</f>
        <v>0</v>
      </c>
      <c r="AL138" s="30">
        <f>I138/2.76</f>
        <v>0</v>
      </c>
      <c r="AM138" s="32" t="e">
        <f t="shared" si="121"/>
        <v>#DIV/0!</v>
      </c>
    </row>
    <row r="139" spans="1:39" x14ac:dyDescent="0.3">
      <c r="D139" s="32" t="s">
        <v>52</v>
      </c>
      <c r="F139" s="32" t="s">
        <v>212</v>
      </c>
      <c r="G139" s="32">
        <v>10</v>
      </c>
      <c r="H139" s="33">
        <v>6069.73</v>
      </c>
      <c r="I139" s="33">
        <v>1326.3</v>
      </c>
      <c r="J139" s="33">
        <f t="shared" ref="J139:J143" si="137">I139/2.76</f>
        <v>480.54347826086956</v>
      </c>
      <c r="K139" s="33">
        <f>J139/Q139*100</f>
        <v>10.738401748846247</v>
      </c>
      <c r="L139" s="35">
        <v>4.21</v>
      </c>
      <c r="M139" s="35">
        <v>50.86</v>
      </c>
      <c r="N139" s="35">
        <v>43.01</v>
      </c>
      <c r="O139" s="34">
        <f t="shared" ref="O139:O143" si="138">(N139-L139)/M139</f>
        <v>0.76287848997247343</v>
      </c>
      <c r="P139" s="33"/>
      <c r="Q139" s="32">
        <v>4475</v>
      </c>
      <c r="R139" s="33">
        <f>(H139-I139)*O139</f>
        <v>3618.6607156901291</v>
      </c>
      <c r="S139" s="33">
        <f>Q139-J139</f>
        <v>3994.4565217391305</v>
      </c>
      <c r="T139" s="34">
        <f t="shared" ref="T139" si="139">R139/S139</f>
        <v>0.90592066680315619</v>
      </c>
      <c r="U139" s="34">
        <f t="shared" ref="U139:V202" si="140">U128</f>
        <v>0.83274999999999988</v>
      </c>
      <c r="V139" s="34">
        <f t="shared" si="140"/>
        <v>0.9649217490163926</v>
      </c>
      <c r="W139" s="35">
        <v>10.199999999999999</v>
      </c>
      <c r="X139" s="35">
        <v>4.76</v>
      </c>
      <c r="Y139" s="64">
        <v>5.6034642906594554</v>
      </c>
      <c r="Z139" s="64">
        <v>0.43805807377854011</v>
      </c>
      <c r="AA139" s="65">
        <f>Y139/Z139</f>
        <v>12.791601447556658</v>
      </c>
      <c r="AB139" s="63">
        <f t="shared" ref="AB139" si="141">(Y139*10)*100*100*G139*T139/1000000</f>
        <v>5.0762941066018881</v>
      </c>
      <c r="AC139" s="63">
        <f t="shared" ref="AC139" si="142">(Z139*10)*100*100*G139*T139/1000000</f>
        <v>0.39684586229596125</v>
      </c>
      <c r="AD139" s="34">
        <f>(W139*0.5)/Q139*100*100*G139/1000</f>
        <v>0.11396648044692737</v>
      </c>
      <c r="AE139" s="63">
        <f>SUM(AB139:AB143)</f>
        <v>8.8053619613964447</v>
      </c>
      <c r="AF139" s="63">
        <f>SUM(AC139:AC143)</f>
        <v>0.70209478116112922</v>
      </c>
      <c r="AG139" s="63">
        <f>AE139/AF139</f>
        <v>12.541557347619186</v>
      </c>
      <c r="AH139" s="35">
        <f>SUM(AD139:AD143)</f>
        <v>0.18155520696049732</v>
      </c>
      <c r="AI139" s="35"/>
      <c r="AK139" s="33">
        <f>R139*U139</f>
        <v>3013.4397109909546</v>
      </c>
      <c r="AL139" s="30">
        <f>I139/2.76</f>
        <v>480.54347826086956</v>
      </c>
      <c r="AM139" s="32">
        <f t="shared" si="121"/>
        <v>13.753457078417416</v>
      </c>
    </row>
    <row r="140" spans="1:39" x14ac:dyDescent="0.3">
      <c r="D140" s="32" t="s">
        <v>53</v>
      </c>
      <c r="G140" s="32">
        <v>10</v>
      </c>
      <c r="H140" s="33">
        <v>3142.07</v>
      </c>
      <c r="I140" s="33">
        <v>889.78</v>
      </c>
      <c r="J140" s="33">
        <f t="shared" si="137"/>
        <v>322.3840579710145</v>
      </c>
      <c r="K140" s="33">
        <f>AM140</f>
        <v>14.977690261932855</v>
      </c>
      <c r="L140" s="35">
        <v>4.1500000000000004</v>
      </c>
      <c r="M140" s="35">
        <v>50.83</v>
      </c>
      <c r="N140" s="35">
        <v>46.75</v>
      </c>
      <c r="O140" s="34">
        <f t="shared" si="138"/>
        <v>0.8380877434585875</v>
      </c>
      <c r="R140" s="33">
        <f t="shared" ref="R140:R143" si="143">(H140-I140)*O140</f>
        <v>1887.616643714342</v>
      </c>
      <c r="S140" s="66">
        <f>(H140-I140)*O140/V140</f>
        <v>1497.2821210649995</v>
      </c>
      <c r="U140" s="34">
        <f t="shared" si="140"/>
        <v>0.96949999999999992</v>
      </c>
      <c r="V140" s="34">
        <f t="shared" si="140"/>
        <v>1.2606953740766651</v>
      </c>
      <c r="W140" s="35">
        <v>1.45</v>
      </c>
      <c r="X140" s="35">
        <v>7.46</v>
      </c>
      <c r="Y140" s="64">
        <v>1.266312323567496</v>
      </c>
      <c r="Z140" s="64">
        <v>0.10150600509653454</v>
      </c>
      <c r="AA140" s="65">
        <f>Y140/Z140</f>
        <v>12.47524540408426</v>
      </c>
      <c r="AB140" s="63">
        <f t="shared" ref="AB140" si="144">(Y140*10)*100*100*G140*U140/1000000</f>
        <v>1.2276897976986874</v>
      </c>
      <c r="AC140" s="63">
        <f t="shared" ref="AC140" si="145">(Z140*10)*100*100*G140*U140/1000000</f>
        <v>9.8410071941090221E-2</v>
      </c>
      <c r="AD140" s="34">
        <f>(W140*0.5)/(5*38.32*G140)*100*100*G140/1000</f>
        <v>3.7839248434237999E-2</v>
      </c>
      <c r="AK140" s="33">
        <f>R140*U140</f>
        <v>1830.0443360810543</v>
      </c>
      <c r="AL140" s="30">
        <f>I140/2.76</f>
        <v>322.3840579710145</v>
      </c>
      <c r="AM140" s="32">
        <f t="shared" si="121"/>
        <v>14.977690261932855</v>
      </c>
    </row>
    <row r="141" spans="1:39" x14ac:dyDescent="0.3">
      <c r="D141" s="32" t="s">
        <v>54</v>
      </c>
      <c r="G141" s="32">
        <v>10</v>
      </c>
      <c r="H141" s="33">
        <v>3593.79</v>
      </c>
      <c r="I141" s="33">
        <v>1241.1400000000001</v>
      </c>
      <c r="J141" s="33">
        <f t="shared" si="137"/>
        <v>449.6884057971015</v>
      </c>
      <c r="K141" s="33">
        <f>AM141</f>
        <v>17.259546528599838</v>
      </c>
      <c r="L141" s="35">
        <v>4.13</v>
      </c>
      <c r="M141" s="35">
        <v>50.89</v>
      </c>
      <c r="N141" s="35">
        <v>43.39</v>
      </c>
      <c r="O141" s="34">
        <f t="shared" si="138"/>
        <v>0.77146787188052657</v>
      </c>
      <c r="R141" s="33">
        <f t="shared" si="143"/>
        <v>1814.9938887797205</v>
      </c>
      <c r="S141" s="66">
        <f t="shared" ref="S141:S142" si="146">(H141-I141)*O141/V141</f>
        <v>1296.2901876958683</v>
      </c>
      <c r="U141" s="34">
        <f t="shared" si="140"/>
        <v>1.1877499999999999</v>
      </c>
      <c r="V141" s="34">
        <f t="shared" si="140"/>
        <v>1.4001447407434584</v>
      </c>
      <c r="W141" s="35">
        <v>0.77</v>
      </c>
      <c r="X141" s="35">
        <v>4.25</v>
      </c>
      <c r="Y141" s="64">
        <v>0.77252835058710434</v>
      </c>
      <c r="Z141" s="64">
        <v>6.226960782703754E-2</v>
      </c>
      <c r="AA141" s="65">
        <f>Y141/Z141</f>
        <v>12.406186220618393</v>
      </c>
      <c r="AB141" s="63">
        <f t="shared" si="80"/>
        <v>0.9175705484098331</v>
      </c>
      <c r="AC141" s="63">
        <f t="shared" si="81"/>
        <v>7.3960726696563839E-2</v>
      </c>
      <c r="AD141" s="34">
        <f>(W141*0.5)/(5*38.32*G141)*100*100*G141/1000</f>
        <v>2.0093945720250524E-2</v>
      </c>
      <c r="AK141" s="33">
        <f>R141*U141</f>
        <v>2155.7589913981128</v>
      </c>
      <c r="AL141" s="30">
        <f>I141/2.76</f>
        <v>449.6884057971015</v>
      </c>
      <c r="AM141" s="32">
        <f t="shared" si="121"/>
        <v>17.259546528599838</v>
      </c>
    </row>
    <row r="142" spans="1:39" x14ac:dyDescent="0.3">
      <c r="D142" s="32" t="s">
        <v>55</v>
      </c>
      <c r="G142" s="32">
        <v>20</v>
      </c>
      <c r="H142" s="33">
        <v>5025.3500000000004</v>
      </c>
      <c r="I142" s="33">
        <v>1129.4000000000001</v>
      </c>
      <c r="J142" s="33">
        <f t="shared" si="137"/>
        <v>409.20289855072468</v>
      </c>
      <c r="K142" s="33">
        <f t="shared" ref="K142:K143" si="147">AM142</f>
        <v>8.8710679587809942</v>
      </c>
      <c r="L142" s="35">
        <v>4.12</v>
      </c>
      <c r="M142" s="35">
        <v>54.84</v>
      </c>
      <c r="N142" s="35">
        <v>50.14</v>
      </c>
      <c r="O142" s="34">
        <f t="shared" si="138"/>
        <v>0.83916849015317285</v>
      </c>
      <c r="R142" s="33">
        <f t="shared" si="143"/>
        <v>3269.3584792122542</v>
      </c>
      <c r="S142" s="66">
        <f t="shared" si="146"/>
        <v>2276.3463895238301</v>
      </c>
      <c r="U142" s="34">
        <f t="shared" si="140"/>
        <v>1.2857499999999999</v>
      </c>
      <c r="V142" s="34">
        <f t="shared" si="140"/>
        <v>1.4362306607897861</v>
      </c>
      <c r="W142" s="35">
        <v>0.21</v>
      </c>
      <c r="X142" s="35">
        <v>0.04</v>
      </c>
      <c r="Y142" s="64">
        <v>0.29728226604403496</v>
      </c>
      <c r="Z142" s="64">
        <v>2.4511814703675527E-2</v>
      </c>
      <c r="AA142" s="65">
        <f>Y142/Z142</f>
        <v>12.128121464603668</v>
      </c>
      <c r="AB142" s="63">
        <f t="shared" si="80"/>
        <v>0.7644613471322359</v>
      </c>
      <c r="AC142" s="63">
        <f t="shared" si="81"/>
        <v>6.3032131510501604E-2</v>
      </c>
      <c r="AD142" s="34">
        <f>(W142*0.5)/(5*38.32*G142)*100*100*G142/1000</f>
        <v>5.4801670146137783E-3</v>
      </c>
      <c r="AK142" s="33">
        <f>R142*U142</f>
        <v>4203.5776646471559</v>
      </c>
      <c r="AL142" s="30">
        <f>I142/2.76</f>
        <v>409.20289855072468</v>
      </c>
      <c r="AM142" s="32">
        <f t="shared" si="121"/>
        <v>8.8710679587809942</v>
      </c>
    </row>
    <row r="143" spans="1:39" x14ac:dyDescent="0.3">
      <c r="D143" s="32" t="s">
        <v>56</v>
      </c>
      <c r="G143" s="32">
        <v>50</v>
      </c>
      <c r="H143" s="33">
        <v>8151.58</v>
      </c>
      <c r="I143" s="33">
        <v>1.98</v>
      </c>
      <c r="J143" s="33">
        <f t="shared" si="137"/>
        <v>0.71739130434782616</v>
      </c>
      <c r="K143" s="33">
        <f t="shared" si="147"/>
        <v>7.7620584506412661E-3</v>
      </c>
      <c r="L143" s="35">
        <v>4.2</v>
      </c>
      <c r="M143" s="35">
        <v>51.5</v>
      </c>
      <c r="N143" s="35">
        <v>46.77</v>
      </c>
      <c r="O143" s="34">
        <f t="shared" si="138"/>
        <v>0.82660194174757284</v>
      </c>
      <c r="R143" s="33">
        <f t="shared" si="143"/>
        <v>6736.4751844660195</v>
      </c>
      <c r="S143" s="66">
        <f>(H143-I143)*O143/V143</f>
        <v>4652.6130756381181</v>
      </c>
      <c r="U143" s="34">
        <f t="shared" si="140"/>
        <v>1.3718694142112708</v>
      </c>
      <c r="V143" s="34">
        <f t="shared" si="140"/>
        <v>1.4478906960347426</v>
      </c>
      <c r="W143" s="35">
        <v>0.16</v>
      </c>
      <c r="X143" s="35">
        <v>0.02</v>
      </c>
      <c r="Y143" s="64">
        <v>0.11944958507947605</v>
      </c>
      <c r="Z143" s="64">
        <v>1.0182600179503077E-2</v>
      </c>
      <c r="AA143" s="65">
        <f>Y143/Z143</f>
        <v>11.730754716258076</v>
      </c>
      <c r="AB143" s="63">
        <f t="shared" si="80"/>
        <v>0.8193461615538008</v>
      </c>
      <c r="AC143" s="63">
        <f t="shared" si="81"/>
        <v>6.9845988717012336E-2</v>
      </c>
      <c r="AD143" s="34">
        <f>(W143*0.5)/(5*38.32*G143)*100*100*G143/1000</f>
        <v>4.1753653444676414E-3</v>
      </c>
      <c r="AK143" s="33">
        <f>R143*U143</f>
        <v>9241.5642651621602</v>
      </c>
      <c r="AL143" s="30">
        <f>I143/2.76</f>
        <v>0.71739130434782616</v>
      </c>
      <c r="AM143" s="32">
        <f t="shared" si="121"/>
        <v>7.7620584506412661E-3</v>
      </c>
    </row>
    <row r="144" spans="1:39" x14ac:dyDescent="0.3">
      <c r="D144" s="32" t="s">
        <v>57</v>
      </c>
      <c r="G144" s="32">
        <v>50</v>
      </c>
      <c r="H144" s="33"/>
      <c r="I144" s="33"/>
      <c r="J144" s="33"/>
      <c r="K144" s="33"/>
      <c r="L144" s="35"/>
      <c r="M144" s="35"/>
      <c r="N144" s="35"/>
      <c r="U144" s="34">
        <f t="shared" si="140"/>
        <v>1.3989143165798161</v>
      </c>
      <c r="V144" s="34">
        <f t="shared" si="140"/>
        <v>1.4457674247628549</v>
      </c>
      <c r="W144" s="35"/>
      <c r="X144" s="35"/>
      <c r="Y144" s="64"/>
      <c r="Z144" s="64"/>
      <c r="AA144" s="64"/>
      <c r="AB144" s="63"/>
      <c r="AC144" s="63"/>
      <c r="AD144" s="34"/>
      <c r="AK144" s="33">
        <f>R144*U144</f>
        <v>0</v>
      </c>
      <c r="AL144" s="30">
        <f>I144/2.76</f>
        <v>0</v>
      </c>
      <c r="AM144" s="32" t="e">
        <f t="shared" si="121"/>
        <v>#DIV/0!</v>
      </c>
    </row>
    <row r="145" spans="1:39" x14ac:dyDescent="0.3">
      <c r="D145" s="32" t="s">
        <v>58</v>
      </c>
      <c r="G145" s="32">
        <v>50</v>
      </c>
      <c r="H145" s="33"/>
      <c r="I145" s="33"/>
      <c r="J145" s="33"/>
      <c r="K145" s="33"/>
      <c r="L145" s="35"/>
      <c r="M145" s="35"/>
      <c r="N145" s="35"/>
      <c r="U145" s="34">
        <f t="shared" si="140"/>
        <v>1.38</v>
      </c>
      <c r="V145" s="34">
        <f t="shared" si="140"/>
        <v>1.4331986779930224</v>
      </c>
      <c r="W145" s="35"/>
      <c r="X145" s="35"/>
      <c r="Y145" s="64"/>
      <c r="Z145" s="64"/>
      <c r="AA145" s="64"/>
      <c r="AB145" s="63"/>
      <c r="AC145" s="63"/>
      <c r="AD145" s="35"/>
      <c r="AK145" s="33">
        <f>R145*U145</f>
        <v>0</v>
      </c>
      <c r="AL145" s="30">
        <f>I145/2.76</f>
        <v>0</v>
      </c>
      <c r="AM145" s="32" t="e">
        <f t="shared" si="121"/>
        <v>#DIV/0!</v>
      </c>
    </row>
    <row r="146" spans="1:39" x14ac:dyDescent="0.3">
      <c r="D146" s="32" t="s">
        <v>59</v>
      </c>
      <c r="G146" s="32">
        <v>50</v>
      </c>
      <c r="H146" s="33"/>
      <c r="I146" s="33"/>
      <c r="J146" s="33"/>
      <c r="K146" s="33"/>
      <c r="L146" s="35"/>
      <c r="M146" s="35"/>
      <c r="N146" s="35"/>
      <c r="U146" s="34">
        <f t="shared" si="140"/>
        <v>1.38</v>
      </c>
      <c r="V146" s="34">
        <f t="shared" si="140"/>
        <v>1.4331986779930224</v>
      </c>
      <c r="W146" s="35"/>
      <c r="X146" s="35"/>
      <c r="Y146" s="64"/>
      <c r="Z146" s="64"/>
      <c r="AA146" s="64"/>
      <c r="AB146" s="63"/>
      <c r="AC146" s="63"/>
      <c r="AD146" s="35"/>
      <c r="AK146" s="33">
        <f>R146*U146</f>
        <v>0</v>
      </c>
      <c r="AL146" s="30">
        <f>I146/2.76</f>
        <v>0</v>
      </c>
      <c r="AM146" s="32" t="e">
        <f t="shared" si="121"/>
        <v>#DIV/0!</v>
      </c>
    </row>
    <row r="147" spans="1:39" x14ac:dyDescent="0.3">
      <c r="D147" s="32" t="s">
        <v>60</v>
      </c>
      <c r="G147" s="32">
        <v>50</v>
      </c>
      <c r="H147" s="33"/>
      <c r="I147" s="33"/>
      <c r="J147" s="33"/>
      <c r="K147" s="33"/>
      <c r="L147" s="35"/>
      <c r="M147" s="35"/>
      <c r="N147" s="35"/>
      <c r="U147" s="34">
        <f t="shared" si="140"/>
        <v>1.38</v>
      </c>
      <c r="V147" s="34">
        <f t="shared" si="140"/>
        <v>1.4331986779930224</v>
      </c>
      <c r="W147" s="35"/>
      <c r="X147" s="35"/>
      <c r="Y147" s="64"/>
      <c r="Z147" s="64"/>
      <c r="AA147" s="64"/>
      <c r="AB147" s="63"/>
      <c r="AC147" s="63"/>
      <c r="AD147" s="35"/>
      <c r="AK147" s="33">
        <f>R147*U147</f>
        <v>0</v>
      </c>
      <c r="AL147" s="30">
        <f>I147/2.76</f>
        <v>0</v>
      </c>
      <c r="AM147" s="32" t="e">
        <f t="shared" si="121"/>
        <v>#DIV/0!</v>
      </c>
    </row>
    <row r="148" spans="1:39" x14ac:dyDescent="0.3">
      <c r="H148" s="33"/>
      <c r="I148" s="33"/>
      <c r="J148" s="33"/>
      <c r="K148" s="33"/>
      <c r="L148" s="35"/>
      <c r="M148" s="35"/>
      <c r="N148" s="35"/>
      <c r="W148" s="35"/>
      <c r="X148" s="35"/>
      <c r="Y148" s="64"/>
      <c r="Z148" s="64"/>
      <c r="AA148" s="64"/>
      <c r="AK148" s="33">
        <f>R148*U148</f>
        <v>0</v>
      </c>
      <c r="AL148" s="30">
        <f>I148/2.76</f>
        <v>0</v>
      </c>
      <c r="AM148" s="32" t="e">
        <f t="shared" si="121"/>
        <v>#DIV/0!</v>
      </c>
    </row>
    <row r="149" spans="1:39" x14ac:dyDescent="0.3">
      <c r="A149" s="32" t="s">
        <v>72</v>
      </c>
      <c r="B149" s="32">
        <v>250</v>
      </c>
      <c r="C149" s="32" t="s">
        <v>31</v>
      </c>
      <c r="D149" s="32" t="s">
        <v>51</v>
      </c>
      <c r="E149" s="32" t="s">
        <v>121</v>
      </c>
      <c r="H149" s="33">
        <v>950.51</v>
      </c>
      <c r="I149" s="33"/>
      <c r="J149" s="33"/>
      <c r="K149" s="33"/>
      <c r="L149" s="35"/>
      <c r="M149" s="35"/>
      <c r="P149" s="35">
        <v>762.08</v>
      </c>
      <c r="W149" s="35"/>
      <c r="X149" s="35"/>
      <c r="Y149" s="64"/>
      <c r="Z149" s="64"/>
      <c r="AA149" s="64"/>
      <c r="AB149" s="63">
        <f>(P149*0.5)/9/(25*25)*100*100/1000</f>
        <v>0.67740444444444448</v>
      </c>
      <c r="AK149" s="33">
        <f>R149*U149</f>
        <v>0</v>
      </c>
      <c r="AL149" s="30">
        <f>I149/2.76</f>
        <v>0</v>
      </c>
      <c r="AM149" s="32" t="e">
        <f t="shared" si="121"/>
        <v>#DIV/0!</v>
      </c>
    </row>
    <row r="150" spans="1:39" x14ac:dyDescent="0.3">
      <c r="D150" s="32" t="s">
        <v>52</v>
      </c>
      <c r="F150" s="32" t="s">
        <v>212</v>
      </c>
      <c r="G150" s="32">
        <v>10</v>
      </c>
      <c r="H150" s="33">
        <v>5581.98</v>
      </c>
      <c r="I150" s="33">
        <v>587.57999999999993</v>
      </c>
      <c r="J150" s="33">
        <f t="shared" ref="J150:J154" si="148">I150/2.76</f>
        <v>212.89130434782606</v>
      </c>
      <c r="K150" s="33">
        <f>J150/Q150*100</f>
        <v>4.5980843271668697</v>
      </c>
      <c r="L150" s="35">
        <v>4.12</v>
      </c>
      <c r="M150" s="35">
        <v>51.09</v>
      </c>
      <c r="N150" s="35">
        <v>42.1</v>
      </c>
      <c r="O150" s="34">
        <f t="shared" ref="O150:O154" si="149">(N150-L150)/M150</f>
        <v>0.7433940105695831</v>
      </c>
      <c r="P150" s="33"/>
      <c r="Q150" s="32">
        <v>4630</v>
      </c>
      <c r="R150" s="33">
        <f>(H150-I150)*O150</f>
        <v>3712.8070463887257</v>
      </c>
      <c r="S150" s="33">
        <f>Q150-J150</f>
        <v>4417.108695652174</v>
      </c>
      <c r="T150" s="34">
        <f t="shared" ref="T150" si="150">R150/S150</f>
        <v>0.8405514335753832</v>
      </c>
      <c r="U150" s="34">
        <f t="shared" ref="U150:V150" si="151">U139</f>
        <v>0.83274999999999988</v>
      </c>
      <c r="V150" s="34">
        <f t="shared" si="151"/>
        <v>0.9649217490163926</v>
      </c>
      <c r="W150" s="35">
        <v>9.99</v>
      </c>
      <c r="X150" s="35">
        <v>6.54</v>
      </c>
      <c r="Y150" s="64">
        <v>4.7315563633635147</v>
      </c>
      <c r="Z150" s="64">
        <v>0.34884242020802486</v>
      </c>
      <c r="AA150" s="65">
        <f>Y150/Z150</f>
        <v>13.56359229632093</v>
      </c>
      <c r="AB150" s="63">
        <f t="shared" ref="AB150" si="152">(Y150*10)*100*100*G150*T150/1000000</f>
        <v>3.977116484267929</v>
      </c>
      <c r="AC150" s="63">
        <f t="shared" ref="AC150" si="153">(Z150*10)*100*100*G150*T150/1000000</f>
        <v>0.29321999639776153</v>
      </c>
      <c r="AD150" s="34">
        <f>(W150*0.5)/Q150*100*100*G150/1000</f>
        <v>0.10788336933045357</v>
      </c>
      <c r="AE150" s="63">
        <f>SUM(AB150:AB154)</f>
        <v>11.96115981718058</v>
      </c>
      <c r="AF150" s="63">
        <f>SUM(AC150:AC154)</f>
        <v>0.87215672724193227</v>
      </c>
      <c r="AG150" s="63">
        <f>AE150/AF150</f>
        <v>13.714461453511909</v>
      </c>
      <c r="AH150" s="35">
        <f>SUM(AD150:AD154)</f>
        <v>0.2169647889546707</v>
      </c>
      <c r="AI150" s="35"/>
      <c r="AK150" s="33">
        <f>R150*U150</f>
        <v>3091.8400678802109</v>
      </c>
      <c r="AL150" s="30">
        <f>I150/2.76</f>
        <v>212.89130434782606</v>
      </c>
      <c r="AM150" s="32">
        <f t="shared" si="121"/>
        <v>6.4420154127170584</v>
      </c>
    </row>
    <row r="151" spans="1:39" x14ac:dyDescent="0.3">
      <c r="D151" s="32" t="s">
        <v>53</v>
      </c>
      <c r="G151" s="32">
        <v>10</v>
      </c>
      <c r="H151" s="33">
        <v>2553.64</v>
      </c>
      <c r="I151" s="33">
        <v>194.49</v>
      </c>
      <c r="J151" s="33">
        <f t="shared" si="148"/>
        <v>70.467391304347828</v>
      </c>
      <c r="K151" s="33">
        <f>AM151</f>
        <v>3.7503855262210379</v>
      </c>
      <c r="L151" s="35">
        <v>4.16</v>
      </c>
      <c r="M151" s="35">
        <v>50.07</v>
      </c>
      <c r="N151" s="35">
        <v>43.75</v>
      </c>
      <c r="O151" s="34">
        <f t="shared" si="149"/>
        <v>0.79069302975833844</v>
      </c>
      <c r="R151" s="33">
        <f t="shared" ref="R151:R154" si="154">(H151-I151)*O151</f>
        <v>1865.3634611543839</v>
      </c>
      <c r="S151" s="66">
        <f>(H151-I151)*O151/V151</f>
        <v>1479.6306066567258</v>
      </c>
      <c r="U151" s="34">
        <f t="shared" si="140"/>
        <v>0.96949999999999992</v>
      </c>
      <c r="V151" s="34">
        <f t="shared" si="140"/>
        <v>1.2606953740766651</v>
      </c>
      <c r="W151" s="35">
        <v>1.77</v>
      </c>
      <c r="X151" s="35">
        <v>8.19</v>
      </c>
      <c r="Y151" s="64">
        <v>1.6543186873850664</v>
      </c>
      <c r="Z151" s="64">
        <v>0.11573759228511835</v>
      </c>
      <c r="AA151" s="65">
        <f>Y151/Z151</f>
        <v>14.293702285681471</v>
      </c>
      <c r="AB151" s="63">
        <f t="shared" ref="AB151:AB209" si="155">(Y151*10)*100*100*G151*U151/1000000</f>
        <v>1.603861967419822</v>
      </c>
      <c r="AC151" s="63">
        <f t="shared" ref="AC151:AC209" si="156">(Z151*10)*100*100*G151*U151/1000000</f>
        <v>0.11220759572042223</v>
      </c>
      <c r="AD151" s="34">
        <f>(W151*0.5)/(5*38.32*G151)*100*100*G151/1000</f>
        <v>4.6189979123173276E-2</v>
      </c>
      <c r="AK151" s="33">
        <f>R151*U151</f>
        <v>1808.469875589175</v>
      </c>
      <c r="AL151" s="30">
        <f>I151/2.76</f>
        <v>70.467391304347828</v>
      </c>
      <c r="AM151" s="32">
        <f t="shared" si="121"/>
        <v>3.7503855262210379</v>
      </c>
    </row>
    <row r="152" spans="1:39" x14ac:dyDescent="0.3">
      <c r="D152" s="32" t="s">
        <v>54</v>
      </c>
      <c r="G152" s="32">
        <v>10</v>
      </c>
      <c r="H152" s="33">
        <v>2974.8</v>
      </c>
      <c r="I152" s="33">
        <v>451.71</v>
      </c>
      <c r="J152" s="33">
        <f t="shared" si="148"/>
        <v>163.66304347826087</v>
      </c>
      <c r="K152" s="33">
        <f>AM152</f>
        <v>6.4409643637365717</v>
      </c>
      <c r="L152" s="35">
        <v>4.17</v>
      </c>
      <c r="M152" s="35">
        <v>52.1</v>
      </c>
      <c r="N152" s="35">
        <v>45.5</v>
      </c>
      <c r="O152" s="34">
        <f t="shared" si="149"/>
        <v>0.7932821497120921</v>
      </c>
      <c r="R152" s="33">
        <f t="shared" si="154"/>
        <v>2001.5222591170825</v>
      </c>
      <c r="S152" s="66">
        <f t="shared" ref="S152:S153" si="157">(H152-I152)*O152/V152</f>
        <v>1429.5109647409029</v>
      </c>
      <c r="U152" s="34">
        <f t="shared" si="140"/>
        <v>1.1877499999999999</v>
      </c>
      <c r="V152" s="34">
        <f t="shared" si="140"/>
        <v>1.4001447407434584</v>
      </c>
      <c r="W152" s="35">
        <v>1.81</v>
      </c>
      <c r="X152" s="35">
        <v>36.64</v>
      </c>
      <c r="Y152" s="64">
        <v>1.4298191559734967</v>
      </c>
      <c r="Z152" s="64">
        <v>9.8667160390690289E-2</v>
      </c>
      <c r="AA152" s="65">
        <f>Y152/Z152</f>
        <v>14.491337850525664</v>
      </c>
      <c r="AB152" s="63">
        <f t="shared" si="155"/>
        <v>1.6982677025075203</v>
      </c>
      <c r="AC152" s="63">
        <f t="shared" si="156"/>
        <v>0.11719191975404236</v>
      </c>
      <c r="AD152" s="34">
        <f t="shared" ref="AD152:AD153" si="158">(W152*0.5)/(5*38.32*G152)*100*100*G152/1000</f>
        <v>4.7233820459290185E-2</v>
      </c>
      <c r="AK152" s="33">
        <f>R152*U152</f>
        <v>2377.3080632663145</v>
      </c>
      <c r="AL152" s="30">
        <f>I152/2.76</f>
        <v>163.66304347826087</v>
      </c>
      <c r="AM152" s="32">
        <f t="shared" si="121"/>
        <v>6.4409643637365717</v>
      </c>
    </row>
    <row r="153" spans="1:39" x14ac:dyDescent="0.3">
      <c r="D153" s="32" t="s">
        <v>55</v>
      </c>
      <c r="G153" s="32">
        <v>20</v>
      </c>
      <c r="H153" s="33">
        <v>2660.92</v>
      </c>
      <c r="I153" s="33">
        <v>193.34</v>
      </c>
      <c r="J153" s="33">
        <f t="shared" si="148"/>
        <v>70.050724637681171</v>
      </c>
      <c r="K153" s="33">
        <f t="shared" ref="K153:K154" si="159">AM153</f>
        <v>2.66648091115764</v>
      </c>
      <c r="L153" s="35">
        <v>4.1500000000000004</v>
      </c>
      <c r="M153" s="35">
        <v>55.45</v>
      </c>
      <c r="N153" s="35">
        <v>48.84</v>
      </c>
      <c r="O153" s="34">
        <f t="shared" si="149"/>
        <v>0.80595130748422006</v>
      </c>
      <c r="R153" s="33">
        <f t="shared" si="154"/>
        <v>1988.7493273219118</v>
      </c>
      <c r="S153" s="66">
        <f t="shared" si="157"/>
        <v>1384.7005091983585</v>
      </c>
      <c r="U153" s="34">
        <f t="shared" si="140"/>
        <v>1.2857499999999999</v>
      </c>
      <c r="V153" s="34">
        <f t="shared" si="140"/>
        <v>1.4362306607897861</v>
      </c>
      <c r="W153" s="35">
        <v>0.44</v>
      </c>
      <c r="X153" s="35">
        <v>1.69</v>
      </c>
      <c r="Y153" s="64">
        <v>0.78584277000451697</v>
      </c>
      <c r="Z153" s="64">
        <v>5.5403354942803608E-2</v>
      </c>
      <c r="AA153" s="65">
        <f>Y153/Z153</f>
        <v>14.184028581225672</v>
      </c>
      <c r="AB153" s="63">
        <f t="shared" si="155"/>
        <v>2.0207946830666152</v>
      </c>
      <c r="AC153" s="63">
        <f t="shared" si="156"/>
        <v>0.14246972723541948</v>
      </c>
      <c r="AD153" s="34">
        <f t="shared" si="158"/>
        <v>1.1482254697286011E-2</v>
      </c>
      <c r="AK153" s="33">
        <f>R153*U153</f>
        <v>2557.0344476041478</v>
      </c>
      <c r="AL153" s="30">
        <f>I153/2.76</f>
        <v>70.050724637681171</v>
      </c>
      <c r="AM153" s="32">
        <f t="shared" si="121"/>
        <v>2.66648091115764</v>
      </c>
    </row>
    <row r="154" spans="1:39" x14ac:dyDescent="0.3">
      <c r="D154" s="32" t="s">
        <v>56</v>
      </c>
      <c r="G154" s="32">
        <v>50</v>
      </c>
      <c r="H154" s="33">
        <v>764.29</v>
      </c>
      <c r="I154" s="33">
        <v>98.01</v>
      </c>
      <c r="J154" s="33">
        <f t="shared" si="148"/>
        <v>35.510869565217398</v>
      </c>
      <c r="K154" s="33">
        <f t="shared" si="159"/>
        <v>4.5918818382196491</v>
      </c>
      <c r="L154" s="35">
        <v>4.1399999999999997</v>
      </c>
      <c r="M154" s="35">
        <v>50.21</v>
      </c>
      <c r="N154" s="35">
        <v>44.67</v>
      </c>
      <c r="O154" s="34">
        <f t="shared" si="149"/>
        <v>0.80720971917944628</v>
      </c>
      <c r="R154" s="33">
        <f t="shared" si="154"/>
        <v>537.82769169488142</v>
      </c>
      <c r="S154" s="66">
        <f>(H154-I154)*O154/V154</f>
        <v>371.45600366643703</v>
      </c>
      <c r="U154" s="34">
        <f t="shared" si="140"/>
        <v>1.3718694142112708</v>
      </c>
      <c r="V154" s="34">
        <f t="shared" si="140"/>
        <v>1.4478906960347426</v>
      </c>
      <c r="W154" s="35">
        <v>0.16</v>
      </c>
      <c r="X154" s="35">
        <v>0.42</v>
      </c>
      <c r="Y154" s="64">
        <v>0.38795514388643942</v>
      </c>
      <c r="Z154" s="64">
        <v>3.0187638267791837E-2</v>
      </c>
      <c r="AA154" s="65">
        <f>Y154/Z154</f>
        <v>12.851457290064365</v>
      </c>
      <c r="AB154" s="63">
        <f t="shared" si="155"/>
        <v>2.6611189799186947</v>
      </c>
      <c r="AC154" s="63">
        <f t="shared" si="156"/>
        <v>0.20706748813428669</v>
      </c>
      <c r="AD154" s="34">
        <f>(W154*0.5)/(5*38.32*G154)*100*100*G154/1000</f>
        <v>4.1753653444676414E-3</v>
      </c>
      <c r="AK154" s="33">
        <f>R154*U154</f>
        <v>737.82936035205694</v>
      </c>
      <c r="AL154" s="30">
        <f>I154/2.76</f>
        <v>35.510869565217398</v>
      </c>
      <c r="AM154" s="32">
        <f t="shared" si="121"/>
        <v>4.5918818382196491</v>
      </c>
    </row>
    <row r="155" spans="1:39" x14ac:dyDescent="0.3">
      <c r="D155" s="32" t="s">
        <v>57</v>
      </c>
      <c r="G155" s="32">
        <v>50</v>
      </c>
      <c r="H155" s="33"/>
      <c r="I155" s="33"/>
      <c r="J155" s="33"/>
      <c r="K155" s="33"/>
      <c r="L155" s="35"/>
      <c r="M155" s="35"/>
      <c r="N155" s="35"/>
      <c r="U155" s="34">
        <f t="shared" si="140"/>
        <v>1.3989143165798161</v>
      </c>
      <c r="V155" s="34">
        <f t="shared" si="140"/>
        <v>1.4457674247628549</v>
      </c>
      <c r="W155" s="35"/>
      <c r="X155" s="35"/>
      <c r="Y155" s="64"/>
      <c r="Z155" s="64"/>
      <c r="AA155" s="64"/>
      <c r="AB155" s="63"/>
      <c r="AC155" s="63"/>
      <c r="AD155" s="35"/>
      <c r="AK155" s="33">
        <f>R155*U155</f>
        <v>0</v>
      </c>
      <c r="AL155" s="30">
        <f>I155/2.76</f>
        <v>0</v>
      </c>
      <c r="AM155" s="32" t="e">
        <f t="shared" si="121"/>
        <v>#DIV/0!</v>
      </c>
    </row>
    <row r="156" spans="1:39" x14ac:dyDescent="0.3">
      <c r="D156" s="32" t="s">
        <v>58</v>
      </c>
      <c r="G156" s="32">
        <v>50</v>
      </c>
      <c r="H156" s="33"/>
      <c r="I156" s="33"/>
      <c r="J156" s="33"/>
      <c r="K156" s="33"/>
      <c r="L156" s="35"/>
      <c r="M156" s="35"/>
      <c r="N156" s="35"/>
      <c r="U156" s="34">
        <f t="shared" si="140"/>
        <v>1.38</v>
      </c>
      <c r="V156" s="34">
        <f t="shared" si="140"/>
        <v>1.4331986779930224</v>
      </c>
      <c r="W156" s="35"/>
      <c r="X156" s="35"/>
      <c r="Y156" s="64"/>
      <c r="Z156" s="64"/>
      <c r="AA156" s="64"/>
      <c r="AB156" s="63"/>
      <c r="AC156" s="63"/>
      <c r="AD156" s="35"/>
      <c r="AK156" s="33">
        <f>R156*U156</f>
        <v>0</v>
      </c>
      <c r="AL156" s="30">
        <f>I156/2.76</f>
        <v>0</v>
      </c>
      <c r="AM156" s="32" t="e">
        <f t="shared" si="121"/>
        <v>#DIV/0!</v>
      </c>
    </row>
    <row r="157" spans="1:39" x14ac:dyDescent="0.3">
      <c r="D157" s="32" t="s">
        <v>59</v>
      </c>
      <c r="G157" s="32">
        <v>50</v>
      </c>
      <c r="H157" s="33"/>
      <c r="I157" s="33"/>
      <c r="J157" s="33"/>
      <c r="K157" s="33"/>
      <c r="L157" s="35"/>
      <c r="M157" s="35"/>
      <c r="N157" s="35"/>
      <c r="U157" s="34">
        <f t="shared" si="140"/>
        <v>1.38</v>
      </c>
      <c r="V157" s="34">
        <f t="shared" si="140"/>
        <v>1.4331986779930224</v>
      </c>
      <c r="W157" s="35"/>
      <c r="X157" s="35"/>
      <c r="Y157" s="64"/>
      <c r="Z157" s="64"/>
      <c r="AA157" s="64"/>
      <c r="AB157" s="63"/>
      <c r="AC157" s="63"/>
      <c r="AD157" s="35"/>
      <c r="AK157" s="33">
        <f>R157*U157</f>
        <v>0</v>
      </c>
      <c r="AL157" s="30">
        <f>I157/2.76</f>
        <v>0</v>
      </c>
      <c r="AM157" s="32" t="e">
        <f t="shared" si="121"/>
        <v>#DIV/0!</v>
      </c>
    </row>
    <row r="158" spans="1:39" x14ac:dyDescent="0.3">
      <c r="D158" s="32" t="s">
        <v>60</v>
      </c>
      <c r="G158" s="32">
        <v>50</v>
      </c>
      <c r="H158" s="33"/>
      <c r="I158" s="33"/>
      <c r="J158" s="33"/>
      <c r="K158" s="33"/>
      <c r="L158" s="35"/>
      <c r="M158" s="35"/>
      <c r="N158" s="35"/>
      <c r="U158" s="34">
        <f t="shared" si="140"/>
        <v>1.38</v>
      </c>
      <c r="V158" s="34">
        <f t="shared" si="140"/>
        <v>1.4331986779930224</v>
      </c>
      <c r="W158" s="35"/>
      <c r="X158" s="35"/>
      <c r="Y158" s="64"/>
      <c r="Z158" s="64"/>
      <c r="AA158" s="64"/>
      <c r="AB158" s="63"/>
      <c r="AC158" s="63"/>
      <c r="AD158" s="35"/>
      <c r="AK158" s="33">
        <f>R158*U158</f>
        <v>0</v>
      </c>
      <c r="AL158" s="30">
        <f>I158/2.76</f>
        <v>0</v>
      </c>
      <c r="AM158" s="32" t="e">
        <f t="shared" si="121"/>
        <v>#DIV/0!</v>
      </c>
    </row>
    <row r="159" spans="1:39" x14ac:dyDescent="0.3">
      <c r="H159" s="33"/>
      <c r="I159" s="33"/>
      <c r="J159" s="33"/>
      <c r="K159" s="33"/>
      <c r="L159" s="35"/>
      <c r="M159" s="35"/>
      <c r="N159" s="35"/>
      <c r="W159" s="35"/>
      <c r="X159" s="35"/>
      <c r="Y159" s="64"/>
      <c r="Z159" s="64"/>
      <c r="AA159" s="64"/>
      <c r="AK159" s="33">
        <f>R159*U159</f>
        <v>0</v>
      </c>
      <c r="AL159" s="30">
        <f>I159/2.76</f>
        <v>0</v>
      </c>
      <c r="AM159" s="32" t="e">
        <f t="shared" si="121"/>
        <v>#DIV/0!</v>
      </c>
    </row>
    <row r="160" spans="1:39" x14ac:dyDescent="0.3">
      <c r="A160" s="32" t="s">
        <v>73</v>
      </c>
      <c r="B160" s="32">
        <v>250</v>
      </c>
      <c r="C160" s="32" t="s">
        <v>25</v>
      </c>
      <c r="D160" s="32" t="s">
        <v>51</v>
      </c>
      <c r="E160" s="32" t="s">
        <v>122</v>
      </c>
      <c r="H160" s="33">
        <v>863.84</v>
      </c>
      <c r="I160" s="33"/>
      <c r="J160" s="33"/>
      <c r="K160" s="33"/>
      <c r="L160" s="35"/>
      <c r="M160" s="35"/>
      <c r="P160" s="35">
        <v>631.29999999999995</v>
      </c>
      <c r="W160" s="35"/>
      <c r="X160" s="35"/>
      <c r="Y160" s="64"/>
      <c r="Z160" s="64"/>
      <c r="AA160" s="64"/>
      <c r="AB160" s="63">
        <f>(P160*0.5)/9/(25*25)*100*100/1000</f>
        <v>0.56115555555555552</v>
      </c>
      <c r="AK160" s="33">
        <f>R160*U160</f>
        <v>0</v>
      </c>
      <c r="AL160" s="30">
        <f>I160/2.76</f>
        <v>0</v>
      </c>
      <c r="AM160" s="32" t="e">
        <f t="shared" si="121"/>
        <v>#DIV/0!</v>
      </c>
    </row>
    <row r="161" spans="1:39" x14ac:dyDescent="0.3">
      <c r="D161" s="32" t="s">
        <v>52</v>
      </c>
      <c r="F161" s="32" t="s">
        <v>212</v>
      </c>
      <c r="G161" s="32">
        <v>10</v>
      </c>
      <c r="H161" s="33">
        <v>6583.09</v>
      </c>
      <c r="I161" s="33">
        <v>1847.28</v>
      </c>
      <c r="J161" s="33">
        <f t="shared" ref="J161:J169" si="160">I161/2.76</f>
        <v>669.304347826087</v>
      </c>
      <c r="K161" s="33">
        <f>J161/Q161*100</f>
        <v>14.77493041558691</v>
      </c>
      <c r="L161" s="35">
        <v>4.16</v>
      </c>
      <c r="M161" s="35">
        <v>51.26</v>
      </c>
      <c r="N161" s="35">
        <v>45.34</v>
      </c>
      <c r="O161" s="34">
        <f t="shared" ref="O161:O169" si="161">(N161-L161)/M161</f>
        <v>0.8033554428404216</v>
      </c>
      <c r="P161" s="33"/>
      <c r="Q161" s="32">
        <v>4530</v>
      </c>
      <c r="R161" s="33">
        <f>(H161-I161)*O161</f>
        <v>3804.5387397580971</v>
      </c>
      <c r="S161" s="33">
        <f>Q161-J161</f>
        <v>3860.695652173913</v>
      </c>
      <c r="T161" s="34">
        <f t="shared" ref="T161" si="162">R161/S161</f>
        <v>0.98545419854989225</v>
      </c>
      <c r="U161" s="34">
        <f t="shared" ref="U161:V161" si="163">U150</f>
        <v>0.83274999999999988</v>
      </c>
      <c r="V161" s="34">
        <f t="shared" si="163"/>
        <v>0.9649217490163926</v>
      </c>
      <c r="W161" s="35">
        <v>12.9</v>
      </c>
      <c r="X161" s="35">
        <v>12.92</v>
      </c>
      <c r="Y161" s="64">
        <v>5.0991843470013309</v>
      </c>
      <c r="Z161" s="64">
        <v>0.37594734105441296</v>
      </c>
      <c r="AA161" s="65">
        <f t="shared" ref="AA161:AA169" si="164">Y161/Z161</f>
        <v>13.56356007918486</v>
      </c>
      <c r="AB161" s="63">
        <f t="shared" ref="AB161" si="165">(Y161*10)*100*100*G161*T161/1000000</f>
        <v>5.0250126239323523</v>
      </c>
      <c r="AC161" s="63">
        <f t="shared" ref="AC161" si="166">(Z161*10)*100*100*G161*T161/1000000</f>
        <v>0.37047888567573956</v>
      </c>
      <c r="AD161" s="34">
        <f>(W161*0.5)/Q161*100*100*G161/1000</f>
        <v>0.14238410596026488</v>
      </c>
      <c r="AE161" s="63">
        <f>SUM(AB161:AB165)</f>
        <v>9.6715031783345431</v>
      </c>
      <c r="AF161" s="63">
        <f>SUM(AC161:AC165)</f>
        <v>0.6994893260314633</v>
      </c>
      <c r="AG161" s="63">
        <f>AE161/AF161</f>
        <v>13.826520031700262</v>
      </c>
      <c r="AH161" s="35">
        <f>SUM(AD161:AD165)</f>
        <v>0.24076615188928369</v>
      </c>
      <c r="AI161" s="35"/>
      <c r="AK161" s="33">
        <f>R161*U161</f>
        <v>3168.2296355335548</v>
      </c>
      <c r="AL161" s="30">
        <f>I161/2.76</f>
        <v>669.304347826087</v>
      </c>
      <c r="AM161" s="32">
        <f t="shared" si="121"/>
        <v>17.44100119317072</v>
      </c>
    </row>
    <row r="162" spans="1:39" x14ac:dyDescent="0.3">
      <c r="D162" s="32" t="s">
        <v>53</v>
      </c>
      <c r="G162" s="32">
        <v>10</v>
      </c>
      <c r="H162" s="33">
        <v>2069.5500000000002</v>
      </c>
      <c r="I162" s="33">
        <v>624.78</v>
      </c>
      <c r="J162" s="33">
        <f t="shared" si="160"/>
        <v>226.36956521739131</v>
      </c>
      <c r="K162" s="33">
        <f>AM162</f>
        <v>16.916613410846026</v>
      </c>
      <c r="L162" s="35">
        <v>4.26</v>
      </c>
      <c r="M162" s="35">
        <v>50.71</v>
      </c>
      <c r="N162" s="35">
        <v>44.51</v>
      </c>
      <c r="O162" s="34">
        <f t="shared" si="161"/>
        <v>0.79372904752514295</v>
      </c>
      <c r="R162" s="33">
        <f t="shared" ref="R162:R169" si="167">(H162-I162)*O162</f>
        <v>1146.755915992901</v>
      </c>
      <c r="S162" s="66">
        <f>(H162-I162)*O162/V162</f>
        <v>909.62173699795358</v>
      </c>
      <c r="U162" s="34">
        <f t="shared" si="140"/>
        <v>0.96949999999999992</v>
      </c>
      <c r="V162" s="34">
        <f t="shared" si="140"/>
        <v>1.2606953740766651</v>
      </c>
      <c r="W162" s="35">
        <v>1.71</v>
      </c>
      <c r="X162" s="35">
        <v>7.7</v>
      </c>
      <c r="Y162" s="64">
        <v>1.2899820942717939</v>
      </c>
      <c r="Z162" s="64">
        <v>8.9966211693504369E-2</v>
      </c>
      <c r="AA162" s="65">
        <f t="shared" si="164"/>
        <v>14.338517427703712</v>
      </c>
      <c r="AB162" s="63">
        <f t="shared" ref="AB162" si="168">(Y162*10)*100*100*G162*U162/1000000</f>
        <v>1.2506376403965043</v>
      </c>
      <c r="AC162" s="63">
        <f t="shared" ref="AC162" si="169">(Z162*10)*100*100*G162*U162/1000000</f>
        <v>8.7222242236852487E-2</v>
      </c>
      <c r="AD162" s="34">
        <f>(W162*0.5)/(5*38.32*G162)*100*100*G162/1000</f>
        <v>4.4624217118997903E-2</v>
      </c>
      <c r="AK162" s="33">
        <f>R162*U162</f>
        <v>1111.7798605551175</v>
      </c>
      <c r="AL162" s="30">
        <f>I162/2.76</f>
        <v>226.36956521739131</v>
      </c>
      <c r="AM162" s="32">
        <f t="shared" si="121"/>
        <v>16.916613410846026</v>
      </c>
    </row>
    <row r="163" spans="1:39" x14ac:dyDescent="0.3">
      <c r="D163" s="32" t="s">
        <v>54</v>
      </c>
      <c r="G163" s="32">
        <v>10</v>
      </c>
      <c r="H163" s="33">
        <v>2311.15</v>
      </c>
      <c r="I163" s="33">
        <v>135.71</v>
      </c>
      <c r="J163" s="33">
        <f t="shared" si="160"/>
        <v>49.170289855072468</v>
      </c>
      <c r="K163" s="33">
        <f t="shared" ref="K163:K164" si="170">AM163</f>
        <v>2.4484193808605381</v>
      </c>
      <c r="L163" s="35">
        <v>4.1399999999999997</v>
      </c>
      <c r="M163" s="35">
        <v>50.66</v>
      </c>
      <c r="N163" s="35">
        <v>42.55</v>
      </c>
      <c r="O163" s="34">
        <f t="shared" si="161"/>
        <v>0.75819186735096722</v>
      </c>
      <c r="R163" s="33">
        <f t="shared" si="167"/>
        <v>1649.4009159099883</v>
      </c>
      <c r="S163" s="66">
        <f t="shared" ref="S163:S164" si="171">(H163-I163)*O163/V163</f>
        <v>1178.0217201217197</v>
      </c>
      <c r="U163" s="34">
        <f t="shared" si="140"/>
        <v>1.1877499999999999</v>
      </c>
      <c r="V163" s="34">
        <f t="shared" si="140"/>
        <v>1.4001447407434584</v>
      </c>
      <c r="W163" s="35">
        <v>0.66</v>
      </c>
      <c r="X163" s="35">
        <v>4.24</v>
      </c>
      <c r="Y163" s="64">
        <v>0.62901487981154791</v>
      </c>
      <c r="Z163" s="64">
        <v>4.4859541716630244E-2</v>
      </c>
      <c r="AA163" s="65">
        <f t="shared" si="164"/>
        <v>14.021874850726812</v>
      </c>
      <c r="AB163" s="63">
        <f t="shared" si="155"/>
        <v>0.74711242349616602</v>
      </c>
      <c r="AC163" s="63">
        <f t="shared" si="156"/>
        <v>5.3281920673927577E-2</v>
      </c>
      <c r="AD163" s="34">
        <f t="shared" ref="AD163:AD164" si="172">(W163*0.5)/(5*38.32*G163)*100*100*G163/1000</f>
        <v>1.7223382045929016E-2</v>
      </c>
      <c r="AK163" s="33">
        <f>R163*U163</f>
        <v>1959.0759378720884</v>
      </c>
      <c r="AL163" s="30">
        <f>I163/2.76</f>
        <v>49.170289855072468</v>
      </c>
      <c r="AM163" s="32">
        <f t="shared" si="121"/>
        <v>2.4484193808605381</v>
      </c>
    </row>
    <row r="164" spans="1:39" x14ac:dyDescent="0.3">
      <c r="D164" s="32" t="s">
        <v>55</v>
      </c>
      <c r="G164" s="32">
        <v>20</v>
      </c>
      <c r="H164" s="33">
        <v>5235.8500000000004</v>
      </c>
      <c r="I164" s="33">
        <v>131.11000000000001</v>
      </c>
      <c r="J164" s="33">
        <f t="shared" si="160"/>
        <v>47.503623188405804</v>
      </c>
      <c r="K164" s="33">
        <f t="shared" si="170"/>
        <v>0.89171342731624992</v>
      </c>
      <c r="L164" s="35">
        <v>4.18</v>
      </c>
      <c r="M164" s="35">
        <v>53.43</v>
      </c>
      <c r="N164" s="35">
        <v>47.16</v>
      </c>
      <c r="O164" s="34">
        <f t="shared" si="161"/>
        <v>0.80441699419801604</v>
      </c>
      <c r="R164" s="33">
        <f t="shared" si="167"/>
        <v>4106.3396069623814</v>
      </c>
      <c r="S164" s="66">
        <f t="shared" si="171"/>
        <v>2859.1087205339963</v>
      </c>
      <c r="U164" s="34">
        <f t="shared" si="140"/>
        <v>1.2857499999999999</v>
      </c>
      <c r="V164" s="34">
        <f t="shared" si="140"/>
        <v>1.4362306607897861</v>
      </c>
      <c r="W164" s="35">
        <v>0.54</v>
      </c>
      <c r="X164" s="35">
        <v>1.1100000000000001</v>
      </c>
      <c r="Y164" s="64">
        <v>0.34812422752520972</v>
      </c>
      <c r="Z164" s="64">
        <v>2.8352071645761812E-2</v>
      </c>
      <c r="AA164" s="65">
        <f t="shared" si="164"/>
        <v>12.278616951691035</v>
      </c>
      <c r="AB164" s="63">
        <f t="shared" si="155"/>
        <v>0.89520145108107674</v>
      </c>
      <c r="AC164" s="63">
        <f t="shared" si="156"/>
        <v>7.2907352237076492E-2</v>
      </c>
      <c r="AD164" s="34">
        <f t="shared" si="172"/>
        <v>1.409185803757829E-2</v>
      </c>
      <c r="AK164" s="33">
        <f>R164*U164</f>
        <v>5279.7261496518813</v>
      </c>
      <c r="AL164" s="30">
        <f>I164/2.76</f>
        <v>47.503623188405804</v>
      </c>
      <c r="AM164" s="32">
        <f t="shared" si="121"/>
        <v>0.89171342731624992</v>
      </c>
    </row>
    <row r="165" spans="1:39" x14ac:dyDescent="0.3">
      <c r="D165" s="32" t="s">
        <v>56</v>
      </c>
      <c r="G165" s="32">
        <v>50</v>
      </c>
      <c r="H165" s="33">
        <v>12846.24</v>
      </c>
      <c r="I165" s="33">
        <v>998.72</v>
      </c>
      <c r="J165" s="33">
        <f t="shared" si="160"/>
        <v>361.85507246376818</v>
      </c>
      <c r="K165" s="33">
        <f>AM165</f>
        <v>2.6438384859583892</v>
      </c>
      <c r="L165" s="35">
        <v>4.12</v>
      </c>
      <c r="M165" s="35">
        <v>52.45</v>
      </c>
      <c r="N165" s="35">
        <v>47.12</v>
      </c>
      <c r="O165" s="34">
        <f t="shared" si="161"/>
        <v>0.81982840800762624</v>
      </c>
      <c r="R165" s="33">
        <f t="shared" si="167"/>
        <v>9712.9334604385131</v>
      </c>
      <c r="S165" s="66">
        <f>(H165-I165)*O165/V165</f>
        <v>6708.3333617922826</v>
      </c>
      <c r="U165" s="34">
        <f t="shared" si="140"/>
        <v>1.3718694142112708</v>
      </c>
      <c r="V165" s="34">
        <f t="shared" si="140"/>
        <v>1.4478906960347426</v>
      </c>
      <c r="W165" s="35">
        <v>0.86</v>
      </c>
      <c r="X165" s="35">
        <v>18.989999999999998</v>
      </c>
      <c r="Y165" s="64">
        <v>0.25564226758952968</v>
      </c>
      <c r="Z165" s="64">
        <v>1.6852759309358679E-2</v>
      </c>
      <c r="AA165" s="65">
        <f t="shared" si="164"/>
        <v>15.16916386787571</v>
      </c>
      <c r="AB165" s="63">
        <f t="shared" si="155"/>
        <v>1.7535390394284451</v>
      </c>
      <c r="AC165" s="63">
        <f t="shared" si="156"/>
        <v>0.11559892520786715</v>
      </c>
      <c r="AD165" s="34">
        <f>(W165*0.5)/(5*38.32*G165)*100*100*G165/1000</f>
        <v>2.2442588726513574E-2</v>
      </c>
      <c r="AK165" s="33">
        <f>R165*U165</f>
        <v>13324.876336644835</v>
      </c>
      <c r="AL165" s="30">
        <f>I165/2.76</f>
        <v>361.85507246376818</v>
      </c>
      <c r="AM165" s="32">
        <f t="shared" si="121"/>
        <v>2.6438384859583892</v>
      </c>
    </row>
    <row r="166" spans="1:39" x14ac:dyDescent="0.3">
      <c r="D166" s="32" t="s">
        <v>57</v>
      </c>
      <c r="G166" s="32">
        <v>50</v>
      </c>
      <c r="H166" s="33">
        <v>6072.61</v>
      </c>
      <c r="I166" s="33">
        <v>15.46</v>
      </c>
      <c r="J166" s="33">
        <f t="shared" si="160"/>
        <v>5.6014492753623193</v>
      </c>
      <c r="K166" s="33">
        <f>AM166</f>
        <v>8.0138912901989795E-2</v>
      </c>
      <c r="L166" s="35">
        <v>4.18</v>
      </c>
      <c r="M166" s="35">
        <v>51.09</v>
      </c>
      <c r="N166" s="35">
        <v>46.29</v>
      </c>
      <c r="O166" s="34">
        <f t="shared" si="161"/>
        <v>0.82423174789586995</v>
      </c>
      <c r="R166" s="33">
        <f t="shared" si="167"/>
        <v>4992.4953317674681</v>
      </c>
      <c r="S166" s="66">
        <f>(H166-I166)*O166/V166</f>
        <v>3453.1801216826925</v>
      </c>
      <c r="U166" s="34">
        <f t="shared" si="140"/>
        <v>1.3989143165798161</v>
      </c>
      <c r="V166" s="34">
        <f t="shared" si="140"/>
        <v>1.4457674247628549</v>
      </c>
      <c r="W166" s="35">
        <v>0.27</v>
      </c>
      <c r="X166" s="35">
        <v>0.22</v>
      </c>
      <c r="Y166" s="64">
        <v>6.4685000608088863E-2</v>
      </c>
      <c r="Z166" s="64">
        <v>7.1640292229891442E-3</v>
      </c>
      <c r="AA166" s="65">
        <f t="shared" si="164"/>
        <v>9.0291368997374732</v>
      </c>
      <c r="AB166" s="63">
        <f t="shared" si="155"/>
        <v>0.45244386709314804</v>
      </c>
      <c r="AC166" s="63">
        <f t="shared" si="156"/>
        <v>5.0109315222178458E-2</v>
      </c>
      <c r="AD166" s="34">
        <f t="shared" ref="AD166:AD169" si="173">(W166*0.5)/(5*38.32*G166)*100*100*G166/1000</f>
        <v>7.045929018789145E-3</v>
      </c>
      <c r="AK166" s="33">
        <f>R166*U166</f>
        <v>6984.0731950674099</v>
      </c>
      <c r="AL166" s="30">
        <f>I166/2.76</f>
        <v>5.6014492753623193</v>
      </c>
      <c r="AM166" s="32">
        <f t="shared" si="121"/>
        <v>8.0138912901989795E-2</v>
      </c>
    </row>
    <row r="167" spans="1:39" x14ac:dyDescent="0.3">
      <c r="D167" s="32" t="s">
        <v>58</v>
      </c>
      <c r="G167" s="32">
        <v>50</v>
      </c>
      <c r="H167" s="33">
        <v>2481.42</v>
      </c>
      <c r="I167" s="33">
        <v>4.93</v>
      </c>
      <c r="J167" s="33">
        <f t="shared" si="160"/>
        <v>1.786231884057971</v>
      </c>
      <c r="K167" s="33">
        <f>AM167</f>
        <v>6.5638224323836189E-2</v>
      </c>
      <c r="L167" s="35">
        <v>4.13</v>
      </c>
      <c r="M167" s="35">
        <v>50.43</v>
      </c>
      <c r="N167" s="35">
        <v>44.26</v>
      </c>
      <c r="O167" s="34">
        <f t="shared" si="161"/>
        <v>0.79575649415030725</v>
      </c>
      <c r="R167" s="33">
        <f t="shared" si="167"/>
        <v>1970.6830001982946</v>
      </c>
      <c r="S167" s="66">
        <f t="shared" ref="S167:S168" si="174">(H167-I167)*O167/V167</f>
        <v>1375.0242938808301</v>
      </c>
      <c r="U167" s="34">
        <f t="shared" si="140"/>
        <v>1.38</v>
      </c>
      <c r="V167" s="34">
        <f t="shared" si="140"/>
        <v>1.4331986779930224</v>
      </c>
      <c r="W167" s="35">
        <v>0.13</v>
      </c>
      <c r="X167" s="35">
        <v>0.63</v>
      </c>
      <c r="Y167" s="64">
        <v>8.2747741489417978E-2</v>
      </c>
      <c r="Z167" s="64">
        <v>8.9035264402324218E-3</v>
      </c>
      <c r="AA167" s="65">
        <f t="shared" si="164"/>
        <v>9.2938165618855493</v>
      </c>
      <c r="AB167" s="63">
        <f t="shared" si="155"/>
        <v>0.57095941627698388</v>
      </c>
      <c r="AC167" s="63">
        <f t="shared" si="156"/>
        <v>6.1434332437603704E-2</v>
      </c>
      <c r="AD167" s="34">
        <f t="shared" si="173"/>
        <v>3.3924843423799585E-3</v>
      </c>
      <c r="AK167" s="33">
        <f>R167*U167</f>
        <v>2719.5425402736464</v>
      </c>
      <c r="AL167" s="30">
        <f>I167/2.76</f>
        <v>1.786231884057971</v>
      </c>
      <c r="AM167" s="32">
        <f t="shared" si="121"/>
        <v>6.5638224323836189E-2</v>
      </c>
    </row>
    <row r="168" spans="1:39" x14ac:dyDescent="0.3">
      <c r="D168" s="32" t="s">
        <v>59</v>
      </c>
      <c r="G168" s="32">
        <v>50</v>
      </c>
      <c r="H168" s="33">
        <v>3056.38</v>
      </c>
      <c r="I168" s="33">
        <v>1076.03</v>
      </c>
      <c r="J168" s="33">
        <f t="shared" si="160"/>
        <v>389.8659420289855</v>
      </c>
      <c r="K168" s="33">
        <f t="shared" ref="K168:K169" si="175">AM168</f>
        <v>14.834293661474254</v>
      </c>
      <c r="L168" s="35">
        <v>4.17</v>
      </c>
      <c r="M168" s="35">
        <v>53.43</v>
      </c>
      <c r="N168" s="35">
        <v>47.93</v>
      </c>
      <c r="O168" s="34">
        <f t="shared" si="161"/>
        <v>0.81901553434400143</v>
      </c>
      <c r="R168" s="33">
        <f t="shared" si="167"/>
        <v>1621.9374134381433</v>
      </c>
      <c r="S168" s="66">
        <f t="shared" si="174"/>
        <v>1131.6905592666474</v>
      </c>
      <c r="U168" s="34">
        <f t="shared" si="140"/>
        <v>1.38</v>
      </c>
      <c r="V168" s="34">
        <f t="shared" si="140"/>
        <v>1.4331986779930224</v>
      </c>
      <c r="W168" s="35">
        <v>0</v>
      </c>
      <c r="X168" s="35">
        <v>0</v>
      </c>
      <c r="Y168" s="64">
        <v>7.7535001293682779E-2</v>
      </c>
      <c r="Z168" s="64">
        <v>8.0252859497477701E-3</v>
      </c>
      <c r="AA168" s="65">
        <f t="shared" si="164"/>
        <v>9.6613381478475109</v>
      </c>
      <c r="AB168" s="63">
        <f t="shared" si="155"/>
        <v>0.53499150892641112</v>
      </c>
      <c r="AC168" s="63">
        <f t="shared" si="156"/>
        <v>5.5374473053259612E-2</v>
      </c>
      <c r="AD168" s="34">
        <f t="shared" si="173"/>
        <v>0</v>
      </c>
      <c r="AK168" s="33">
        <f>R168*U168</f>
        <v>2238.2736305446374</v>
      </c>
      <c r="AL168" s="30">
        <f>I168/2.76</f>
        <v>389.8659420289855</v>
      </c>
      <c r="AM168" s="32">
        <f t="shared" si="121"/>
        <v>14.834293661474254</v>
      </c>
    </row>
    <row r="169" spans="1:39" x14ac:dyDescent="0.3">
      <c r="D169" s="32" t="s">
        <v>60</v>
      </c>
      <c r="G169" s="32">
        <v>50</v>
      </c>
      <c r="H169" s="33">
        <v>1929.69</v>
      </c>
      <c r="I169" s="33">
        <v>489.2</v>
      </c>
      <c r="J169" s="33">
        <f t="shared" si="160"/>
        <v>177.24637681159422</v>
      </c>
      <c r="K169" s="33">
        <f t="shared" si="175"/>
        <v>10.179502945272196</v>
      </c>
      <c r="L169" s="35">
        <v>4.16</v>
      </c>
      <c r="M169" s="35">
        <v>51.02</v>
      </c>
      <c r="N169" s="35">
        <v>44.3</v>
      </c>
      <c r="O169" s="34">
        <f t="shared" si="161"/>
        <v>0.78675029400235197</v>
      </c>
      <c r="R169" s="33">
        <f t="shared" si="167"/>
        <v>1133.305931007448</v>
      </c>
      <c r="S169" s="66">
        <f>(H169-I169)*O169/V169</f>
        <v>790.75284425636733</v>
      </c>
      <c r="U169" s="34">
        <f t="shared" si="140"/>
        <v>1.38</v>
      </c>
      <c r="V169" s="34">
        <f t="shared" si="140"/>
        <v>1.4331986779930224</v>
      </c>
      <c r="W169" s="35">
        <v>0</v>
      </c>
      <c r="X169" s="35">
        <v>0</v>
      </c>
      <c r="Y169" s="64">
        <v>8.1147255431539694E-2</v>
      </c>
      <c r="Z169" s="64">
        <v>9.7370205530357967E-3</v>
      </c>
      <c r="AA169" s="65">
        <f t="shared" si="164"/>
        <v>8.3338897139576957</v>
      </c>
      <c r="AB169" s="63">
        <f t="shared" si="155"/>
        <v>0.55991606247762382</v>
      </c>
      <c r="AC169" s="63">
        <f t="shared" si="156"/>
        <v>6.7185441815946989E-2</v>
      </c>
      <c r="AD169" s="34">
        <f t="shared" si="173"/>
        <v>0</v>
      </c>
      <c r="AK169" s="33">
        <f>R169*U169</f>
        <v>1563.9621847902781</v>
      </c>
      <c r="AL169" s="30">
        <f>I169/2.76</f>
        <v>177.24637681159422</v>
      </c>
      <c r="AM169" s="32">
        <f t="shared" si="121"/>
        <v>10.179502945272196</v>
      </c>
    </row>
    <row r="170" spans="1:39" x14ac:dyDescent="0.3">
      <c r="H170" s="33"/>
      <c r="I170" s="33"/>
      <c r="J170" s="33"/>
      <c r="K170" s="33"/>
      <c r="L170" s="35"/>
      <c r="M170" s="35"/>
      <c r="N170" s="35"/>
      <c r="W170" s="35"/>
      <c r="X170" s="35"/>
      <c r="Y170" s="64"/>
      <c r="Z170" s="64"/>
      <c r="AA170" s="64"/>
      <c r="AK170" s="33">
        <f>R170*U170</f>
        <v>0</v>
      </c>
      <c r="AL170" s="30">
        <f>I170/2.76</f>
        <v>0</v>
      </c>
      <c r="AM170" s="32" t="e">
        <f t="shared" si="121"/>
        <v>#DIV/0!</v>
      </c>
    </row>
    <row r="171" spans="1:39" x14ac:dyDescent="0.3">
      <c r="A171" s="32" t="s">
        <v>74</v>
      </c>
      <c r="B171" s="32">
        <v>250</v>
      </c>
      <c r="C171" s="32" t="s">
        <v>18</v>
      </c>
      <c r="D171" s="32" t="s">
        <v>51</v>
      </c>
      <c r="H171" s="33">
        <v>794.05</v>
      </c>
      <c r="I171" s="33"/>
      <c r="J171" s="33"/>
      <c r="K171" s="33"/>
      <c r="L171" s="35"/>
      <c r="M171" s="35"/>
      <c r="P171" s="35">
        <v>622.34</v>
      </c>
      <c r="W171" s="35"/>
      <c r="X171" s="35"/>
      <c r="Y171" s="64"/>
      <c r="Z171" s="64"/>
      <c r="AA171" s="64"/>
      <c r="AB171" s="63">
        <f>(P171*0.5)/9/(25*25)*100*100/1000</f>
        <v>0.55319111111111108</v>
      </c>
      <c r="AK171" s="33">
        <f>R171*U171</f>
        <v>0</v>
      </c>
      <c r="AL171" s="30">
        <f>I171/2.76</f>
        <v>0</v>
      </c>
      <c r="AM171" s="32" t="e">
        <f t="shared" si="121"/>
        <v>#DIV/0!</v>
      </c>
    </row>
    <row r="172" spans="1:39" x14ac:dyDescent="0.3">
      <c r="D172" s="32" t="s">
        <v>52</v>
      </c>
      <c r="F172" s="32" t="s">
        <v>212</v>
      </c>
      <c r="G172" s="32">
        <v>10</v>
      </c>
      <c r="H172" s="33">
        <v>7061.45</v>
      </c>
      <c r="I172" s="33">
        <v>2223.9900000000002</v>
      </c>
      <c r="J172" s="33">
        <f t="shared" ref="J172:J176" si="176">I172/2.76</f>
        <v>805.79347826086973</v>
      </c>
      <c r="K172" s="33">
        <f>J172/Q172*100</f>
        <v>16.665842363203094</v>
      </c>
      <c r="L172" s="35">
        <v>4.08</v>
      </c>
      <c r="M172" s="35">
        <v>55.4</v>
      </c>
      <c r="N172" s="35">
        <v>47.12</v>
      </c>
      <c r="O172" s="34">
        <f t="shared" ref="O172:O176" si="177">(N172-L172)/M172</f>
        <v>0.77689530685920583</v>
      </c>
      <c r="P172" s="33"/>
      <c r="Q172" s="32">
        <v>4835</v>
      </c>
      <c r="R172" s="33">
        <f>(H172-I172)*O172</f>
        <v>3758.1999711191334</v>
      </c>
      <c r="S172" s="33">
        <f>Q172-J172</f>
        <v>4029.20652173913</v>
      </c>
      <c r="T172" s="34">
        <f t="shared" ref="T172" si="178">R172/S172</f>
        <v>0.93273947384979861</v>
      </c>
      <c r="U172" s="34">
        <f t="shared" ref="U172:V172" si="179">U161</f>
        <v>0.83274999999999988</v>
      </c>
      <c r="V172" s="34">
        <f t="shared" si="179"/>
        <v>0.9649217490163926</v>
      </c>
      <c r="W172" s="35">
        <v>15.65</v>
      </c>
      <c r="X172" s="35">
        <v>13.07</v>
      </c>
      <c r="Y172" s="64">
        <v>5.5024195792227335</v>
      </c>
      <c r="Z172" s="64">
        <v>0.42024324617865999</v>
      </c>
      <c r="AA172" s="65">
        <f>Y172/Z172</f>
        <v>13.093415847267332</v>
      </c>
      <c r="AB172" s="63">
        <f t="shared" ref="AB172" si="180">(Y172*10)*100*100*G172*T172/1000000</f>
        <v>5.1323239432250416</v>
      </c>
      <c r="AC172" s="63">
        <f t="shared" ref="AC172" si="181">(Z172*10)*100*100*G172*T172/1000000</f>
        <v>0.39197746432961467</v>
      </c>
      <c r="AD172" s="34">
        <f>(W172*0.5)/Q172*100*100*G172/1000</f>
        <v>0.16184074457083766</v>
      </c>
      <c r="AE172" s="63">
        <f>SUM(AB172:AB176)</f>
        <v>11.462258855703899</v>
      </c>
      <c r="AF172" s="63">
        <f>SUM(AC172:AC176)</f>
        <v>0.93878492296568616</v>
      </c>
      <c r="AG172" s="63">
        <f>AE172/AF172</f>
        <v>12.209675054743993</v>
      </c>
      <c r="AH172" s="35">
        <f>SUM(AD172:AD176)</f>
        <v>0.26857352118879174</v>
      </c>
      <c r="AI172" s="35"/>
      <c r="AK172" s="33">
        <f>R172*U172</f>
        <v>3129.6410259494578</v>
      </c>
      <c r="AL172" s="30">
        <f>I172/2.76</f>
        <v>805.79347826086973</v>
      </c>
      <c r="AM172" s="32">
        <f t="shared" si="121"/>
        <v>20.475337028193223</v>
      </c>
    </row>
    <row r="173" spans="1:39" x14ac:dyDescent="0.3">
      <c r="D173" s="32" t="s">
        <v>53</v>
      </c>
      <c r="G173" s="32">
        <v>10</v>
      </c>
      <c r="H173" s="33">
        <v>4280.8900000000003</v>
      </c>
      <c r="I173" s="33">
        <v>1057.28</v>
      </c>
      <c r="J173" s="33">
        <f t="shared" si="176"/>
        <v>383.07246376811594</v>
      </c>
      <c r="K173" s="33">
        <f>AM173</f>
        <v>13.134474586621959</v>
      </c>
      <c r="L173" s="35">
        <v>4.18</v>
      </c>
      <c r="M173" s="35">
        <v>52.28</v>
      </c>
      <c r="N173" s="35">
        <v>46.56</v>
      </c>
      <c r="O173" s="34">
        <f t="shared" si="177"/>
        <v>0.81063504208110182</v>
      </c>
      <c r="R173" s="33">
        <f t="shared" ref="R173:R176" si="182">(H173-I173)*O173</f>
        <v>2613.1712280030611</v>
      </c>
      <c r="S173" s="66">
        <f>(H173-I173)*O173/V173</f>
        <v>2072.8014726927599</v>
      </c>
      <c r="U173" s="34">
        <f t="shared" si="140"/>
        <v>0.96949999999999992</v>
      </c>
      <c r="V173" s="34">
        <f t="shared" si="140"/>
        <v>1.2606953740766651</v>
      </c>
      <c r="W173" s="35">
        <v>3.53</v>
      </c>
      <c r="X173" s="35">
        <v>8.3699999999999992</v>
      </c>
      <c r="Y173" s="64">
        <v>2.3664443341946515</v>
      </c>
      <c r="Z173" s="64">
        <v>0.190674524198123</v>
      </c>
      <c r="AA173" s="65">
        <f>Y173/Z173</f>
        <v>12.410909869300447</v>
      </c>
      <c r="AB173" s="63">
        <f t="shared" ref="AB173" si="183">(Y173*10)*100*100*G173*U173/1000000</f>
        <v>2.2942677820017146</v>
      </c>
      <c r="AC173" s="63">
        <f t="shared" ref="AC173" si="184">(Z173*10)*100*100*G173*U173/1000000</f>
        <v>0.18485895121008025</v>
      </c>
      <c r="AD173" s="34">
        <f>(W173*0.5)/(5*38.32*G173)*100*100*G173/1000</f>
        <v>9.2118997912317327E-2</v>
      </c>
      <c r="AK173" s="33">
        <f>R173*U173</f>
        <v>2533.4695055489674</v>
      </c>
      <c r="AL173" s="30">
        <f>I173/2.76</f>
        <v>383.07246376811594</v>
      </c>
      <c r="AM173" s="32">
        <f t="shared" si="121"/>
        <v>13.134474586621959</v>
      </c>
    </row>
    <row r="174" spans="1:39" x14ac:dyDescent="0.3">
      <c r="D174" s="32" t="s">
        <v>54</v>
      </c>
      <c r="G174" s="32">
        <v>10</v>
      </c>
      <c r="H174" s="33">
        <v>1930.93</v>
      </c>
      <c r="I174" s="33">
        <v>320.44</v>
      </c>
      <c r="J174" s="33">
        <f t="shared" si="176"/>
        <v>116.10144927536233</v>
      </c>
      <c r="K174" s="33">
        <f>AM174</f>
        <v>6.6412122803928035</v>
      </c>
      <c r="L174" s="35">
        <v>4.12</v>
      </c>
      <c r="M174" s="35">
        <v>62.68</v>
      </c>
      <c r="N174" s="35">
        <v>57.6</v>
      </c>
      <c r="O174" s="34">
        <f t="shared" si="177"/>
        <v>0.85322271857051701</v>
      </c>
      <c r="R174" s="33">
        <f t="shared" si="182"/>
        <v>1374.1066560306319</v>
      </c>
      <c r="S174" s="66">
        <f t="shared" ref="S174:S175" si="185">(H174-I174)*O174/V174</f>
        <v>981.40329070621613</v>
      </c>
      <c r="U174" s="34">
        <f t="shared" si="140"/>
        <v>1.1877499999999999</v>
      </c>
      <c r="V174" s="34">
        <f t="shared" si="140"/>
        <v>1.4001447407434584</v>
      </c>
      <c r="W174" s="35">
        <v>0.56000000000000005</v>
      </c>
      <c r="X174" s="35">
        <v>2.02</v>
      </c>
      <c r="Y174" s="64">
        <v>0.60868412808651629</v>
      </c>
      <c r="Z174" s="64">
        <v>4.4197765584704597E-2</v>
      </c>
      <c r="AA174" s="65">
        <f>Y174/Z174</f>
        <v>13.771830318434965</v>
      </c>
      <c r="AB174" s="63">
        <f t="shared" si="155"/>
        <v>0.72296457313475948</v>
      </c>
      <c r="AC174" s="63">
        <f t="shared" si="156"/>
        <v>5.2495896073232878E-2</v>
      </c>
      <c r="AD174" s="34">
        <f t="shared" ref="AD174:AD175" si="186">(W174*0.5)/(5*38.32*G174)*100*100*G174/1000</f>
        <v>1.4613778705636744E-2</v>
      </c>
      <c r="AK174" s="33">
        <f>R174*U174</f>
        <v>1632.0951807003828</v>
      </c>
      <c r="AL174" s="30">
        <f>I174/2.76</f>
        <v>116.10144927536233</v>
      </c>
      <c r="AM174" s="32">
        <f t="shared" si="121"/>
        <v>6.6412122803928035</v>
      </c>
    </row>
    <row r="175" spans="1:39" x14ac:dyDescent="0.3">
      <c r="D175" s="32" t="s">
        <v>55</v>
      </c>
      <c r="G175" s="32">
        <v>20</v>
      </c>
      <c r="H175" s="33">
        <v>2706.43</v>
      </c>
      <c r="I175" s="33">
        <v>437.73</v>
      </c>
      <c r="J175" s="33">
        <f t="shared" si="176"/>
        <v>158.59782608695653</v>
      </c>
      <c r="K175" s="33">
        <f t="shared" ref="K175:K176" si="187">AM175</f>
        <v>6.0886349188197331</v>
      </c>
      <c r="L175" s="35">
        <v>4.28</v>
      </c>
      <c r="M175" s="35">
        <v>53.66</v>
      </c>
      <c r="N175" s="35">
        <v>49.28</v>
      </c>
      <c r="O175" s="34">
        <f t="shared" si="177"/>
        <v>0.83861349235929938</v>
      </c>
      <c r="R175" s="33">
        <f t="shared" si="182"/>
        <v>1902.5624301155424</v>
      </c>
      <c r="S175" s="66">
        <f t="shared" si="185"/>
        <v>1324.6914176510613</v>
      </c>
      <c r="U175" s="34">
        <f t="shared" si="140"/>
        <v>1.2857499999999999</v>
      </c>
      <c r="V175" s="34">
        <f t="shared" si="140"/>
        <v>1.4362306607897861</v>
      </c>
      <c r="W175" s="35"/>
      <c r="X175" s="35"/>
      <c r="Y175" s="64">
        <v>0.38887284122298127</v>
      </c>
      <c r="Z175" s="64">
        <v>3.3891681523224942E-2</v>
      </c>
      <c r="AA175" s="65">
        <f>Y175/Z175</f>
        <v>11.473990777250119</v>
      </c>
      <c r="AB175" s="63">
        <f t="shared" si="155"/>
        <v>0.99998651120489634</v>
      </c>
      <c r="AC175" s="63">
        <f t="shared" si="156"/>
        <v>8.7152459036972912E-2</v>
      </c>
      <c r="AD175" s="34">
        <f t="shared" si="186"/>
        <v>0</v>
      </c>
      <c r="AK175" s="33">
        <f>R175*U175</f>
        <v>2446.2196445210584</v>
      </c>
      <c r="AL175" s="30">
        <f>I175/2.76</f>
        <v>158.59782608695653</v>
      </c>
      <c r="AM175" s="32">
        <f t="shared" si="121"/>
        <v>6.0886349188197331</v>
      </c>
    </row>
    <row r="176" spans="1:39" x14ac:dyDescent="0.3">
      <c r="D176" s="32" t="s">
        <v>56</v>
      </c>
      <c r="G176" s="32">
        <v>50</v>
      </c>
      <c r="H176" s="33">
        <v>1012.68</v>
      </c>
      <c r="I176" s="33">
        <v>135.83000000000001</v>
      </c>
      <c r="J176" s="33">
        <f t="shared" si="176"/>
        <v>49.213768115942038</v>
      </c>
      <c r="K176" s="33">
        <f t="shared" si="187"/>
        <v>4.7671599782178422</v>
      </c>
      <c r="L176" s="35">
        <v>4.1900000000000004</v>
      </c>
      <c r="M176" s="35">
        <v>50.9</v>
      </c>
      <c r="N176" s="35">
        <v>45.79</v>
      </c>
      <c r="O176" s="34">
        <f t="shared" si="177"/>
        <v>0.81728880157170924</v>
      </c>
      <c r="R176" s="33">
        <f t="shared" si="182"/>
        <v>716.63968565815321</v>
      </c>
      <c r="S176" s="66">
        <f>(H176-I176)*O176/V176</f>
        <v>494.95427218420167</v>
      </c>
      <c r="U176" s="34">
        <f t="shared" si="140"/>
        <v>1.3718694142112708</v>
      </c>
      <c r="V176" s="34">
        <f t="shared" si="140"/>
        <v>1.4478906960347426</v>
      </c>
      <c r="W176" s="35"/>
      <c r="X176" s="35"/>
      <c r="Y176" s="64">
        <v>0.3371627098293663</v>
      </c>
      <c r="Z176" s="64">
        <v>3.2408354616403866E-2</v>
      </c>
      <c r="AA176" s="65">
        <f>Y176/Z176</f>
        <v>10.403573825951272</v>
      </c>
      <c r="AB176" s="63">
        <f t="shared" si="155"/>
        <v>2.3127160461374872</v>
      </c>
      <c r="AC176" s="63">
        <f t="shared" si="156"/>
        <v>0.22230015231578554</v>
      </c>
      <c r="AD176" s="34">
        <f>(W176*0.5)/(5*38.32*G176)*100*100*G176/1000</f>
        <v>0</v>
      </c>
      <c r="AK176" s="33">
        <f>R176*U176</f>
        <v>983.13606576439997</v>
      </c>
      <c r="AL176" s="30">
        <f>I176/2.76</f>
        <v>49.213768115942038</v>
      </c>
      <c r="AM176" s="32">
        <f t="shared" si="121"/>
        <v>4.7671599782178422</v>
      </c>
    </row>
    <row r="177" spans="1:39" x14ac:dyDescent="0.3">
      <c r="D177" s="32" t="s">
        <v>57</v>
      </c>
      <c r="G177" s="32">
        <v>50</v>
      </c>
      <c r="H177" s="33"/>
      <c r="I177" s="33"/>
      <c r="J177" s="33"/>
      <c r="K177" s="33"/>
      <c r="L177" s="35"/>
      <c r="M177" s="35"/>
      <c r="N177" s="35"/>
      <c r="U177" s="34">
        <f t="shared" si="140"/>
        <v>1.3989143165798161</v>
      </c>
      <c r="V177" s="34">
        <f t="shared" si="140"/>
        <v>1.4457674247628549</v>
      </c>
      <c r="W177" s="35"/>
      <c r="X177" s="35"/>
      <c r="Y177" s="64"/>
      <c r="Z177" s="64"/>
      <c r="AA177" s="64"/>
      <c r="AB177" s="63"/>
      <c r="AC177" s="63"/>
      <c r="AD177" s="35"/>
      <c r="AK177" s="33">
        <f>R177*U177</f>
        <v>0</v>
      </c>
      <c r="AL177" s="30">
        <f>I177/2.76</f>
        <v>0</v>
      </c>
      <c r="AM177" s="32" t="e">
        <f t="shared" si="121"/>
        <v>#DIV/0!</v>
      </c>
    </row>
    <row r="178" spans="1:39" x14ac:dyDescent="0.3">
      <c r="D178" s="32" t="s">
        <v>58</v>
      </c>
      <c r="G178" s="32">
        <v>50</v>
      </c>
      <c r="H178" s="33"/>
      <c r="I178" s="33"/>
      <c r="J178" s="33"/>
      <c r="K178" s="33"/>
      <c r="L178" s="35"/>
      <c r="M178" s="35"/>
      <c r="N178" s="35"/>
      <c r="U178" s="34">
        <f t="shared" si="140"/>
        <v>1.38</v>
      </c>
      <c r="V178" s="34">
        <f t="shared" si="140"/>
        <v>1.4331986779930224</v>
      </c>
      <c r="W178" s="35"/>
      <c r="X178" s="35"/>
      <c r="Y178" s="64"/>
      <c r="Z178" s="64"/>
      <c r="AA178" s="64"/>
      <c r="AB178" s="63"/>
      <c r="AC178" s="63"/>
      <c r="AD178" s="35"/>
      <c r="AK178" s="33">
        <f>R178*U178</f>
        <v>0</v>
      </c>
      <c r="AL178" s="30">
        <f>I178/2.76</f>
        <v>0</v>
      </c>
      <c r="AM178" s="32" t="e">
        <f t="shared" si="121"/>
        <v>#DIV/0!</v>
      </c>
    </row>
    <row r="179" spans="1:39" x14ac:dyDescent="0.3">
      <c r="D179" s="32" t="s">
        <v>59</v>
      </c>
      <c r="G179" s="32">
        <v>50</v>
      </c>
      <c r="H179" s="33"/>
      <c r="I179" s="33"/>
      <c r="J179" s="33"/>
      <c r="K179" s="33"/>
      <c r="L179" s="35"/>
      <c r="M179" s="35"/>
      <c r="N179" s="35"/>
      <c r="U179" s="34">
        <f t="shared" si="140"/>
        <v>1.38</v>
      </c>
      <c r="V179" s="34">
        <f t="shared" si="140"/>
        <v>1.4331986779930224</v>
      </c>
      <c r="W179" s="35"/>
      <c r="X179" s="35"/>
      <c r="Y179" s="64"/>
      <c r="Z179" s="64"/>
      <c r="AA179" s="64"/>
      <c r="AB179" s="63"/>
      <c r="AC179" s="63"/>
      <c r="AD179" s="35"/>
      <c r="AK179" s="33">
        <f>R179*U179</f>
        <v>0</v>
      </c>
      <c r="AL179" s="30">
        <f>I179/2.76</f>
        <v>0</v>
      </c>
      <c r="AM179" s="32" t="e">
        <f t="shared" si="121"/>
        <v>#DIV/0!</v>
      </c>
    </row>
    <row r="180" spans="1:39" x14ac:dyDescent="0.3">
      <c r="D180" s="32" t="s">
        <v>60</v>
      </c>
      <c r="G180" s="32">
        <v>50</v>
      </c>
      <c r="H180" s="33"/>
      <c r="I180" s="33"/>
      <c r="J180" s="33"/>
      <c r="K180" s="33"/>
      <c r="L180" s="35"/>
      <c r="M180" s="35"/>
      <c r="N180" s="35"/>
      <c r="U180" s="34">
        <f t="shared" si="140"/>
        <v>1.38</v>
      </c>
      <c r="V180" s="34">
        <f t="shared" si="140"/>
        <v>1.4331986779930224</v>
      </c>
      <c r="W180" s="35"/>
      <c r="X180" s="35"/>
      <c r="Y180" s="64"/>
      <c r="Z180" s="64"/>
      <c r="AA180" s="64"/>
      <c r="AB180" s="63"/>
      <c r="AC180" s="63"/>
      <c r="AD180" s="35"/>
      <c r="AK180" s="33">
        <f>R180*U180</f>
        <v>0</v>
      </c>
      <c r="AL180" s="30">
        <f>I180/2.76</f>
        <v>0</v>
      </c>
      <c r="AM180" s="32" t="e">
        <f t="shared" si="121"/>
        <v>#DIV/0!</v>
      </c>
    </row>
    <row r="181" spans="1:39" x14ac:dyDescent="0.3">
      <c r="H181" s="33"/>
      <c r="I181" s="33"/>
      <c r="J181" s="33"/>
      <c r="K181" s="33"/>
      <c r="L181" s="35"/>
      <c r="M181" s="35"/>
      <c r="N181" s="35"/>
      <c r="W181" s="35"/>
      <c r="X181" s="35"/>
      <c r="Y181" s="64"/>
      <c r="Z181" s="64"/>
      <c r="AA181" s="64"/>
      <c r="AK181" s="33">
        <f>R181*U181</f>
        <v>0</v>
      </c>
      <c r="AL181" s="30">
        <f>I181/2.76</f>
        <v>0</v>
      </c>
      <c r="AM181" s="32" t="e">
        <f t="shared" si="121"/>
        <v>#DIV/0!</v>
      </c>
    </row>
    <row r="182" spans="1:39" x14ac:dyDescent="0.3">
      <c r="A182" s="32" t="s">
        <v>75</v>
      </c>
      <c r="B182" s="32">
        <v>250</v>
      </c>
      <c r="C182" s="32" t="s">
        <v>10</v>
      </c>
      <c r="D182" s="32" t="s">
        <v>51</v>
      </c>
      <c r="H182" s="33">
        <v>1462.56</v>
      </c>
      <c r="I182" s="33"/>
      <c r="J182" s="33"/>
      <c r="K182" s="33"/>
      <c r="L182" s="35"/>
      <c r="M182" s="35"/>
      <c r="P182" s="35">
        <v>1030.01</v>
      </c>
      <c r="W182" s="35"/>
      <c r="X182" s="35"/>
      <c r="Y182" s="64"/>
      <c r="Z182" s="64"/>
      <c r="AA182" s="64"/>
      <c r="AB182" s="63">
        <f>(P182*0.5)/9/(25*25)*100*100/1000</f>
        <v>0.91556444444444451</v>
      </c>
      <c r="AK182" s="33">
        <f>R182*U182</f>
        <v>0</v>
      </c>
      <c r="AL182" s="30">
        <f>I182/2.76</f>
        <v>0</v>
      </c>
      <c r="AM182" s="32" t="e">
        <f t="shared" si="121"/>
        <v>#DIV/0!</v>
      </c>
    </row>
    <row r="183" spans="1:39" x14ac:dyDescent="0.3">
      <c r="D183" s="32" t="s">
        <v>52</v>
      </c>
      <c r="F183" s="32" t="s">
        <v>212</v>
      </c>
      <c r="G183" s="32">
        <v>10</v>
      </c>
      <c r="H183" s="33">
        <v>3476.07</v>
      </c>
      <c r="I183" s="33">
        <v>490.36</v>
      </c>
      <c r="J183" s="33">
        <f t="shared" ref="J183:J187" si="188">I183/2.76</f>
        <v>177.66666666666669</v>
      </c>
      <c r="K183" s="33">
        <f>J183/Q183*100</f>
        <v>4.59086993970715</v>
      </c>
      <c r="L183" s="35">
        <v>4.24</v>
      </c>
      <c r="M183" s="35">
        <v>57.55</v>
      </c>
      <c r="N183" s="35">
        <v>54.47</v>
      </c>
      <c r="O183" s="34">
        <f t="shared" ref="O183:O187" si="189">(N183-L183)/M183</f>
        <v>0.87280625543006085</v>
      </c>
      <c r="P183" s="33"/>
      <c r="Q183" s="32">
        <v>3870</v>
      </c>
      <c r="R183" s="33">
        <f>(H183-I183)*O183</f>
        <v>2605.9463649000868</v>
      </c>
      <c r="S183" s="33">
        <f>Q183-J183</f>
        <v>3692.3333333333335</v>
      </c>
      <c r="T183" s="34">
        <f t="shared" ref="T183" si="190">R183/S183</f>
        <v>0.70577223929766719</v>
      </c>
      <c r="U183" s="34">
        <f t="shared" ref="U183:V183" si="191">U172</f>
        <v>0.83274999999999988</v>
      </c>
      <c r="V183" s="34">
        <f t="shared" si="191"/>
        <v>0.9649217490163926</v>
      </c>
      <c r="W183" s="35">
        <v>12.33</v>
      </c>
      <c r="X183" s="35">
        <v>13.64</v>
      </c>
      <c r="Y183" s="64">
        <v>3.8976873111300798</v>
      </c>
      <c r="Z183" s="64">
        <v>0.21234748206508539</v>
      </c>
      <c r="AA183" s="65">
        <f>Y183/Z183</f>
        <v>18.355232062207463</v>
      </c>
      <c r="AB183" s="63">
        <f t="shared" ref="AB183" si="192">(Y183*10)*100*100*G183*T183/1000000</f>
        <v>2.7508795016583796</v>
      </c>
      <c r="AC183" s="63">
        <f t="shared" ref="AC183" si="193">(Z183*10)*100*100*G183*T183/1000000</f>
        <v>0.14986895792629654</v>
      </c>
      <c r="AD183" s="34">
        <f>(W183*0.5)/Q183*100*100*G183/1000</f>
        <v>0.15930232558139534</v>
      </c>
      <c r="AE183" s="63">
        <f>SUM(AB183:AB187)</f>
        <v>6.9227299014198191</v>
      </c>
      <c r="AF183" s="63">
        <f>SUM(AC183:AC187)</f>
        <v>0.42755774529451746</v>
      </c>
      <c r="AG183" s="63">
        <f>AE183/AF183</f>
        <v>16.191333165187288</v>
      </c>
      <c r="AH183" s="35">
        <f>SUM(AD183:AD187)</f>
        <v>0.41269480992377527</v>
      </c>
      <c r="AI183" s="35"/>
      <c r="AK183" s="33">
        <f>R183*U183</f>
        <v>2170.1018353705472</v>
      </c>
      <c r="AL183" s="30">
        <f>I183/2.76</f>
        <v>177.66666666666669</v>
      </c>
      <c r="AM183" s="32">
        <f t="shared" si="121"/>
        <v>7.5674695572626156</v>
      </c>
    </row>
    <row r="184" spans="1:39" x14ac:dyDescent="0.3">
      <c r="D184" s="32" t="s">
        <v>53</v>
      </c>
      <c r="G184" s="32">
        <v>10</v>
      </c>
      <c r="H184" s="33">
        <v>3676.17</v>
      </c>
      <c r="I184" s="33">
        <v>441.68</v>
      </c>
      <c r="J184" s="33">
        <f t="shared" si="188"/>
        <v>160.0289855072464</v>
      </c>
      <c r="K184" s="33">
        <f>AM184</f>
        <v>5.4259485339314493</v>
      </c>
      <c r="L184" s="35">
        <v>4.1900000000000004</v>
      </c>
      <c r="M184" s="35">
        <v>49.86</v>
      </c>
      <c r="N184" s="35">
        <v>48.54</v>
      </c>
      <c r="O184" s="34">
        <f t="shared" si="189"/>
        <v>0.88949057360609707</v>
      </c>
      <c r="R184" s="33">
        <f t="shared" ref="R184:R187" si="194">(H184-I184)*O184</f>
        <v>2877.0483654231853</v>
      </c>
      <c r="S184" s="66">
        <f>(H184-I184)*O184/V184</f>
        <v>2282.1122569203835</v>
      </c>
      <c r="U184" s="34">
        <f t="shared" si="140"/>
        <v>0.96949999999999992</v>
      </c>
      <c r="V184" s="34">
        <f t="shared" si="140"/>
        <v>1.2606953740766651</v>
      </c>
      <c r="W184" s="35">
        <v>6.83</v>
      </c>
      <c r="X184" s="35">
        <v>9.5</v>
      </c>
      <c r="Y184" s="64">
        <v>1.4353238128768648</v>
      </c>
      <c r="Z184" s="64">
        <v>8.2189443307225551E-2</v>
      </c>
      <c r="AA184" s="65">
        <f>Y184/Z184</f>
        <v>17.463603050717836</v>
      </c>
      <c r="AB184" s="63">
        <f t="shared" ref="AB184" si="195">(Y184*10)*100*100*G184*U184/1000000</f>
        <v>1.3915464365841206</v>
      </c>
      <c r="AC184" s="63">
        <f t="shared" ref="AC184:AC185" si="196">(Z184*10)*100*100*G184*U184/1000000</f>
        <v>7.9682665286355148E-2</v>
      </c>
      <c r="AD184" s="34">
        <f>(W184*0.5)/(5*38.32*G184)*100*100*G184/1000</f>
        <v>0.17823590814196238</v>
      </c>
      <c r="AK184" s="33">
        <f>R184*U184</f>
        <v>2789.2983902777778</v>
      </c>
      <c r="AL184" s="30">
        <f>I184/2.76</f>
        <v>160.0289855072464</v>
      </c>
      <c r="AM184" s="32">
        <f t="shared" ref="AM184:AM247" si="197">AL184/(AL184+AK184)*100</f>
        <v>5.4259485339314493</v>
      </c>
    </row>
    <row r="185" spans="1:39" x14ac:dyDescent="0.3">
      <c r="D185" s="32" t="s">
        <v>54</v>
      </c>
      <c r="G185" s="32">
        <v>10</v>
      </c>
      <c r="H185" s="33">
        <v>2370.4</v>
      </c>
      <c r="I185" s="33">
        <v>57.54</v>
      </c>
      <c r="J185" s="33">
        <f t="shared" si="188"/>
        <v>20.847826086956523</v>
      </c>
      <c r="K185" s="33">
        <f>AM185</f>
        <v>0.84933977807339334</v>
      </c>
      <c r="L185" s="35">
        <v>4.1399999999999997</v>
      </c>
      <c r="M185" s="35">
        <v>51.11</v>
      </c>
      <c r="N185" s="35">
        <v>49.42</v>
      </c>
      <c r="O185" s="34">
        <f t="shared" si="189"/>
        <v>0.88593230287614955</v>
      </c>
      <c r="R185" s="33">
        <f t="shared" si="194"/>
        <v>2049.0373860301315</v>
      </c>
      <c r="S185" s="66">
        <f t="shared" ref="S185:S186" si="198">(H185-I185)*O185/V185</f>
        <v>1463.4468326054059</v>
      </c>
      <c r="U185" s="34">
        <f t="shared" si="140"/>
        <v>1.1877499999999999</v>
      </c>
      <c r="V185" s="34">
        <f t="shared" si="140"/>
        <v>1.4001447407434584</v>
      </c>
      <c r="W185" s="35">
        <v>1.55</v>
      </c>
      <c r="X185" s="35">
        <v>1.97</v>
      </c>
      <c r="Y185" s="64">
        <v>0.5007720113347276</v>
      </c>
      <c r="Z185" s="64">
        <v>3.3597428695779918E-2</v>
      </c>
      <c r="AA185" s="65">
        <f>Y185/Z185</f>
        <v>14.905069547707031</v>
      </c>
      <c r="AB185" s="63">
        <f t="shared" si="155"/>
        <v>0.59479195646282257</v>
      </c>
      <c r="AC185" s="63">
        <f t="shared" si="196"/>
        <v>3.9905345933412592E-2</v>
      </c>
      <c r="AD185" s="34">
        <f t="shared" ref="AD185:AD186" si="199">(W185*0.5)/(5*38.32*G185)*100*100*G185/1000</f>
        <v>4.0448851774530267E-2</v>
      </c>
      <c r="AK185" s="33">
        <f>R185*U185</f>
        <v>2433.7441552572886</v>
      </c>
      <c r="AL185" s="30">
        <f>I185/2.76</f>
        <v>20.847826086956523</v>
      </c>
      <c r="AM185" s="32">
        <f t="shared" si="197"/>
        <v>0.84933977807339334</v>
      </c>
    </row>
    <row r="186" spans="1:39" x14ac:dyDescent="0.3">
      <c r="D186" s="32" t="s">
        <v>55</v>
      </c>
      <c r="G186" s="32">
        <v>20</v>
      </c>
      <c r="H186" s="33">
        <v>4591.79</v>
      </c>
      <c r="I186" s="33">
        <v>81.08</v>
      </c>
      <c r="J186" s="33">
        <f t="shared" si="188"/>
        <v>29.376811594202898</v>
      </c>
      <c r="K186" s="33">
        <f t="shared" ref="K186:K187" si="200">AM186</f>
        <v>0.58106789143801163</v>
      </c>
      <c r="L186" s="35">
        <v>4.3</v>
      </c>
      <c r="M186" s="35">
        <v>50.17</v>
      </c>
      <c r="N186" s="35">
        <v>47.78</v>
      </c>
      <c r="O186" s="34">
        <f t="shared" si="189"/>
        <v>0.86665337851305568</v>
      </c>
      <c r="R186" s="33">
        <f t="shared" si="194"/>
        <v>3909.2220609926253</v>
      </c>
      <c r="S186" s="66">
        <f t="shared" si="198"/>
        <v>2721.8622800065668</v>
      </c>
      <c r="U186" s="34">
        <f t="shared" si="140"/>
        <v>1.2857499999999999</v>
      </c>
      <c r="V186" s="34">
        <f t="shared" si="140"/>
        <v>1.4362306607897861</v>
      </c>
      <c r="W186" s="35">
        <v>1.1100000000000001</v>
      </c>
      <c r="X186" s="35">
        <v>0.4</v>
      </c>
      <c r="Y186" s="64">
        <v>0.3867745329085589</v>
      </c>
      <c r="Z186" s="64">
        <v>2.5095284555268448E-2</v>
      </c>
      <c r="AA186" s="65">
        <f>Y186/Z186</f>
        <v>15.412239381336695</v>
      </c>
      <c r="AB186" s="63">
        <f t="shared" si="155"/>
        <v>0.99459071137435917</v>
      </c>
      <c r="AC186" s="63">
        <f t="shared" si="156"/>
        <v>6.4532524233872818E-2</v>
      </c>
      <c r="AD186" s="34">
        <f t="shared" si="199"/>
        <v>2.8966597077244263E-2</v>
      </c>
      <c r="AK186" s="33">
        <f>R186*U186</f>
        <v>5026.2822649212676</v>
      </c>
      <c r="AL186" s="30">
        <f>I186/2.76</f>
        <v>29.376811594202898</v>
      </c>
      <c r="AM186" s="32">
        <f t="shared" si="197"/>
        <v>0.58106789143801163</v>
      </c>
    </row>
    <row r="187" spans="1:39" x14ac:dyDescent="0.3">
      <c r="D187" s="32" t="s">
        <v>56</v>
      </c>
      <c r="G187" s="32">
        <v>50</v>
      </c>
      <c r="H187" s="33">
        <v>4125.25</v>
      </c>
      <c r="I187" s="33">
        <v>45.87</v>
      </c>
      <c r="J187" s="33">
        <f t="shared" si="188"/>
        <v>16.619565217391305</v>
      </c>
      <c r="K187" s="33">
        <f t="shared" si="200"/>
        <v>0.34214808131525176</v>
      </c>
      <c r="L187" s="35">
        <v>4.21</v>
      </c>
      <c r="M187" s="35">
        <v>50.44</v>
      </c>
      <c r="N187" s="35">
        <v>47.84</v>
      </c>
      <c r="O187" s="34">
        <f t="shared" si="189"/>
        <v>0.86498810467882636</v>
      </c>
      <c r="R187" s="33">
        <f t="shared" si="194"/>
        <v>3528.6151744647109</v>
      </c>
      <c r="S187" s="66">
        <f>(H187-I187)*O187/V187</f>
        <v>2437.0728979254663</v>
      </c>
      <c r="U187" s="34">
        <f t="shared" si="140"/>
        <v>1.3718694142112708</v>
      </c>
      <c r="V187" s="34">
        <f t="shared" si="140"/>
        <v>1.4478906960347426</v>
      </c>
      <c r="W187" s="35">
        <v>0.22</v>
      </c>
      <c r="X187" s="35">
        <v>0</v>
      </c>
      <c r="Y187" s="64">
        <v>0.17362021239096351</v>
      </c>
      <c r="Z187" s="64">
        <v>1.3640985205341221E-2</v>
      </c>
      <c r="AA187" s="65">
        <f>Y187/Z187</f>
        <v>12.727835253642921</v>
      </c>
      <c r="AB187" s="63">
        <f t="shared" si="155"/>
        <v>1.1909212953401376</v>
      </c>
      <c r="AC187" s="63">
        <f t="shared" si="156"/>
        <v>9.3568251914580361E-2</v>
      </c>
      <c r="AD187" s="34">
        <f>(W187*0.5)/(5*38.32*G187)*100*100*G187/1000</f>
        <v>5.7411273486430063E-3</v>
      </c>
      <c r="AK187" s="33">
        <f>R187*U187</f>
        <v>4840.7992323699045</v>
      </c>
      <c r="AL187" s="30">
        <f>I187/2.76</f>
        <v>16.619565217391305</v>
      </c>
      <c r="AM187" s="32">
        <f t="shared" si="197"/>
        <v>0.34214808131525176</v>
      </c>
    </row>
    <row r="188" spans="1:39" x14ac:dyDescent="0.3">
      <c r="D188" s="32" t="s">
        <v>57</v>
      </c>
      <c r="G188" s="32">
        <v>50</v>
      </c>
      <c r="H188" s="33"/>
      <c r="I188" s="33"/>
      <c r="J188" s="33"/>
      <c r="K188" s="33"/>
      <c r="L188" s="35"/>
      <c r="M188" s="35"/>
      <c r="N188" s="35"/>
      <c r="U188" s="34">
        <f t="shared" si="140"/>
        <v>1.3989143165798161</v>
      </c>
      <c r="V188" s="34">
        <f t="shared" si="140"/>
        <v>1.4457674247628549</v>
      </c>
      <c r="W188" s="35"/>
      <c r="X188" s="35"/>
      <c r="Y188" s="64"/>
      <c r="Z188" s="64"/>
      <c r="AA188" s="64"/>
      <c r="AB188" s="63"/>
      <c r="AC188" s="63"/>
      <c r="AD188" s="35"/>
      <c r="AK188" s="33">
        <f>R188*U188</f>
        <v>0</v>
      </c>
      <c r="AL188" s="30">
        <f>I188/2.76</f>
        <v>0</v>
      </c>
      <c r="AM188" s="32" t="e">
        <f t="shared" si="197"/>
        <v>#DIV/0!</v>
      </c>
    </row>
    <row r="189" spans="1:39" x14ac:dyDescent="0.3">
      <c r="D189" s="32" t="s">
        <v>58</v>
      </c>
      <c r="G189" s="32">
        <v>50</v>
      </c>
      <c r="H189" s="33"/>
      <c r="I189" s="33"/>
      <c r="J189" s="33"/>
      <c r="K189" s="33"/>
      <c r="L189" s="35"/>
      <c r="M189" s="35"/>
      <c r="N189" s="35"/>
      <c r="U189" s="34">
        <f t="shared" si="140"/>
        <v>1.38</v>
      </c>
      <c r="V189" s="34">
        <f t="shared" si="140"/>
        <v>1.4331986779930224</v>
      </c>
      <c r="W189" s="35"/>
      <c r="X189" s="35"/>
      <c r="Y189" s="64"/>
      <c r="Z189" s="64"/>
      <c r="AA189" s="64"/>
      <c r="AB189" s="63"/>
      <c r="AC189" s="63"/>
      <c r="AD189" s="35"/>
      <c r="AK189" s="33">
        <f>R189*U189</f>
        <v>0</v>
      </c>
      <c r="AL189" s="30">
        <f>I189/2.76</f>
        <v>0</v>
      </c>
      <c r="AM189" s="32" t="e">
        <f t="shared" si="197"/>
        <v>#DIV/0!</v>
      </c>
    </row>
    <row r="190" spans="1:39" x14ac:dyDescent="0.3">
      <c r="D190" s="32" t="s">
        <v>59</v>
      </c>
      <c r="G190" s="32">
        <v>50</v>
      </c>
      <c r="H190" s="33"/>
      <c r="I190" s="33"/>
      <c r="J190" s="33"/>
      <c r="K190" s="33"/>
      <c r="L190" s="35"/>
      <c r="M190" s="35"/>
      <c r="N190" s="35"/>
      <c r="U190" s="34">
        <f t="shared" si="140"/>
        <v>1.38</v>
      </c>
      <c r="V190" s="34">
        <f t="shared" si="140"/>
        <v>1.4331986779930224</v>
      </c>
      <c r="W190" s="35"/>
      <c r="X190" s="35"/>
      <c r="Y190" s="64"/>
      <c r="Z190" s="64"/>
      <c r="AA190" s="64"/>
      <c r="AB190" s="63"/>
      <c r="AC190" s="63"/>
      <c r="AD190" s="35"/>
      <c r="AK190" s="33">
        <f>R190*U190</f>
        <v>0</v>
      </c>
      <c r="AL190" s="30">
        <f>I190/2.76</f>
        <v>0</v>
      </c>
      <c r="AM190" s="32" t="e">
        <f t="shared" si="197"/>
        <v>#DIV/0!</v>
      </c>
    </row>
    <row r="191" spans="1:39" x14ac:dyDescent="0.3">
      <c r="D191" s="32" t="s">
        <v>60</v>
      </c>
      <c r="G191" s="32">
        <v>50</v>
      </c>
      <c r="H191" s="33"/>
      <c r="I191" s="33"/>
      <c r="J191" s="33"/>
      <c r="K191" s="33"/>
      <c r="L191" s="35"/>
      <c r="M191" s="35"/>
      <c r="N191" s="35"/>
      <c r="U191" s="34">
        <f t="shared" si="140"/>
        <v>1.38</v>
      </c>
      <c r="V191" s="34">
        <f t="shared" si="140"/>
        <v>1.4331986779930224</v>
      </c>
      <c r="W191" s="35"/>
      <c r="X191" s="35"/>
      <c r="Y191" s="64"/>
      <c r="Z191" s="64"/>
      <c r="AA191" s="64"/>
      <c r="AB191" s="63"/>
      <c r="AC191" s="63"/>
      <c r="AD191" s="35"/>
      <c r="AK191" s="33">
        <f>R191*U191</f>
        <v>0</v>
      </c>
      <c r="AL191" s="30">
        <f>I191/2.76</f>
        <v>0</v>
      </c>
      <c r="AM191" s="32" t="e">
        <f t="shared" si="197"/>
        <v>#DIV/0!</v>
      </c>
    </row>
    <row r="192" spans="1:39" x14ac:dyDescent="0.3">
      <c r="H192" s="33"/>
      <c r="I192" s="33"/>
      <c r="J192" s="33"/>
      <c r="K192" s="33"/>
      <c r="L192" s="35"/>
      <c r="M192" s="35"/>
      <c r="N192" s="35"/>
      <c r="W192" s="35"/>
      <c r="X192" s="35"/>
      <c r="Y192" s="64"/>
      <c r="Z192" s="64"/>
      <c r="AA192" s="64"/>
      <c r="AK192" s="33">
        <f>R192*U192</f>
        <v>0</v>
      </c>
      <c r="AL192" s="30">
        <f>I192/2.76</f>
        <v>0</v>
      </c>
      <c r="AM192" s="32" t="e">
        <f t="shared" si="197"/>
        <v>#DIV/0!</v>
      </c>
    </row>
    <row r="193" spans="1:39" x14ac:dyDescent="0.3">
      <c r="A193" s="32" t="s">
        <v>76</v>
      </c>
      <c r="B193" s="32">
        <v>250</v>
      </c>
      <c r="C193" s="32" t="s">
        <v>2</v>
      </c>
      <c r="D193" s="32" t="s">
        <v>51</v>
      </c>
      <c r="H193" s="33">
        <v>1121.26</v>
      </c>
      <c r="I193" s="33"/>
      <c r="J193" s="33"/>
      <c r="K193" s="33"/>
      <c r="L193" s="35"/>
      <c r="M193" s="35"/>
      <c r="P193" s="35">
        <v>961.67</v>
      </c>
      <c r="W193" s="35"/>
      <c r="X193" s="35"/>
      <c r="Y193" s="64"/>
      <c r="Z193" s="64"/>
      <c r="AA193" s="64"/>
      <c r="AB193" s="63">
        <f>(P193*0.5)/9/(25*25)*100*100/1000</f>
        <v>0.8548177777777779</v>
      </c>
      <c r="AK193" s="33">
        <f>R193*U193</f>
        <v>0</v>
      </c>
      <c r="AL193" s="30">
        <f>I193/2.76</f>
        <v>0</v>
      </c>
      <c r="AM193" s="32" t="e">
        <f t="shared" si="197"/>
        <v>#DIV/0!</v>
      </c>
    </row>
    <row r="194" spans="1:39" x14ac:dyDescent="0.3">
      <c r="D194" s="32" t="s">
        <v>52</v>
      </c>
      <c r="F194" s="32" t="s">
        <v>212</v>
      </c>
      <c r="G194" s="32">
        <v>10</v>
      </c>
      <c r="H194" s="33">
        <v>6572.32</v>
      </c>
      <c r="I194" s="33">
        <v>2843.92</v>
      </c>
      <c r="J194" s="33">
        <f t="shared" ref="J194:J197" si="201">I194/2.76</f>
        <v>1030.4057971014495</v>
      </c>
      <c r="K194" s="33">
        <f>J194/Q194*100</f>
        <v>26.285862170955344</v>
      </c>
      <c r="L194" s="35">
        <v>4.18</v>
      </c>
      <c r="M194" s="35">
        <v>50.23</v>
      </c>
      <c r="N194" s="35">
        <v>46.84</v>
      </c>
      <c r="O194" s="34">
        <f t="shared" ref="O194:O197" si="202">(N194-L194)/M194</f>
        <v>0.84929325104519227</v>
      </c>
      <c r="P194" s="33"/>
      <c r="Q194" s="32">
        <v>3920</v>
      </c>
      <c r="R194" s="33">
        <f>(H194-I194)*O194</f>
        <v>3166.5049571968943</v>
      </c>
      <c r="S194" s="33">
        <f>Q194-J194</f>
        <v>2889.5942028985505</v>
      </c>
      <c r="T194" s="34">
        <f t="shared" ref="T194" si="203">R194/S194</f>
        <v>1.0958303259400834</v>
      </c>
      <c r="U194" s="34">
        <f t="shared" ref="U194:V194" si="204">U183</f>
        <v>0.83274999999999988</v>
      </c>
      <c r="V194" s="34">
        <f t="shared" si="204"/>
        <v>0.9649217490163926</v>
      </c>
      <c r="W194" s="35">
        <v>22.43</v>
      </c>
      <c r="X194" s="35">
        <v>11.24</v>
      </c>
      <c r="Y194" s="64">
        <v>4.8210767341337943</v>
      </c>
      <c r="Z194" s="64">
        <v>0.31083135027374192</v>
      </c>
      <c r="AA194" s="65">
        <f>Y194/Z194</f>
        <v>15.510265389536752</v>
      </c>
      <c r="AB194" s="63">
        <f t="shared" ref="AB194" si="205">(Y194*10)*100*100*G194*T194/1000000</f>
        <v>5.2830820889479879</v>
      </c>
      <c r="AC194" s="63">
        <f t="shared" ref="AC194" si="206">(Z194*10)*100*100*G194*T194/1000000</f>
        <v>0.34061841988287084</v>
      </c>
      <c r="AD194" s="34">
        <f>(W194*0.5)/Q194*100*100*G194/1000</f>
        <v>0.28609693877551018</v>
      </c>
      <c r="AE194" s="63">
        <f>SUM(AB194:AB198)</f>
        <v>10.038074540265534</v>
      </c>
      <c r="AF194" s="63">
        <f>SUM(AC194:AC198)</f>
        <v>0.62743830068934336</v>
      </c>
      <c r="AG194" s="63">
        <f>AE194/AF194</f>
        <v>15.998504600750497</v>
      </c>
      <c r="AH194" s="35">
        <f>SUM(AD194:AD198)</f>
        <v>0.41370654211580243</v>
      </c>
      <c r="AI194" s="35"/>
      <c r="AK194" s="33">
        <f>R194*U194</f>
        <v>2636.9070031057136</v>
      </c>
      <c r="AL194" s="30">
        <f>I194/2.76</f>
        <v>1030.4057971014495</v>
      </c>
      <c r="AM194" s="32">
        <f t="shared" si="197"/>
        <v>28.097025076324083</v>
      </c>
    </row>
    <row r="195" spans="1:39" x14ac:dyDescent="0.3">
      <c r="D195" s="32" t="s">
        <v>53</v>
      </c>
      <c r="G195" s="32">
        <v>10</v>
      </c>
      <c r="H195" s="33">
        <v>2911.8</v>
      </c>
      <c r="I195" s="33">
        <v>987.01</v>
      </c>
      <c r="J195" s="33">
        <f t="shared" si="201"/>
        <v>357.61231884057975</v>
      </c>
      <c r="K195" s="33">
        <f>AM195</f>
        <v>17.942051193692862</v>
      </c>
      <c r="L195" s="35">
        <v>4.1900000000000004</v>
      </c>
      <c r="M195" s="35">
        <v>50.67</v>
      </c>
      <c r="N195" s="35">
        <v>48.6</v>
      </c>
      <c r="O195" s="34">
        <f t="shared" si="202"/>
        <v>0.8764554963489245</v>
      </c>
      <c r="R195" s="33">
        <f t="shared" ref="R195:R197" si="207">(H195-I195)*O195</f>
        <v>1686.9927748174466</v>
      </c>
      <c r="S195" s="66">
        <f>(H195-I195)*O195/V195</f>
        <v>1338.1446537415927</v>
      </c>
      <c r="U195" s="34">
        <f t="shared" si="140"/>
        <v>0.96949999999999992</v>
      </c>
      <c r="V195" s="34">
        <f t="shared" si="140"/>
        <v>1.2606953740766651</v>
      </c>
      <c r="W195" s="35">
        <v>1.98</v>
      </c>
      <c r="X195" s="35">
        <v>3.08</v>
      </c>
      <c r="Y195" s="64">
        <v>1.4871781533449193</v>
      </c>
      <c r="Z195" s="64">
        <v>9.2927522368240298E-2</v>
      </c>
      <c r="AA195" s="65">
        <f>Y195/Z195</f>
        <v>16.003635042067902</v>
      </c>
      <c r="AB195" s="63">
        <f t="shared" ref="AB195" si="208">(Y195*10)*100*100*G195*U195/1000000</f>
        <v>1.4418192196678989</v>
      </c>
      <c r="AC195" s="63">
        <f t="shared" ref="AC195" si="209">(Z195*10)*100*100*G195*U195/1000000</f>
        <v>9.009323293600896E-2</v>
      </c>
      <c r="AD195" s="34">
        <f>(W195*0.5)/(5*38.32*G195)*100*100*G195/1000</f>
        <v>5.1670146137787053E-2</v>
      </c>
      <c r="AK195" s="33">
        <f>R195*U195</f>
        <v>1635.5394951855144</v>
      </c>
      <c r="AL195" s="30">
        <f>I195/2.76</f>
        <v>357.61231884057975</v>
      </c>
      <c r="AM195" s="32">
        <f t="shared" si="197"/>
        <v>17.942051193692862</v>
      </c>
    </row>
    <row r="196" spans="1:39" x14ac:dyDescent="0.3">
      <c r="D196" s="32" t="s">
        <v>54</v>
      </c>
      <c r="G196" s="32">
        <v>10</v>
      </c>
      <c r="H196" s="33">
        <v>2714.66</v>
      </c>
      <c r="I196" s="33">
        <v>557.13</v>
      </c>
      <c r="J196" s="33">
        <f t="shared" si="201"/>
        <v>201.85869565217394</v>
      </c>
      <c r="K196" s="33">
        <f t="shared" ref="K196:K197" si="210">AM196</f>
        <v>8.1895658439229457</v>
      </c>
      <c r="L196" s="35">
        <v>4.24</v>
      </c>
      <c r="M196" s="35">
        <v>50.63</v>
      </c>
      <c r="N196" s="35">
        <v>48.95</v>
      </c>
      <c r="O196" s="34">
        <f t="shared" si="202"/>
        <v>0.88307327671341096</v>
      </c>
      <c r="R196" s="33">
        <f t="shared" si="207"/>
        <v>1905.2570867074853</v>
      </c>
      <c r="S196" s="66">
        <f t="shared" ref="S196:S197" si="211">(H196-I196)*O196/V196</f>
        <v>1360.7572354953952</v>
      </c>
      <c r="U196" s="34">
        <f t="shared" si="140"/>
        <v>1.1877499999999999</v>
      </c>
      <c r="V196" s="34">
        <f t="shared" si="140"/>
        <v>1.4001447407434584</v>
      </c>
      <c r="W196" s="35">
        <v>1.38</v>
      </c>
      <c r="X196" s="35">
        <v>2.11</v>
      </c>
      <c r="Y196" s="64">
        <v>0.80133613459335762</v>
      </c>
      <c r="Z196" s="64">
        <v>5.2014896378389908E-2</v>
      </c>
      <c r="AA196" s="65">
        <f>Y196/Z196</f>
        <v>15.405896971589094</v>
      </c>
      <c r="AB196" s="63">
        <f t="shared" si="155"/>
        <v>0.95178699386326049</v>
      </c>
      <c r="AC196" s="63">
        <f t="shared" si="156"/>
        <v>6.1780693173432599E-2</v>
      </c>
      <c r="AD196" s="34">
        <f t="shared" ref="AD196:AD197" si="212">(W196*0.5)/(5*38.32*G196)*100*100*G196/1000</f>
        <v>3.60125260960334E-2</v>
      </c>
      <c r="AK196" s="33">
        <f>R196*U196</f>
        <v>2262.9691047368156</v>
      </c>
      <c r="AL196" s="30">
        <f>I196/2.76</f>
        <v>201.85869565217394</v>
      </c>
      <c r="AM196" s="32">
        <f t="shared" si="197"/>
        <v>8.1895658439229457</v>
      </c>
    </row>
    <row r="197" spans="1:39" x14ac:dyDescent="0.3">
      <c r="D197" s="32" t="s">
        <v>55</v>
      </c>
      <c r="G197" s="32">
        <v>20</v>
      </c>
      <c r="H197" s="33">
        <v>3994.91</v>
      </c>
      <c r="I197" s="33">
        <v>1061.92</v>
      </c>
      <c r="J197" s="33">
        <f t="shared" si="201"/>
        <v>384.75362318840587</v>
      </c>
      <c r="K197" s="33">
        <f t="shared" si="210"/>
        <v>10.332269510180597</v>
      </c>
      <c r="L197" s="35">
        <v>4.17</v>
      </c>
      <c r="M197" s="35">
        <v>54.99</v>
      </c>
      <c r="N197" s="35">
        <v>52.86</v>
      </c>
      <c r="O197" s="34">
        <f t="shared" si="202"/>
        <v>0.88543371522094916</v>
      </c>
      <c r="R197" s="33">
        <f t="shared" si="207"/>
        <v>2596.9682324058913</v>
      </c>
      <c r="S197" s="66">
        <f t="shared" si="211"/>
        <v>1808.1832558690908</v>
      </c>
      <c r="U197" s="34">
        <f t="shared" si="140"/>
        <v>1.2857499999999999</v>
      </c>
      <c r="V197" s="34">
        <f t="shared" si="140"/>
        <v>1.4362306607897861</v>
      </c>
      <c r="W197" s="35">
        <v>1.53</v>
      </c>
      <c r="X197" s="35">
        <v>4.1100000000000003</v>
      </c>
      <c r="Y197" s="64">
        <v>0.91829136215686824</v>
      </c>
      <c r="Z197" s="64">
        <v>5.2477524673159991E-2</v>
      </c>
      <c r="AA197" s="65">
        <f>Y197/Z197</f>
        <v>17.498755283831727</v>
      </c>
      <c r="AB197" s="63">
        <f t="shared" si="155"/>
        <v>2.3613862377863866</v>
      </c>
      <c r="AC197" s="63">
        <f t="shared" si="156"/>
        <v>0.13494595469703091</v>
      </c>
      <c r="AD197" s="34">
        <f t="shared" si="212"/>
        <v>3.9926931106471816E-2</v>
      </c>
      <c r="AK197" s="33">
        <f>R197*U197</f>
        <v>3339.0519048158744</v>
      </c>
      <c r="AL197" s="30">
        <f>I197/2.76</f>
        <v>384.75362318840587</v>
      </c>
      <c r="AM197" s="32">
        <f t="shared" si="197"/>
        <v>10.332269510180597</v>
      </c>
    </row>
    <row r="198" spans="1:39" x14ac:dyDescent="0.3">
      <c r="D198" s="32" t="s">
        <v>56</v>
      </c>
      <c r="G198" s="32">
        <v>50</v>
      </c>
      <c r="H198" s="33"/>
      <c r="I198" s="33"/>
      <c r="J198" s="33"/>
      <c r="K198" s="33"/>
      <c r="L198" s="35"/>
      <c r="M198" s="35"/>
      <c r="N198" s="35"/>
      <c r="S198" s="66">
        <f>(H198-I198)*O198/V198</f>
        <v>0</v>
      </c>
      <c r="U198" s="34">
        <f t="shared" si="140"/>
        <v>1.3718694142112708</v>
      </c>
      <c r="V198" s="34">
        <f t="shared" si="140"/>
        <v>1.4478906960347426</v>
      </c>
      <c r="W198" s="35"/>
      <c r="X198" s="35"/>
      <c r="Y198" s="64"/>
      <c r="Z198" s="64"/>
      <c r="AA198" s="64"/>
      <c r="AB198" s="63"/>
      <c r="AC198" s="63"/>
      <c r="AD198" s="35"/>
      <c r="AK198" s="33">
        <f>R198*U198</f>
        <v>0</v>
      </c>
      <c r="AL198" s="30">
        <f>I198/2.76</f>
        <v>0</v>
      </c>
      <c r="AM198" s="32" t="e">
        <f t="shared" si="197"/>
        <v>#DIV/0!</v>
      </c>
    </row>
    <row r="199" spans="1:39" x14ac:dyDescent="0.3">
      <c r="D199" s="32" t="s">
        <v>57</v>
      </c>
      <c r="G199" s="32">
        <v>50</v>
      </c>
      <c r="H199" s="33"/>
      <c r="I199" s="33"/>
      <c r="J199" s="33"/>
      <c r="K199" s="33"/>
      <c r="L199" s="35"/>
      <c r="M199" s="35"/>
      <c r="N199" s="35"/>
      <c r="U199" s="34">
        <f t="shared" si="140"/>
        <v>1.3989143165798161</v>
      </c>
      <c r="V199" s="34">
        <f t="shared" si="140"/>
        <v>1.4457674247628549</v>
      </c>
      <c r="W199" s="35"/>
      <c r="X199" s="35"/>
      <c r="Y199" s="64"/>
      <c r="Z199" s="64"/>
      <c r="AA199" s="64"/>
      <c r="AB199" s="63"/>
      <c r="AC199" s="63"/>
      <c r="AD199" s="35"/>
      <c r="AK199" s="33">
        <f>R199*U199</f>
        <v>0</v>
      </c>
      <c r="AL199" s="30">
        <f>I199/2.76</f>
        <v>0</v>
      </c>
      <c r="AM199" s="32" t="e">
        <f t="shared" si="197"/>
        <v>#DIV/0!</v>
      </c>
    </row>
    <row r="200" spans="1:39" x14ac:dyDescent="0.3">
      <c r="D200" s="32" t="s">
        <v>58</v>
      </c>
      <c r="G200" s="32">
        <v>50</v>
      </c>
      <c r="H200" s="33"/>
      <c r="I200" s="33"/>
      <c r="J200" s="33"/>
      <c r="K200" s="33"/>
      <c r="L200" s="35"/>
      <c r="M200" s="35"/>
      <c r="N200" s="35"/>
      <c r="U200" s="34">
        <f t="shared" si="140"/>
        <v>1.38</v>
      </c>
      <c r="V200" s="34">
        <f t="shared" si="140"/>
        <v>1.4331986779930224</v>
      </c>
      <c r="W200" s="35"/>
      <c r="X200" s="35"/>
      <c r="Y200" s="64"/>
      <c r="Z200" s="64"/>
      <c r="AA200" s="64"/>
      <c r="AB200" s="63"/>
      <c r="AC200" s="63"/>
      <c r="AD200" s="35"/>
      <c r="AK200" s="33">
        <f>R200*U200</f>
        <v>0</v>
      </c>
      <c r="AL200" s="30">
        <f>I200/2.76</f>
        <v>0</v>
      </c>
      <c r="AM200" s="32" t="e">
        <f t="shared" si="197"/>
        <v>#DIV/0!</v>
      </c>
    </row>
    <row r="201" spans="1:39" x14ac:dyDescent="0.3">
      <c r="D201" s="32" t="s">
        <v>59</v>
      </c>
      <c r="G201" s="32">
        <v>50</v>
      </c>
      <c r="H201" s="33"/>
      <c r="I201" s="33"/>
      <c r="J201" s="33"/>
      <c r="K201" s="33"/>
      <c r="L201" s="35"/>
      <c r="M201" s="35"/>
      <c r="N201" s="35"/>
      <c r="U201" s="34">
        <f t="shared" si="140"/>
        <v>1.38</v>
      </c>
      <c r="V201" s="34">
        <f t="shared" si="140"/>
        <v>1.4331986779930224</v>
      </c>
      <c r="W201" s="35"/>
      <c r="X201" s="35"/>
      <c r="Y201" s="64"/>
      <c r="Z201" s="64"/>
      <c r="AA201" s="64"/>
      <c r="AB201" s="63"/>
      <c r="AC201" s="63"/>
      <c r="AD201" s="35"/>
      <c r="AK201" s="33">
        <f>R201*U201</f>
        <v>0</v>
      </c>
      <c r="AL201" s="30">
        <f>I201/2.76</f>
        <v>0</v>
      </c>
      <c r="AM201" s="32" t="e">
        <f t="shared" si="197"/>
        <v>#DIV/0!</v>
      </c>
    </row>
    <row r="202" spans="1:39" x14ac:dyDescent="0.3">
      <c r="D202" s="32" t="s">
        <v>60</v>
      </c>
      <c r="G202" s="32">
        <v>50</v>
      </c>
      <c r="H202" s="33"/>
      <c r="I202" s="33"/>
      <c r="J202" s="33"/>
      <c r="K202" s="33"/>
      <c r="L202" s="35"/>
      <c r="M202" s="35"/>
      <c r="N202" s="35"/>
      <c r="U202" s="34">
        <f t="shared" si="140"/>
        <v>1.38</v>
      </c>
      <c r="V202" s="34">
        <f t="shared" si="140"/>
        <v>1.4331986779930224</v>
      </c>
      <c r="W202" s="35"/>
      <c r="X202" s="35"/>
      <c r="Y202" s="64"/>
      <c r="Z202" s="64"/>
      <c r="AA202" s="64"/>
      <c r="AB202" s="63"/>
      <c r="AC202" s="63"/>
      <c r="AD202" s="35"/>
      <c r="AK202" s="33">
        <f>R202*U202</f>
        <v>0</v>
      </c>
      <c r="AL202" s="30">
        <f>I202/2.76</f>
        <v>0</v>
      </c>
      <c r="AM202" s="32" t="e">
        <f t="shared" si="197"/>
        <v>#DIV/0!</v>
      </c>
    </row>
    <row r="203" spans="1:39" x14ac:dyDescent="0.3">
      <c r="H203" s="33"/>
      <c r="I203" s="33"/>
      <c r="J203" s="33"/>
      <c r="K203" s="33"/>
      <c r="L203" s="35"/>
      <c r="M203" s="35"/>
      <c r="N203" s="35"/>
      <c r="W203" s="35"/>
      <c r="X203" s="35"/>
      <c r="Y203" s="64"/>
      <c r="Z203" s="64"/>
      <c r="AA203" s="64"/>
      <c r="AK203" s="33">
        <f>R203*U203</f>
        <v>0</v>
      </c>
      <c r="AL203" s="30">
        <f>I203/2.76</f>
        <v>0</v>
      </c>
      <c r="AM203" s="32" t="e">
        <f t="shared" si="197"/>
        <v>#DIV/0!</v>
      </c>
    </row>
    <row r="204" spans="1:39" x14ac:dyDescent="0.3">
      <c r="A204" s="32" t="s">
        <v>77</v>
      </c>
      <c r="B204" s="32">
        <v>350</v>
      </c>
      <c r="C204" s="32" t="s">
        <v>37</v>
      </c>
      <c r="D204" s="32" t="s">
        <v>51</v>
      </c>
      <c r="H204" s="33">
        <v>522.89</v>
      </c>
      <c r="I204" s="33"/>
      <c r="J204" s="33"/>
      <c r="K204" s="33"/>
      <c r="L204" s="35"/>
      <c r="M204" s="35"/>
      <c r="P204" s="35">
        <v>423.2</v>
      </c>
      <c r="W204" s="35"/>
      <c r="X204" s="35"/>
      <c r="Y204" s="64"/>
      <c r="Z204" s="64"/>
      <c r="AA204" s="64"/>
      <c r="AB204" s="63">
        <f>(P204*0.5)/9/(25*25)*100*100/1000</f>
        <v>0.37617777777777772</v>
      </c>
      <c r="AK204" s="33">
        <f>R204*U204</f>
        <v>0</v>
      </c>
      <c r="AL204" s="30">
        <f>I204/2.76</f>
        <v>0</v>
      </c>
      <c r="AM204" s="32" t="e">
        <f t="shared" si="197"/>
        <v>#DIV/0!</v>
      </c>
    </row>
    <row r="205" spans="1:39" x14ac:dyDescent="0.3">
      <c r="D205" s="32" t="s">
        <v>52</v>
      </c>
      <c r="F205" s="32" t="s">
        <v>212</v>
      </c>
      <c r="G205" s="32">
        <v>10</v>
      </c>
      <c r="H205" s="33">
        <v>4143.5</v>
      </c>
      <c r="I205" s="33">
        <v>490.15</v>
      </c>
      <c r="J205" s="33">
        <f t="shared" ref="J205:J209" si="213">I205/2.76</f>
        <v>177.59057971014494</v>
      </c>
      <c r="K205" s="33">
        <f>J205/Q205*100</f>
        <v>5.6022264892790199</v>
      </c>
      <c r="L205" s="35">
        <v>4.17</v>
      </c>
      <c r="M205" s="35">
        <v>50.53</v>
      </c>
      <c r="N205" s="35">
        <v>42.19</v>
      </c>
      <c r="O205" s="34">
        <f t="shared" ref="O205:O209" si="214">(N205-L205)/M205</f>
        <v>0.752424302394617</v>
      </c>
      <c r="P205" s="33"/>
      <c r="Q205" s="32">
        <v>3170</v>
      </c>
      <c r="R205" s="33">
        <f>(H205-I205)*O205</f>
        <v>2748.8693251533741</v>
      </c>
      <c r="S205" s="33">
        <f>Q205-J205</f>
        <v>2992.409420289855</v>
      </c>
      <c r="T205" s="34">
        <f t="shared" ref="T205" si="215">R205/S205</f>
        <v>0.91861404609771258</v>
      </c>
      <c r="U205" s="34">
        <f t="shared" ref="U205:V268" si="216">U194</f>
        <v>0.83274999999999988</v>
      </c>
      <c r="V205" s="34">
        <f t="shared" si="216"/>
        <v>0.9649217490163926</v>
      </c>
      <c r="W205" s="35">
        <v>3.3</v>
      </c>
      <c r="X205" s="35">
        <v>3.51</v>
      </c>
      <c r="Y205" s="64">
        <v>4.6482557410912886</v>
      </c>
      <c r="Z205" s="64">
        <v>0.38247565447842891</v>
      </c>
      <c r="AA205" s="65">
        <f>Y205/Z205</f>
        <v>12.153076115210474</v>
      </c>
      <c r="AB205" s="63">
        <f t="shared" ref="AB205" si="217">(Y205*10)*100*100*G205*T205/1000000</f>
        <v>4.2699530136207899</v>
      </c>
      <c r="AC205" s="63">
        <f t="shared" ref="AC205" si="218">(Z205*10)*100*100*G205*T205/1000000</f>
        <v>0.35134750849430024</v>
      </c>
      <c r="AD205" s="34">
        <f>(W205*0.5)/Q205*100*100*G205/1000</f>
        <v>5.2050473186119876E-2</v>
      </c>
      <c r="AE205" s="63">
        <f>SUM(AB205:AB209)</f>
        <v>9.1829326856571996</v>
      </c>
      <c r="AF205" s="63">
        <f>SUM(AC205:AC209)</f>
        <v>0.79408477681456913</v>
      </c>
      <c r="AG205" s="63">
        <f>AE205/AF205</f>
        <v>11.564171677606097</v>
      </c>
      <c r="AH205" s="35">
        <f>SUM(AD205:AD209)</f>
        <v>9.4847967966913194E-2</v>
      </c>
      <c r="AI205" s="35"/>
      <c r="AK205" s="33">
        <f>R205*U205</f>
        <v>2289.120930521472</v>
      </c>
      <c r="AL205" s="30">
        <f>I205/2.76</f>
        <v>177.59057971014494</v>
      </c>
      <c r="AM205" s="32">
        <f t="shared" si="197"/>
        <v>7.199487210949516</v>
      </c>
    </row>
    <row r="206" spans="1:39" x14ac:dyDescent="0.3">
      <c r="D206" s="32" t="s">
        <v>53</v>
      </c>
      <c r="G206" s="32">
        <v>10</v>
      </c>
      <c r="H206" s="33">
        <v>2073.8000000000002</v>
      </c>
      <c r="I206" s="33">
        <v>180.95</v>
      </c>
      <c r="J206" s="33">
        <f t="shared" si="213"/>
        <v>65.561594202898547</v>
      </c>
      <c r="K206" s="33">
        <f>AM206</f>
        <v>4.2750570565758723</v>
      </c>
      <c r="L206" s="35">
        <v>4.22</v>
      </c>
      <c r="M206" s="35">
        <v>50.99</v>
      </c>
      <c r="N206" s="35">
        <v>45.01</v>
      </c>
      <c r="O206" s="34">
        <f t="shared" si="214"/>
        <v>0.79996077662286713</v>
      </c>
      <c r="R206" s="33">
        <f t="shared" ref="R206:R209" si="219">(H206-I206)*O206</f>
        <v>1514.2057560305941</v>
      </c>
      <c r="S206" s="66">
        <f>(H206-I206)*O206/V206</f>
        <v>1201.0877386931004</v>
      </c>
      <c r="U206" s="34">
        <f t="shared" si="216"/>
        <v>0.96949999999999992</v>
      </c>
      <c r="V206" s="34">
        <f t="shared" si="216"/>
        <v>1.2606953740766651</v>
      </c>
      <c r="W206" s="35">
        <v>0.62</v>
      </c>
      <c r="X206" s="35">
        <v>12.62</v>
      </c>
      <c r="Y206" s="64">
        <v>1.4697373151690538</v>
      </c>
      <c r="Z206" s="64">
        <v>0.12834164471085918</v>
      </c>
      <c r="AA206" s="65">
        <f>Y206/Z206</f>
        <v>11.451756898395873</v>
      </c>
      <c r="AB206" s="63">
        <f t="shared" ref="AB206" si="220">(Y206*10)*100*100*G206*U206/1000000</f>
        <v>1.4249103270563976</v>
      </c>
      <c r="AC206" s="63">
        <f t="shared" ref="AC206" si="221">(Z206*10)*100*100*G206*U206/1000000</f>
        <v>0.12442722454717796</v>
      </c>
      <c r="AD206" s="34">
        <f>(W206*0.5)/(5*38.32*G206)*100*100*G206/1000</f>
        <v>1.6179540709812108E-2</v>
      </c>
      <c r="AK206" s="33">
        <f>R206*U206</f>
        <v>1468.0224804716609</v>
      </c>
      <c r="AL206" s="30">
        <f>I206/2.76</f>
        <v>65.561594202898547</v>
      </c>
      <c r="AM206" s="32">
        <f t="shared" si="197"/>
        <v>4.2750570565758723</v>
      </c>
    </row>
    <row r="207" spans="1:39" x14ac:dyDescent="0.3">
      <c r="D207" s="32" t="s">
        <v>54</v>
      </c>
      <c r="G207" s="32">
        <v>10</v>
      </c>
      <c r="H207" s="33">
        <v>2089.6</v>
      </c>
      <c r="I207" s="33">
        <v>49.69</v>
      </c>
      <c r="J207" s="33">
        <f t="shared" si="213"/>
        <v>18.003623188405797</v>
      </c>
      <c r="K207" s="33">
        <f>AM207</f>
        <v>0.91500925708457581</v>
      </c>
      <c r="L207" s="35">
        <v>4.2699999999999996</v>
      </c>
      <c r="M207" s="35">
        <v>54.21</v>
      </c>
      <c r="N207" s="35">
        <v>47.89</v>
      </c>
      <c r="O207" s="34">
        <f t="shared" si="214"/>
        <v>0.80464858882125079</v>
      </c>
      <c r="R207" s="33">
        <f t="shared" si="219"/>
        <v>1641.4107028223575</v>
      </c>
      <c r="S207" s="66">
        <f t="shared" ref="S207:S208" si="222">(H207-I207)*O207/V207</f>
        <v>1172.3150150539366</v>
      </c>
      <c r="U207" s="34">
        <f t="shared" si="216"/>
        <v>1.1877499999999999</v>
      </c>
      <c r="V207" s="34">
        <f t="shared" si="216"/>
        <v>1.4001447407434584</v>
      </c>
      <c r="W207" s="35">
        <v>0.44</v>
      </c>
      <c r="X207" s="35">
        <v>3.26</v>
      </c>
      <c r="Y207" s="64">
        <v>0.86436868739629924</v>
      </c>
      <c r="Z207" s="64">
        <v>7.3002126547999965E-2</v>
      </c>
      <c r="AA207" s="65">
        <f>Y207/Z207</f>
        <v>11.840322032646052</v>
      </c>
      <c r="AB207" s="63">
        <f t="shared" si="155"/>
        <v>1.0266539084549542</v>
      </c>
      <c r="AC207" s="63">
        <f t="shared" si="156"/>
        <v>8.6708275807386936E-2</v>
      </c>
      <c r="AD207" s="34">
        <f>(W207*0.5)/(5*38.32*G207)*100*100*G207/1000</f>
        <v>1.1482254697286011E-2</v>
      </c>
      <c r="AK207" s="33">
        <f>R207*U207</f>
        <v>1949.5855622772549</v>
      </c>
      <c r="AL207" s="30">
        <f>I207/2.76</f>
        <v>18.003623188405797</v>
      </c>
      <c r="AM207" s="32">
        <f t="shared" si="197"/>
        <v>0.91500925708457581</v>
      </c>
    </row>
    <row r="208" spans="1:39" x14ac:dyDescent="0.3">
      <c r="D208" s="32" t="s">
        <v>55</v>
      </c>
      <c r="G208" s="32">
        <v>20</v>
      </c>
      <c r="H208" s="33">
        <v>2661.3</v>
      </c>
      <c r="I208" s="33">
        <v>29.8</v>
      </c>
      <c r="J208" s="33">
        <f t="shared" si="213"/>
        <v>10.797101449275363</v>
      </c>
      <c r="K208" s="33">
        <f t="shared" ref="K208:K209" si="223">AM208</f>
        <v>0.39878704888005972</v>
      </c>
      <c r="L208" s="35">
        <v>4.12</v>
      </c>
      <c r="M208" s="35">
        <v>51.73</v>
      </c>
      <c r="N208" s="35">
        <v>45.35</v>
      </c>
      <c r="O208" s="34">
        <f t="shared" si="214"/>
        <v>0.79702300405954007</v>
      </c>
      <c r="R208" s="33">
        <f t="shared" si="219"/>
        <v>2097.3660351826798</v>
      </c>
      <c r="S208" s="66">
        <f t="shared" si="222"/>
        <v>1460.326737509791</v>
      </c>
      <c r="U208" s="34">
        <f t="shared" si="216"/>
        <v>1.2857499999999999</v>
      </c>
      <c r="V208" s="34">
        <f t="shared" si="216"/>
        <v>1.4362306607897861</v>
      </c>
      <c r="W208" s="35">
        <v>0.22</v>
      </c>
      <c r="X208" s="35">
        <v>0.36</v>
      </c>
      <c r="Y208" s="64">
        <v>0.43242210426443223</v>
      </c>
      <c r="Z208" s="64">
        <v>3.7164406702708909E-2</v>
      </c>
      <c r="AA208" s="65">
        <f>Y208/Z208</f>
        <v>11.63538295454379</v>
      </c>
      <c r="AB208" s="63">
        <f t="shared" si="155"/>
        <v>1.1119734411159874</v>
      </c>
      <c r="AC208" s="63">
        <f t="shared" si="156"/>
        <v>9.5568271836015961E-2</v>
      </c>
      <c r="AD208" s="34">
        <f>(W208*0.5)/(5*38.32*G208)*100*100*G208/1000</f>
        <v>5.7411273486430055E-3</v>
      </c>
      <c r="AK208" s="33">
        <f>R208*U208</f>
        <v>2696.6883797361302</v>
      </c>
      <c r="AL208" s="30">
        <f>I208/2.76</f>
        <v>10.797101449275363</v>
      </c>
      <c r="AM208" s="32">
        <f t="shared" si="197"/>
        <v>0.39878704888005972</v>
      </c>
    </row>
    <row r="209" spans="1:39" x14ac:dyDescent="0.3">
      <c r="D209" s="32" t="s">
        <v>56</v>
      </c>
      <c r="G209" s="32">
        <v>50</v>
      </c>
      <c r="H209" s="33">
        <v>5651.6</v>
      </c>
      <c r="I209" s="33">
        <v>10.24</v>
      </c>
      <c r="J209" s="33">
        <f t="shared" si="213"/>
        <v>3.7101449275362324</v>
      </c>
      <c r="K209" s="33">
        <f t="shared" si="223"/>
        <v>6.1783794106390379E-2</v>
      </c>
      <c r="L209" s="35">
        <v>4.18</v>
      </c>
      <c r="M209" s="35">
        <v>50.5</v>
      </c>
      <c r="N209" s="35">
        <v>43.34</v>
      </c>
      <c r="O209" s="34">
        <f t="shared" si="214"/>
        <v>0.77544554455445547</v>
      </c>
      <c r="R209" s="33">
        <f t="shared" si="219"/>
        <v>4374.5674772277234</v>
      </c>
      <c r="S209" s="66">
        <f>(H209-I209)*O209/V209</f>
        <v>3021.3382054378185</v>
      </c>
      <c r="U209" s="34">
        <f t="shared" si="216"/>
        <v>1.3718694142112708</v>
      </c>
      <c r="V209" s="34">
        <f t="shared" si="216"/>
        <v>1.4478906960347426</v>
      </c>
      <c r="W209" s="35">
        <v>0.36</v>
      </c>
      <c r="X209" s="35">
        <v>1.49</v>
      </c>
      <c r="Y209" s="64">
        <v>0.1967303857685179</v>
      </c>
      <c r="Z209" s="64">
        <v>1.9831843281949372E-2</v>
      </c>
      <c r="AA209" s="65">
        <f>Y209/Z209</f>
        <v>9.9199243848189731</v>
      </c>
      <c r="AB209" s="63">
        <f t="shared" si="155"/>
        <v>1.3494419954090697</v>
      </c>
      <c r="AC209" s="63">
        <f t="shared" si="156"/>
        <v>0.13603349612968804</v>
      </c>
      <c r="AD209" s="34">
        <f>(W209*0.5)/(5*38.32*G209)*100*100*G209/1000</f>
        <v>9.3945720250521916E-3</v>
      </c>
      <c r="AK209" s="33">
        <f>R209*U209</f>
        <v>6001.3353224120738</v>
      </c>
      <c r="AL209" s="30">
        <f>I209/2.76</f>
        <v>3.7101449275362324</v>
      </c>
      <c r="AM209" s="32">
        <f t="shared" si="197"/>
        <v>6.1783794106390379E-2</v>
      </c>
    </row>
    <row r="210" spans="1:39" x14ac:dyDescent="0.3">
      <c r="D210" s="32" t="s">
        <v>57</v>
      </c>
      <c r="G210" s="32">
        <v>50</v>
      </c>
      <c r="H210" s="33"/>
      <c r="I210" s="33"/>
      <c r="J210" s="33"/>
      <c r="K210" s="33"/>
      <c r="L210" s="35"/>
      <c r="M210" s="35"/>
      <c r="N210" s="35"/>
      <c r="U210" s="34">
        <f t="shared" si="216"/>
        <v>1.3989143165798161</v>
      </c>
      <c r="V210" s="34">
        <f t="shared" si="216"/>
        <v>1.4457674247628549</v>
      </c>
      <c r="W210" s="35"/>
      <c r="X210" s="35"/>
      <c r="Y210" s="64"/>
      <c r="Z210" s="64"/>
      <c r="AA210" s="65"/>
      <c r="AB210" s="63"/>
      <c r="AC210" s="63"/>
      <c r="AD210" s="35"/>
      <c r="AK210" s="33">
        <f>R210*U210</f>
        <v>0</v>
      </c>
      <c r="AL210" s="30">
        <f>I210/2.76</f>
        <v>0</v>
      </c>
      <c r="AM210" s="32" t="e">
        <f t="shared" si="197"/>
        <v>#DIV/0!</v>
      </c>
    </row>
    <row r="211" spans="1:39" x14ac:dyDescent="0.3">
      <c r="D211" s="32" t="s">
        <v>58</v>
      </c>
      <c r="G211" s="32">
        <v>50</v>
      </c>
      <c r="H211" s="33"/>
      <c r="I211" s="33"/>
      <c r="J211" s="33"/>
      <c r="K211" s="33"/>
      <c r="L211" s="35"/>
      <c r="M211" s="35"/>
      <c r="N211" s="35"/>
      <c r="U211" s="34">
        <f t="shared" si="216"/>
        <v>1.38</v>
      </c>
      <c r="V211" s="34">
        <f t="shared" si="216"/>
        <v>1.4331986779930224</v>
      </c>
      <c r="W211" s="35"/>
      <c r="X211" s="35"/>
      <c r="Y211" s="64"/>
      <c r="Z211" s="64"/>
      <c r="AA211" s="64"/>
      <c r="AB211" s="63"/>
      <c r="AC211" s="63"/>
      <c r="AD211" s="35"/>
      <c r="AK211" s="33">
        <f>R211*U211</f>
        <v>0</v>
      </c>
      <c r="AL211" s="30">
        <f>I211/2.76</f>
        <v>0</v>
      </c>
      <c r="AM211" s="32" t="e">
        <f t="shared" si="197"/>
        <v>#DIV/0!</v>
      </c>
    </row>
    <row r="212" spans="1:39" x14ac:dyDescent="0.3">
      <c r="D212" s="32" t="s">
        <v>59</v>
      </c>
      <c r="G212" s="32">
        <v>50</v>
      </c>
      <c r="H212" s="33"/>
      <c r="I212" s="33"/>
      <c r="J212" s="33"/>
      <c r="K212" s="33"/>
      <c r="L212" s="35"/>
      <c r="M212" s="35"/>
      <c r="N212" s="35"/>
      <c r="U212" s="34">
        <f t="shared" si="216"/>
        <v>1.38</v>
      </c>
      <c r="V212" s="34">
        <f t="shared" si="216"/>
        <v>1.4331986779930224</v>
      </c>
      <c r="W212" s="35"/>
      <c r="X212" s="35"/>
      <c r="Y212" s="64"/>
      <c r="Z212" s="64"/>
      <c r="AA212" s="64"/>
      <c r="AB212" s="63"/>
      <c r="AC212" s="63"/>
      <c r="AD212" s="35"/>
      <c r="AK212" s="33">
        <f>R212*U212</f>
        <v>0</v>
      </c>
      <c r="AL212" s="30">
        <f>I212/2.76</f>
        <v>0</v>
      </c>
      <c r="AM212" s="32" t="e">
        <f t="shared" si="197"/>
        <v>#DIV/0!</v>
      </c>
    </row>
    <row r="213" spans="1:39" x14ac:dyDescent="0.3">
      <c r="D213" s="32" t="s">
        <v>60</v>
      </c>
      <c r="G213" s="32">
        <v>50</v>
      </c>
      <c r="H213" s="33"/>
      <c r="I213" s="33"/>
      <c r="J213" s="33"/>
      <c r="K213" s="33"/>
      <c r="L213" s="35"/>
      <c r="M213" s="35"/>
      <c r="N213" s="35"/>
      <c r="U213" s="34">
        <f t="shared" si="216"/>
        <v>1.38</v>
      </c>
      <c r="V213" s="34">
        <f t="shared" si="216"/>
        <v>1.4331986779930224</v>
      </c>
      <c r="W213" s="35"/>
      <c r="X213" s="35"/>
      <c r="Y213" s="64"/>
      <c r="Z213" s="64"/>
      <c r="AA213" s="64"/>
      <c r="AB213" s="63"/>
      <c r="AC213" s="63"/>
      <c r="AD213" s="35"/>
      <c r="AK213" s="33">
        <f>R213*U213</f>
        <v>0</v>
      </c>
      <c r="AL213" s="30">
        <f>I213/2.76</f>
        <v>0</v>
      </c>
      <c r="AM213" s="32" t="e">
        <f t="shared" si="197"/>
        <v>#DIV/0!</v>
      </c>
    </row>
    <row r="214" spans="1:39" x14ac:dyDescent="0.3">
      <c r="H214" s="33"/>
      <c r="I214" s="33"/>
      <c r="J214" s="33"/>
      <c r="K214" s="33"/>
      <c r="L214" s="35"/>
      <c r="M214" s="35"/>
      <c r="N214" s="35"/>
      <c r="W214" s="35"/>
      <c r="X214" s="35"/>
      <c r="Y214" s="64"/>
      <c r="Z214" s="64"/>
      <c r="AA214" s="64"/>
      <c r="AK214" s="33">
        <f>R214*U214</f>
        <v>0</v>
      </c>
      <c r="AL214" s="30">
        <f>I214/2.76</f>
        <v>0</v>
      </c>
      <c r="AM214" s="32" t="e">
        <f t="shared" si="197"/>
        <v>#DIV/0!</v>
      </c>
    </row>
    <row r="215" spans="1:39" x14ac:dyDescent="0.3">
      <c r="A215" s="32" t="s">
        <v>17</v>
      </c>
      <c r="B215" s="32">
        <v>350</v>
      </c>
      <c r="C215" s="32" t="s">
        <v>31</v>
      </c>
      <c r="D215" s="32" t="s">
        <v>51</v>
      </c>
      <c r="H215" s="33">
        <v>596.39</v>
      </c>
      <c r="I215" s="33"/>
      <c r="J215" s="33"/>
      <c r="K215" s="33"/>
      <c r="L215" s="35"/>
      <c r="M215" s="35"/>
      <c r="P215" s="35">
        <v>514.09</v>
      </c>
      <c r="W215" s="35"/>
      <c r="X215" s="35"/>
      <c r="Y215" s="64"/>
      <c r="Z215" s="64"/>
      <c r="AA215" s="64"/>
      <c r="AB215" s="63">
        <f>(P215*0.5)/9/(25*25)*100*100/1000</f>
        <v>0.45696888888888892</v>
      </c>
      <c r="AK215" s="33">
        <f>R215*U215</f>
        <v>0</v>
      </c>
      <c r="AL215" s="30">
        <f>I215/2.76</f>
        <v>0</v>
      </c>
      <c r="AM215" s="32" t="e">
        <f t="shared" si="197"/>
        <v>#DIV/0!</v>
      </c>
    </row>
    <row r="216" spans="1:39" x14ac:dyDescent="0.3">
      <c r="D216" s="32" t="s">
        <v>52</v>
      </c>
      <c r="F216" s="32" t="s">
        <v>212</v>
      </c>
      <c r="G216" s="32">
        <v>10</v>
      </c>
      <c r="H216" s="33">
        <v>7108.14</v>
      </c>
      <c r="I216" s="33">
        <v>2208.6400000000003</v>
      </c>
      <c r="J216" s="33">
        <f t="shared" ref="J216:J220" si="224">I216/2.76</f>
        <v>800.23188405797123</v>
      </c>
      <c r="K216" s="33">
        <f>J216/Q216*100</f>
        <v>17.982738967594859</v>
      </c>
      <c r="L216" s="35">
        <v>4.1500000000000004</v>
      </c>
      <c r="M216" s="35">
        <v>51.17</v>
      </c>
      <c r="N216" s="35">
        <v>42.49</v>
      </c>
      <c r="O216" s="34">
        <f t="shared" ref="O216:O220" si="225">(N216-L216)/M216</f>
        <v>0.74926714871995315</v>
      </c>
      <c r="P216" s="33"/>
      <c r="Q216" s="32">
        <v>4450</v>
      </c>
      <c r="R216" s="33">
        <f>(H216-I216)*O216</f>
        <v>3671.0343951534105</v>
      </c>
      <c r="S216" s="33">
        <f>Q216-J216</f>
        <v>3649.768115942029</v>
      </c>
      <c r="T216" s="34">
        <f t="shared" ref="T216" si="226">R216/S216</f>
        <v>1.0058267480387293</v>
      </c>
      <c r="U216" s="34">
        <f t="shared" ref="U216:V216" si="227">U205</f>
        <v>0.83274999999999988</v>
      </c>
      <c r="V216" s="34">
        <f t="shared" si="227"/>
        <v>0.9649217490163926</v>
      </c>
      <c r="W216" s="35">
        <v>5.21</v>
      </c>
      <c r="X216" s="35">
        <v>2.48</v>
      </c>
      <c r="Y216" s="64">
        <v>5.4808768743338288</v>
      </c>
      <c r="Z216" s="64">
        <v>0.47470677473424405</v>
      </c>
      <c r="AA216" s="65">
        <f>Y216/Z216</f>
        <v>11.545815577210158</v>
      </c>
      <c r="AB216" s="63">
        <f t="shared" ref="AB216" si="228">(Y216*10)*100*100*G216*T216/1000000</f>
        <v>5.5128125629118703</v>
      </c>
      <c r="AC216" s="63">
        <f t="shared" ref="AC216" si="229">(Z216*10)*100*100*G216*T216/1000000</f>
        <v>0.4774727715028983</v>
      </c>
      <c r="AD216" s="34">
        <f>(W216*0.5)/Q216*100*100*G216/1000</f>
        <v>5.8539325842696624E-2</v>
      </c>
      <c r="AE216" s="63">
        <f>SUM(AB216:AB220)</f>
        <v>12.906934018338411</v>
      </c>
      <c r="AF216" s="63">
        <f>SUM(AC216:AC220)</f>
        <v>1.1322238775326914</v>
      </c>
      <c r="AG216" s="63">
        <f>AE216/AF216</f>
        <v>11.399630651196668</v>
      </c>
      <c r="AH216" s="35">
        <f>SUM(AD216:AD220)</f>
        <v>8.3330557575473252E-2</v>
      </c>
      <c r="AI216" s="35"/>
      <c r="AK216" s="33">
        <f>R216*U216</f>
        <v>3057.0538925640021</v>
      </c>
      <c r="AL216" s="30">
        <f>I216/2.76</f>
        <v>800.23188405797123</v>
      </c>
      <c r="AM216" s="32">
        <f t="shared" si="197"/>
        <v>20.745983844598005</v>
      </c>
    </row>
    <row r="217" spans="1:39" x14ac:dyDescent="0.3">
      <c r="D217" s="32" t="s">
        <v>53</v>
      </c>
      <c r="G217" s="32">
        <v>10</v>
      </c>
      <c r="H217" s="33">
        <v>2649.52</v>
      </c>
      <c r="I217" s="33">
        <v>911.63</v>
      </c>
      <c r="J217" s="33">
        <f t="shared" si="224"/>
        <v>330.30072463768118</v>
      </c>
      <c r="K217" s="33">
        <f>AM217</f>
        <v>19.7203537505208</v>
      </c>
      <c r="L217" s="35">
        <v>4.17</v>
      </c>
      <c r="M217" s="35">
        <v>50.26</v>
      </c>
      <c r="N217" s="35">
        <v>44.28</v>
      </c>
      <c r="O217" s="34">
        <f t="shared" si="225"/>
        <v>0.79805013927576607</v>
      </c>
      <c r="R217" s="33">
        <f t="shared" ref="R217:R220" si="230">(H217-I217)*O217</f>
        <v>1386.923356545961</v>
      </c>
      <c r="S217" s="66">
        <f>(H217-I217)*O217/V217</f>
        <v>1100.1256806877279</v>
      </c>
      <c r="U217" s="34">
        <f t="shared" si="216"/>
        <v>0.96949999999999992</v>
      </c>
      <c r="V217" s="34">
        <f t="shared" si="216"/>
        <v>1.2606953740766651</v>
      </c>
      <c r="W217" s="35">
        <v>0.79</v>
      </c>
      <c r="X217" s="35">
        <v>2.4700000000000002</v>
      </c>
      <c r="Y217" s="64">
        <v>2.3773406716679921</v>
      </c>
      <c r="Z217" s="64">
        <v>0.20057446998582168</v>
      </c>
      <c r="AA217" s="65">
        <f>Y217/Z217</f>
        <v>11.852658375894215</v>
      </c>
      <c r="AB217" s="63">
        <f t="shared" ref="AB217:AB264" si="231">(Y217*10)*100*100*G217*U217/1000000</f>
        <v>2.3048317811821186</v>
      </c>
      <c r="AC217" s="63">
        <f t="shared" ref="AC217:AC264" si="232">(Z217*10)*100*100*G217*U217/1000000</f>
        <v>0.1944569486512541</v>
      </c>
      <c r="AD217" s="34">
        <f>(W217*0.5)/(5*38.32*G217)*100*100*G217/1000</f>
        <v>2.0615866388308975E-2</v>
      </c>
      <c r="AK217" s="33">
        <f>R217*U217</f>
        <v>1344.622194171309</v>
      </c>
      <c r="AL217" s="30">
        <f>I217/2.76</f>
        <v>330.30072463768118</v>
      </c>
      <c r="AM217" s="32">
        <f t="shared" si="197"/>
        <v>19.7203537505208</v>
      </c>
    </row>
    <row r="218" spans="1:39" x14ac:dyDescent="0.3">
      <c r="D218" s="32" t="s">
        <v>54</v>
      </c>
      <c r="G218" s="32">
        <v>10</v>
      </c>
      <c r="H218" s="33">
        <v>2087.4299999999998</v>
      </c>
      <c r="I218" s="33">
        <v>548.86</v>
      </c>
      <c r="J218" s="33">
        <f t="shared" si="224"/>
        <v>198.86231884057972</v>
      </c>
      <c r="K218" s="33">
        <f>AM218</f>
        <v>11.844300225618495</v>
      </c>
      <c r="L218" s="35">
        <v>4.17</v>
      </c>
      <c r="M218" s="35">
        <v>63.4</v>
      </c>
      <c r="N218" s="35">
        <v>55.52</v>
      </c>
      <c r="O218" s="34">
        <f t="shared" si="225"/>
        <v>0.80993690851735023</v>
      </c>
      <c r="R218" s="33">
        <f t="shared" si="230"/>
        <v>1246.1446293375393</v>
      </c>
      <c r="S218" s="66">
        <f t="shared" ref="S218:S219" si="233">(H218-I218)*O218/V218</f>
        <v>890.01129174391849</v>
      </c>
      <c r="U218" s="34">
        <f t="shared" si="216"/>
        <v>1.1877499999999999</v>
      </c>
      <c r="V218" s="34">
        <f t="shared" si="216"/>
        <v>1.4001447407434584</v>
      </c>
      <c r="W218" s="35">
        <v>0.12</v>
      </c>
      <c r="X218" s="35">
        <v>8.64</v>
      </c>
      <c r="Y218" s="64">
        <v>1.3313592017454663</v>
      </c>
      <c r="Z218" s="64">
        <v>0.11040244584673418</v>
      </c>
      <c r="AA218" s="65">
        <f>Y218/Z218</f>
        <v>12.059145896040393</v>
      </c>
      <c r="AB218" s="63">
        <f t="shared" si="231"/>
        <v>1.5813218918731773</v>
      </c>
      <c r="AC218" s="63">
        <f t="shared" si="232"/>
        <v>0.1311305050544585</v>
      </c>
      <c r="AD218" s="34">
        <f t="shared" ref="AD218" si="234">(W218*0.5)/(5*38.32*G218)*100*100*G218/1000</f>
        <v>3.1315240083507304E-3</v>
      </c>
      <c r="AK218" s="33">
        <f>R218*U218</f>
        <v>1480.1082834956621</v>
      </c>
      <c r="AL218" s="30">
        <f>I218/2.76</f>
        <v>198.86231884057972</v>
      </c>
      <c r="AM218" s="32">
        <f t="shared" si="197"/>
        <v>11.844300225618495</v>
      </c>
    </row>
    <row r="219" spans="1:39" x14ac:dyDescent="0.3">
      <c r="D219" s="32" t="s">
        <v>55</v>
      </c>
      <c r="G219" s="32">
        <v>20</v>
      </c>
      <c r="H219" s="33">
        <v>1550.13</v>
      </c>
      <c r="I219" s="33">
        <v>70.2</v>
      </c>
      <c r="J219" s="33">
        <f t="shared" si="224"/>
        <v>25.434782608695656</v>
      </c>
      <c r="K219" s="33">
        <f t="shared" ref="K219:K220" si="235">AM219</f>
        <v>1.6517861282864654</v>
      </c>
      <c r="L219" s="35">
        <v>4.21</v>
      </c>
      <c r="M219" s="35">
        <v>65.400000000000006</v>
      </c>
      <c r="N219" s="35">
        <v>56.26</v>
      </c>
      <c r="O219" s="34">
        <f t="shared" si="225"/>
        <v>0.79587155963302736</v>
      </c>
      <c r="R219" s="33">
        <f t="shared" si="230"/>
        <v>1177.8341972477062</v>
      </c>
      <c r="S219" s="66">
        <f t="shared" si="233"/>
        <v>820.08707194707347</v>
      </c>
      <c r="U219" s="34">
        <f t="shared" si="216"/>
        <v>1.2857499999999999</v>
      </c>
      <c r="V219" s="34">
        <f t="shared" si="216"/>
        <v>1.4362306607897861</v>
      </c>
      <c r="W219" s="35">
        <v>0.04</v>
      </c>
      <c r="X219" s="35">
        <v>0.05</v>
      </c>
      <c r="Y219" s="64">
        <v>0.3803446296951854</v>
      </c>
      <c r="Z219" s="64">
        <v>3.6825130437268885E-2</v>
      </c>
      <c r="AA219" s="65">
        <f>Y219/Z219</f>
        <v>10.328398709764175</v>
      </c>
      <c r="AB219" s="63">
        <f t="shared" si="231"/>
        <v>0.97805621526116937</v>
      </c>
      <c r="AC219" s="63">
        <f t="shared" si="232"/>
        <v>9.4695822919436928E-2</v>
      </c>
      <c r="AD219" s="34">
        <f>(W219*0.5)/(5*38.32*G219)*100*100*G219/1000</f>
        <v>1.0438413361169103E-3</v>
      </c>
      <c r="AK219" s="33">
        <f>R219*U219</f>
        <v>1514.4003191112383</v>
      </c>
      <c r="AL219" s="30">
        <f>I219/2.76</f>
        <v>25.434782608695656</v>
      </c>
      <c r="AM219" s="32">
        <f t="shared" si="197"/>
        <v>1.6517861282864654</v>
      </c>
    </row>
    <row r="220" spans="1:39" x14ac:dyDescent="0.3">
      <c r="D220" s="32" t="s">
        <v>56</v>
      </c>
      <c r="G220" s="32">
        <v>50</v>
      </c>
      <c r="H220" s="33">
        <v>291.04000000000002</v>
      </c>
      <c r="I220" s="33">
        <v>7.36</v>
      </c>
      <c r="J220" s="33">
        <f t="shared" si="224"/>
        <v>2.666666666666667</v>
      </c>
      <c r="K220" s="33">
        <f t="shared" si="235"/>
        <v>0.83503586125496987</v>
      </c>
      <c r="L220" s="35">
        <v>4.16</v>
      </c>
      <c r="M220" s="35">
        <v>42.68</v>
      </c>
      <c r="N220" s="35">
        <v>38.89</v>
      </c>
      <c r="O220" s="34">
        <f t="shared" si="225"/>
        <v>0.81373008434864114</v>
      </c>
      <c r="R220" s="33">
        <f t="shared" si="230"/>
        <v>230.83895032802252</v>
      </c>
      <c r="S220" s="66">
        <f>(H220-I220)*O220/V220</f>
        <v>159.43119944081985</v>
      </c>
      <c r="U220" s="34">
        <f t="shared" si="216"/>
        <v>1.3718694142112708</v>
      </c>
      <c r="V220" s="34">
        <f t="shared" si="216"/>
        <v>1.4478906960347426</v>
      </c>
      <c r="W220" s="35"/>
      <c r="X220" s="35"/>
      <c r="Y220" s="64">
        <v>0.36882687825861316</v>
      </c>
      <c r="Z220" s="64">
        <v>3.4182237314394265E-2</v>
      </c>
      <c r="AA220" s="65">
        <f>Y220/Z220</f>
        <v>10.790015728528653</v>
      </c>
      <c r="AB220" s="63">
        <f t="shared" si="231"/>
        <v>2.5299115671100769</v>
      </c>
      <c r="AC220" s="63">
        <f t="shared" si="232"/>
        <v>0.23446782940464353</v>
      </c>
      <c r="AD220" s="34">
        <f>(W220*0.5)/(5*38.32*G220)*100*100*G220/1000</f>
        <v>0</v>
      </c>
      <c r="AK220" s="33">
        <f>R220*U220</f>
        <v>316.6808955636489</v>
      </c>
      <c r="AL220" s="30">
        <f>I220/2.76</f>
        <v>2.666666666666667</v>
      </c>
      <c r="AM220" s="32">
        <f t="shared" si="197"/>
        <v>0.83503586125496987</v>
      </c>
    </row>
    <row r="221" spans="1:39" x14ac:dyDescent="0.3">
      <c r="D221" s="32" t="s">
        <v>57</v>
      </c>
      <c r="G221" s="32">
        <v>50</v>
      </c>
      <c r="H221" s="33"/>
      <c r="I221" s="33"/>
      <c r="J221" s="33"/>
      <c r="K221" s="33"/>
      <c r="L221" s="35"/>
      <c r="M221" s="35"/>
      <c r="N221" s="35"/>
      <c r="U221" s="34">
        <f t="shared" si="216"/>
        <v>1.3989143165798161</v>
      </c>
      <c r="V221" s="34">
        <f t="shared" si="216"/>
        <v>1.4457674247628549</v>
      </c>
      <c r="W221" s="35"/>
      <c r="X221" s="35"/>
      <c r="Y221" s="64"/>
      <c r="Z221" s="64"/>
      <c r="AA221" s="64"/>
      <c r="AB221" s="63"/>
      <c r="AC221" s="63"/>
      <c r="AD221" s="35"/>
      <c r="AK221" s="33">
        <f>R221*U221</f>
        <v>0</v>
      </c>
      <c r="AL221" s="30">
        <f>I221/2.76</f>
        <v>0</v>
      </c>
      <c r="AM221" s="32" t="e">
        <f t="shared" si="197"/>
        <v>#DIV/0!</v>
      </c>
    </row>
    <row r="222" spans="1:39" x14ac:dyDescent="0.3">
      <c r="D222" s="32" t="s">
        <v>58</v>
      </c>
      <c r="G222" s="32">
        <v>50</v>
      </c>
      <c r="H222" s="33"/>
      <c r="I222" s="33"/>
      <c r="J222" s="33"/>
      <c r="K222" s="33"/>
      <c r="L222" s="35"/>
      <c r="M222" s="35"/>
      <c r="N222" s="35"/>
      <c r="U222" s="34">
        <f t="shared" si="216"/>
        <v>1.38</v>
      </c>
      <c r="V222" s="34">
        <f t="shared" si="216"/>
        <v>1.4331986779930224</v>
      </c>
      <c r="W222" s="35"/>
      <c r="X222" s="35"/>
      <c r="Y222" s="64"/>
      <c r="Z222" s="64"/>
      <c r="AA222" s="64"/>
      <c r="AB222" s="63"/>
      <c r="AC222" s="63"/>
      <c r="AD222" s="35"/>
      <c r="AK222" s="33">
        <f>R222*U222</f>
        <v>0</v>
      </c>
      <c r="AL222" s="30">
        <f>I222/2.76</f>
        <v>0</v>
      </c>
      <c r="AM222" s="32" t="e">
        <f t="shared" si="197"/>
        <v>#DIV/0!</v>
      </c>
    </row>
    <row r="223" spans="1:39" x14ac:dyDescent="0.3">
      <c r="D223" s="32" t="s">
        <v>59</v>
      </c>
      <c r="G223" s="32">
        <v>50</v>
      </c>
      <c r="H223" s="33"/>
      <c r="I223" s="33"/>
      <c r="J223" s="33"/>
      <c r="K223" s="33"/>
      <c r="L223" s="35"/>
      <c r="M223" s="35"/>
      <c r="N223" s="35"/>
      <c r="U223" s="34">
        <f t="shared" si="216"/>
        <v>1.38</v>
      </c>
      <c r="V223" s="34">
        <f t="shared" si="216"/>
        <v>1.4331986779930224</v>
      </c>
      <c r="W223" s="35"/>
      <c r="X223" s="35"/>
      <c r="Y223" s="64"/>
      <c r="Z223" s="64"/>
      <c r="AA223" s="64"/>
      <c r="AB223" s="63"/>
      <c r="AC223" s="63"/>
      <c r="AD223" s="35"/>
      <c r="AK223" s="33">
        <f>R223*U223</f>
        <v>0</v>
      </c>
      <c r="AL223" s="30">
        <f>I223/2.76</f>
        <v>0</v>
      </c>
      <c r="AM223" s="32" t="e">
        <f t="shared" si="197"/>
        <v>#DIV/0!</v>
      </c>
    </row>
    <row r="224" spans="1:39" x14ac:dyDescent="0.3">
      <c r="D224" s="32" t="s">
        <v>60</v>
      </c>
      <c r="G224" s="32">
        <v>50</v>
      </c>
      <c r="H224" s="33"/>
      <c r="I224" s="33"/>
      <c r="J224" s="33"/>
      <c r="K224" s="33"/>
      <c r="L224" s="35"/>
      <c r="M224" s="35"/>
      <c r="N224" s="35"/>
      <c r="U224" s="34">
        <f t="shared" si="216"/>
        <v>1.38</v>
      </c>
      <c r="V224" s="34">
        <f t="shared" si="216"/>
        <v>1.4331986779930224</v>
      </c>
      <c r="W224" s="35"/>
      <c r="X224" s="35"/>
      <c r="Y224" s="64"/>
      <c r="Z224" s="64"/>
      <c r="AA224" s="64"/>
      <c r="AB224" s="63"/>
      <c r="AC224" s="63"/>
      <c r="AD224" s="35"/>
      <c r="AK224" s="33">
        <f>R224*U224</f>
        <v>0</v>
      </c>
      <c r="AL224" s="30">
        <f>I224/2.76</f>
        <v>0</v>
      </c>
      <c r="AM224" s="32" t="e">
        <f t="shared" si="197"/>
        <v>#DIV/0!</v>
      </c>
    </row>
    <row r="225" spans="1:39" x14ac:dyDescent="0.3">
      <c r="H225" s="33"/>
      <c r="I225" s="33"/>
      <c r="J225" s="33"/>
      <c r="K225" s="33"/>
      <c r="L225" s="35"/>
      <c r="M225" s="35"/>
      <c r="N225" s="35"/>
      <c r="W225" s="35"/>
      <c r="X225" s="35"/>
      <c r="Y225" s="64"/>
      <c r="Z225" s="64"/>
      <c r="AA225" s="64"/>
      <c r="AK225" s="33">
        <f>R225*U225</f>
        <v>0</v>
      </c>
      <c r="AL225" s="30">
        <f>I225/2.76</f>
        <v>0</v>
      </c>
      <c r="AM225" s="32" t="e">
        <f t="shared" si="197"/>
        <v>#DIV/0!</v>
      </c>
    </row>
    <row r="226" spans="1:39" x14ac:dyDescent="0.3">
      <c r="A226" s="32" t="s">
        <v>78</v>
      </c>
      <c r="B226" s="32">
        <v>350</v>
      </c>
      <c r="C226" s="32" t="s">
        <v>25</v>
      </c>
      <c r="D226" s="32" t="s">
        <v>51</v>
      </c>
      <c r="H226" s="33">
        <v>807.75</v>
      </c>
      <c r="I226" s="33"/>
      <c r="J226" s="33"/>
      <c r="K226" s="33"/>
      <c r="L226" s="35"/>
      <c r="M226" s="35"/>
      <c r="P226" s="35">
        <v>566.80999999999995</v>
      </c>
      <c r="W226" s="35"/>
      <c r="X226" s="35"/>
      <c r="Y226" s="64"/>
      <c r="Z226" s="64"/>
      <c r="AA226" s="64"/>
      <c r="AB226" s="63">
        <f>(P226*0.5)/9/(25*25)*100*100/1000</f>
        <v>0.50383111111111101</v>
      </c>
      <c r="AK226" s="33">
        <f>R226*U226</f>
        <v>0</v>
      </c>
      <c r="AL226" s="30">
        <f>I226/2.76</f>
        <v>0</v>
      </c>
      <c r="AM226" s="32" t="e">
        <f t="shared" si="197"/>
        <v>#DIV/0!</v>
      </c>
    </row>
    <row r="227" spans="1:39" x14ac:dyDescent="0.3">
      <c r="D227" s="32" t="s">
        <v>52</v>
      </c>
      <c r="F227" s="32" t="s">
        <v>212</v>
      </c>
      <c r="G227" s="32">
        <v>10</v>
      </c>
      <c r="H227" s="33">
        <v>6961.51</v>
      </c>
      <c r="I227" s="33">
        <v>1350.04</v>
      </c>
      <c r="J227" s="33">
        <f t="shared" ref="J227:J230" si="236">I227/2.76</f>
        <v>489.14492753623193</v>
      </c>
      <c r="K227" s="33">
        <f>J227/Q227*100</f>
        <v>10.82179043221752</v>
      </c>
      <c r="L227" s="35">
        <v>4.1399999999999997</v>
      </c>
      <c r="M227" s="35">
        <v>50.75</v>
      </c>
      <c r="N227" s="35">
        <v>43.45</v>
      </c>
      <c r="O227" s="34">
        <f t="shared" ref="O227:O230" si="237">(N227-L227)/M227</f>
        <v>0.77458128078817734</v>
      </c>
      <c r="P227" s="33"/>
      <c r="Q227" s="32">
        <v>4520</v>
      </c>
      <c r="R227" s="33">
        <f>(H227-I227)*O227</f>
        <v>4346.5396197044338</v>
      </c>
      <c r="S227" s="33">
        <f>Q227-J227</f>
        <v>4030.855072463768</v>
      </c>
      <c r="T227" s="34">
        <f t="shared" ref="T227" si="238">R227/S227</f>
        <v>1.0783170174976573</v>
      </c>
      <c r="U227" s="34">
        <f t="shared" ref="U227:V227" si="239">U216</f>
        <v>0.83274999999999988</v>
      </c>
      <c r="V227" s="34">
        <f t="shared" si="239"/>
        <v>0.9649217490163926</v>
      </c>
      <c r="W227" s="35">
        <v>5.69</v>
      </c>
      <c r="X227" s="35">
        <v>25.53</v>
      </c>
      <c r="Y227" s="64">
        <v>5.6728449013521365</v>
      </c>
      <c r="Z227" s="64">
        <v>0.46249138990154709</v>
      </c>
      <c r="AA227" s="65">
        <f>Y227/Z227</f>
        <v>12.265838943639025</v>
      </c>
      <c r="AB227" s="63">
        <f t="shared" ref="AB227" si="240">(Y227*10)*100*100*G227*T227/1000000</f>
        <v>6.1171251947528278</v>
      </c>
      <c r="AC227" s="63">
        <f t="shared" ref="AC227" si="241">(Z227*10)*100*100*G227*T227/1000000</f>
        <v>0.49871233617698246</v>
      </c>
      <c r="AD227" s="34">
        <f>(W227*0.5)/Q227*100*100*G227/1000</f>
        <v>6.2942477876106198E-2</v>
      </c>
      <c r="AE227" s="63">
        <f>SUM(AB227:AB231)</f>
        <v>14.651751572306591</v>
      </c>
      <c r="AF227" s="63">
        <f>SUM(AC227:AC231)</f>
        <v>1.2340621642995342</v>
      </c>
      <c r="AG227" s="63">
        <f>AE227/AF227</f>
        <v>11.872782422288321</v>
      </c>
      <c r="AH227" s="35">
        <f>SUM(AD227:AD231)</f>
        <v>0.1180051083562732</v>
      </c>
      <c r="AI227" s="35"/>
      <c r="AK227" s="33">
        <f>R227*U227</f>
        <v>3619.5808683088667</v>
      </c>
      <c r="AL227" s="30">
        <f>I227/2.76</f>
        <v>489.14492753623193</v>
      </c>
      <c r="AM227" s="32">
        <f t="shared" si="197"/>
        <v>11.905027296561725</v>
      </c>
    </row>
    <row r="228" spans="1:39" x14ac:dyDescent="0.3">
      <c r="D228" s="32" t="s">
        <v>53</v>
      </c>
      <c r="G228" s="32">
        <v>10</v>
      </c>
      <c r="H228" s="33">
        <v>3457.16</v>
      </c>
      <c r="I228" s="33">
        <v>1371.78</v>
      </c>
      <c r="J228" s="33">
        <f t="shared" si="236"/>
        <v>497.02173913043481</v>
      </c>
      <c r="K228" s="33">
        <f>AM228</f>
        <v>23.087031855110528</v>
      </c>
      <c r="L228" s="35">
        <v>4.12</v>
      </c>
      <c r="M228" s="35">
        <v>50.05</v>
      </c>
      <c r="N228" s="35">
        <v>45.11</v>
      </c>
      <c r="O228" s="34">
        <f t="shared" si="237"/>
        <v>0.81898101898101905</v>
      </c>
      <c r="R228" s="33">
        <f t="shared" ref="R228:R230" si="242">(H228-I228)*O228</f>
        <v>1707.8866373626377</v>
      </c>
      <c r="S228" s="66">
        <f>(H228-I228)*O228/V228</f>
        <v>1354.7179377996022</v>
      </c>
      <c r="U228" s="34">
        <f t="shared" si="216"/>
        <v>0.96949999999999992</v>
      </c>
      <c r="V228" s="34">
        <f t="shared" si="216"/>
        <v>1.2606953740766651</v>
      </c>
      <c r="W228" s="35">
        <v>1.17</v>
      </c>
      <c r="X228" s="35">
        <v>6.01</v>
      </c>
      <c r="Y228" s="64">
        <v>2.2657486202328507</v>
      </c>
      <c r="Z228" s="64">
        <v>0.1873159658493459</v>
      </c>
      <c r="AA228" s="65">
        <f>Y228/Z228</f>
        <v>12.095864919785548</v>
      </c>
      <c r="AB228" s="63">
        <f t="shared" ref="AB228" si="243">(Y228*10)*100*100*G228*U228/1000000</f>
        <v>2.196643287315748</v>
      </c>
      <c r="AC228" s="63">
        <f t="shared" ref="AC228" si="244">(Z228*10)*100*100*G228*U228/1000000</f>
        <v>0.18160282889094084</v>
      </c>
      <c r="AD228" s="34">
        <f>(W228*0.5)/(5*38.32*G228)*100*100*G228/1000</f>
        <v>3.053235908141962E-2</v>
      </c>
      <c r="AK228" s="33">
        <f>R228*U228</f>
        <v>1655.7960949230771</v>
      </c>
      <c r="AL228" s="30">
        <f>I228/2.76</f>
        <v>497.02173913043481</v>
      </c>
      <c r="AM228" s="32">
        <f t="shared" si="197"/>
        <v>23.087031855110528</v>
      </c>
    </row>
    <row r="229" spans="1:39" x14ac:dyDescent="0.3">
      <c r="D229" s="32" t="s">
        <v>54</v>
      </c>
      <c r="G229" s="32">
        <v>10</v>
      </c>
      <c r="H229" s="33">
        <v>2086.44</v>
      </c>
      <c r="I229" s="33">
        <v>959.29</v>
      </c>
      <c r="J229" s="33">
        <f t="shared" si="236"/>
        <v>347.56884057971018</v>
      </c>
      <c r="K229" s="33">
        <f t="shared" ref="K229:K230" si="245">AM229</f>
        <v>23.792264682733009</v>
      </c>
      <c r="L229" s="35">
        <v>4.1500000000000004</v>
      </c>
      <c r="M229" s="35">
        <v>53.79</v>
      </c>
      <c r="N229" s="35">
        <v>48.88</v>
      </c>
      <c r="O229" s="34">
        <f t="shared" si="237"/>
        <v>0.83156720580033472</v>
      </c>
      <c r="R229" s="33">
        <f t="shared" si="242"/>
        <v>937.30097601784735</v>
      </c>
      <c r="S229" s="66">
        <f t="shared" ref="S229:S230" si="246">(H229-I229)*O229/V229</f>
        <v>669.43148714764504</v>
      </c>
      <c r="U229" s="34">
        <f t="shared" si="216"/>
        <v>1.1877499999999999</v>
      </c>
      <c r="V229" s="34">
        <f t="shared" si="216"/>
        <v>1.4001447407434584</v>
      </c>
      <c r="W229" s="35">
        <v>0.5</v>
      </c>
      <c r="X229" s="35">
        <v>0</v>
      </c>
      <c r="Y229" s="64">
        <v>1.7195098164037113</v>
      </c>
      <c r="Z229" s="64">
        <v>0.14533986493077811</v>
      </c>
      <c r="AA229" s="65">
        <f>Y229/Z229</f>
        <v>11.830957853323124</v>
      </c>
      <c r="AB229" s="63">
        <f t="shared" si="231"/>
        <v>2.0423477844335078</v>
      </c>
      <c r="AC229" s="63">
        <f t="shared" si="232"/>
        <v>0.17262742457153168</v>
      </c>
      <c r="AD229" s="34">
        <f t="shared" ref="AD229" si="247">(W229*0.5)/(5*38.32*G229)*100*100*G229/1000</f>
        <v>1.3048016701461374E-2</v>
      </c>
      <c r="AK229" s="33">
        <f>R229*U229</f>
        <v>1113.2792342651981</v>
      </c>
      <c r="AL229" s="30">
        <f>I229/2.76</f>
        <v>347.56884057971018</v>
      </c>
      <c r="AM229" s="32">
        <f t="shared" si="197"/>
        <v>23.792264682733009</v>
      </c>
    </row>
    <row r="230" spans="1:39" x14ac:dyDescent="0.3">
      <c r="D230" s="32" t="s">
        <v>55</v>
      </c>
      <c r="G230" s="32">
        <v>20</v>
      </c>
      <c r="H230" s="33">
        <v>268.10000000000002</v>
      </c>
      <c r="I230" s="33">
        <v>68.180000000000007</v>
      </c>
      <c r="J230" s="33">
        <f t="shared" si="236"/>
        <v>24.70289855072464</v>
      </c>
      <c r="K230" s="33">
        <f t="shared" si="245"/>
        <v>10.187173562594396</v>
      </c>
      <c r="L230" s="35">
        <v>4.2</v>
      </c>
      <c r="M230" s="35">
        <v>38.04</v>
      </c>
      <c r="N230" s="35">
        <v>36.43</v>
      </c>
      <c r="O230" s="34">
        <f t="shared" si="237"/>
        <v>0.84726603575184012</v>
      </c>
      <c r="R230" s="33">
        <f t="shared" si="242"/>
        <v>169.38542586750788</v>
      </c>
      <c r="S230" s="66">
        <f t="shared" si="246"/>
        <v>117.93748072079347</v>
      </c>
      <c r="U230" s="34">
        <f t="shared" si="216"/>
        <v>1.2857499999999999</v>
      </c>
      <c r="V230" s="34">
        <f t="shared" si="216"/>
        <v>1.4362306607897861</v>
      </c>
      <c r="W230" s="35">
        <v>0.44</v>
      </c>
      <c r="X230" s="35">
        <v>0</v>
      </c>
      <c r="Y230" s="64">
        <v>1.6704784389673373</v>
      </c>
      <c r="Z230" s="64">
        <v>0.14820905100528073</v>
      </c>
      <c r="AA230" s="65">
        <f>Y230/Z230</f>
        <v>11.271095979879243</v>
      </c>
      <c r="AB230" s="63">
        <f t="shared" si="231"/>
        <v>4.2956353058045069</v>
      </c>
      <c r="AC230" s="63">
        <f t="shared" si="232"/>
        <v>0.38111957466007929</v>
      </c>
      <c r="AD230" s="34">
        <f>(W230*0.5)/(5*38.32*G230)*100*100*G230/1000</f>
        <v>1.1482254697286011E-2</v>
      </c>
      <c r="AK230" s="33">
        <f>R230*U230</f>
        <v>217.78731130914824</v>
      </c>
      <c r="AL230" s="30">
        <f>I230/2.76</f>
        <v>24.70289855072464</v>
      </c>
      <c r="AM230" s="32">
        <f t="shared" si="197"/>
        <v>10.187173562594396</v>
      </c>
    </row>
    <row r="231" spans="1:39" x14ac:dyDescent="0.3">
      <c r="D231" s="32" t="s">
        <v>56</v>
      </c>
      <c r="G231" s="32">
        <v>50</v>
      </c>
      <c r="H231" s="33"/>
      <c r="I231" s="33"/>
      <c r="J231" s="33"/>
      <c r="K231" s="33"/>
      <c r="L231" s="35"/>
      <c r="M231" s="35"/>
      <c r="N231" s="35"/>
      <c r="O231" s="34"/>
      <c r="U231" s="34">
        <f t="shared" si="216"/>
        <v>1.3718694142112708</v>
      </c>
      <c r="V231" s="34">
        <f t="shared" si="216"/>
        <v>1.4478906960347426</v>
      </c>
      <c r="W231" s="35"/>
      <c r="X231" s="35"/>
      <c r="Y231" s="64"/>
      <c r="Z231" s="64"/>
      <c r="AA231" s="64"/>
      <c r="AB231" s="63"/>
      <c r="AC231" s="63"/>
      <c r="AD231" s="34"/>
      <c r="AK231" s="33">
        <f>R231*U231</f>
        <v>0</v>
      </c>
      <c r="AL231" s="30">
        <f>I231/2.76</f>
        <v>0</v>
      </c>
      <c r="AM231" s="32" t="e">
        <f t="shared" si="197"/>
        <v>#DIV/0!</v>
      </c>
    </row>
    <row r="232" spans="1:39" x14ac:dyDescent="0.3">
      <c r="D232" s="32" t="s">
        <v>57</v>
      </c>
      <c r="G232" s="32">
        <v>50</v>
      </c>
      <c r="H232" s="33"/>
      <c r="I232" s="33"/>
      <c r="J232" s="33"/>
      <c r="K232" s="33"/>
      <c r="L232" s="35"/>
      <c r="M232" s="35"/>
      <c r="N232" s="35"/>
      <c r="U232" s="34">
        <f t="shared" si="216"/>
        <v>1.3989143165798161</v>
      </c>
      <c r="V232" s="34">
        <f t="shared" si="216"/>
        <v>1.4457674247628549</v>
      </c>
      <c r="W232" s="35"/>
      <c r="X232" s="35"/>
      <c r="Y232" s="64"/>
      <c r="Z232" s="64"/>
      <c r="AA232" s="64"/>
      <c r="AB232" s="63"/>
      <c r="AC232" s="63"/>
      <c r="AD232" s="35"/>
      <c r="AK232" s="33">
        <f>R232*U232</f>
        <v>0</v>
      </c>
      <c r="AL232" s="30">
        <f>I232/2.76</f>
        <v>0</v>
      </c>
      <c r="AM232" s="32" t="e">
        <f t="shared" si="197"/>
        <v>#DIV/0!</v>
      </c>
    </row>
    <row r="233" spans="1:39" x14ac:dyDescent="0.3">
      <c r="D233" s="32" t="s">
        <v>58</v>
      </c>
      <c r="G233" s="32">
        <v>50</v>
      </c>
      <c r="H233" s="33"/>
      <c r="I233" s="33"/>
      <c r="J233" s="33"/>
      <c r="K233" s="33"/>
      <c r="L233" s="35"/>
      <c r="M233" s="35"/>
      <c r="N233" s="35"/>
      <c r="U233" s="34">
        <f t="shared" si="216"/>
        <v>1.38</v>
      </c>
      <c r="V233" s="34">
        <f t="shared" si="216"/>
        <v>1.4331986779930224</v>
      </c>
      <c r="W233" s="35"/>
      <c r="X233" s="35"/>
      <c r="Y233" s="64"/>
      <c r="Z233" s="64"/>
      <c r="AA233" s="64"/>
      <c r="AB233" s="63"/>
      <c r="AC233" s="63"/>
      <c r="AD233" s="35"/>
      <c r="AK233" s="33">
        <f>R233*U233</f>
        <v>0</v>
      </c>
      <c r="AL233" s="30">
        <f>I233/2.76</f>
        <v>0</v>
      </c>
      <c r="AM233" s="32" t="e">
        <f t="shared" si="197"/>
        <v>#DIV/0!</v>
      </c>
    </row>
    <row r="234" spans="1:39" x14ac:dyDescent="0.3">
      <c r="D234" s="32" t="s">
        <v>59</v>
      </c>
      <c r="G234" s="32">
        <v>50</v>
      </c>
      <c r="H234" s="33"/>
      <c r="I234" s="33"/>
      <c r="J234" s="33"/>
      <c r="K234" s="33"/>
      <c r="L234" s="35"/>
      <c r="M234" s="35"/>
      <c r="N234" s="35"/>
      <c r="U234" s="34">
        <f t="shared" si="216"/>
        <v>1.38</v>
      </c>
      <c r="V234" s="34">
        <f t="shared" si="216"/>
        <v>1.4331986779930224</v>
      </c>
      <c r="W234" s="35"/>
      <c r="X234" s="35"/>
      <c r="Y234" s="64"/>
      <c r="Z234" s="64"/>
      <c r="AA234" s="64"/>
      <c r="AB234" s="63"/>
      <c r="AC234" s="63"/>
      <c r="AD234" s="35"/>
      <c r="AK234" s="33">
        <f>R234*U234</f>
        <v>0</v>
      </c>
      <c r="AL234" s="30">
        <f>I234/2.76</f>
        <v>0</v>
      </c>
      <c r="AM234" s="32" t="e">
        <f t="shared" si="197"/>
        <v>#DIV/0!</v>
      </c>
    </row>
    <row r="235" spans="1:39" x14ac:dyDescent="0.3">
      <c r="D235" s="32" t="s">
        <v>60</v>
      </c>
      <c r="G235" s="32">
        <v>50</v>
      </c>
      <c r="H235" s="33"/>
      <c r="I235" s="33"/>
      <c r="J235" s="33"/>
      <c r="K235" s="33"/>
      <c r="L235" s="35"/>
      <c r="M235" s="35"/>
      <c r="N235" s="35"/>
      <c r="U235" s="34">
        <f t="shared" si="216"/>
        <v>1.38</v>
      </c>
      <c r="V235" s="34">
        <f t="shared" si="216"/>
        <v>1.4331986779930224</v>
      </c>
      <c r="W235" s="35"/>
      <c r="X235" s="35"/>
      <c r="Y235" s="64"/>
      <c r="Z235" s="64"/>
      <c r="AA235" s="64"/>
      <c r="AB235" s="63"/>
      <c r="AC235" s="63"/>
      <c r="AD235" s="35"/>
      <c r="AK235" s="33">
        <f>R235*U235</f>
        <v>0</v>
      </c>
      <c r="AL235" s="30">
        <f>I235/2.76</f>
        <v>0</v>
      </c>
      <c r="AM235" s="32" t="e">
        <f t="shared" si="197"/>
        <v>#DIV/0!</v>
      </c>
    </row>
    <row r="236" spans="1:39" x14ac:dyDescent="0.3">
      <c r="H236" s="33"/>
      <c r="I236" s="33"/>
      <c r="J236" s="33"/>
      <c r="K236" s="33"/>
      <c r="L236" s="35"/>
      <c r="M236" s="35"/>
      <c r="N236" s="35"/>
      <c r="W236" s="35"/>
      <c r="X236" s="35"/>
      <c r="Y236" s="64"/>
      <c r="Z236" s="64"/>
      <c r="AA236" s="64"/>
      <c r="AK236" s="33">
        <f>R236*U236</f>
        <v>0</v>
      </c>
      <c r="AL236" s="30">
        <f>I236/2.76</f>
        <v>0</v>
      </c>
      <c r="AM236" s="32" t="e">
        <f t="shared" si="197"/>
        <v>#DIV/0!</v>
      </c>
    </row>
    <row r="237" spans="1:39" x14ac:dyDescent="0.3">
      <c r="A237" s="32" t="s">
        <v>79</v>
      </c>
      <c r="B237" s="32">
        <v>350</v>
      </c>
      <c r="C237" s="32" t="s">
        <v>18</v>
      </c>
      <c r="D237" s="32" t="s">
        <v>51</v>
      </c>
      <c r="H237" s="33">
        <v>956.02</v>
      </c>
      <c r="I237" s="33"/>
      <c r="J237" s="33"/>
      <c r="K237" s="33"/>
      <c r="L237" s="35"/>
      <c r="M237" s="35"/>
      <c r="P237" s="35">
        <v>784.19</v>
      </c>
      <c r="W237" s="35"/>
      <c r="X237" s="35"/>
      <c r="Y237" s="64"/>
      <c r="Z237" s="64"/>
      <c r="AA237" s="64"/>
      <c r="AB237" s="63">
        <f>(P237*0.5)/9/(25*25)*100*100/1000</f>
        <v>0.69705777777777789</v>
      </c>
      <c r="AK237" s="33">
        <f>R237*U237</f>
        <v>0</v>
      </c>
      <c r="AL237" s="30">
        <f>I237/2.76</f>
        <v>0</v>
      </c>
      <c r="AM237" s="32" t="e">
        <f t="shared" si="197"/>
        <v>#DIV/0!</v>
      </c>
    </row>
    <row r="238" spans="1:39" x14ac:dyDescent="0.3">
      <c r="D238" s="32" t="s">
        <v>52</v>
      </c>
      <c r="F238" s="32" t="s">
        <v>212</v>
      </c>
      <c r="G238" s="32">
        <v>10</v>
      </c>
      <c r="H238" s="33">
        <v>6038.58</v>
      </c>
      <c r="I238" s="33">
        <v>3498.58</v>
      </c>
      <c r="J238" s="33">
        <f>I238/2.76</f>
        <v>1267.6014492753625</v>
      </c>
      <c r="K238" s="33">
        <f>J238/Q238*100</f>
        <v>33.757695053937745</v>
      </c>
      <c r="L238" s="35">
        <v>4.21</v>
      </c>
      <c r="M238" s="35">
        <v>52.32</v>
      </c>
      <c r="N238" s="35">
        <v>48.52</v>
      </c>
      <c r="O238" s="34">
        <f t="shared" ref="O238:O241" si="248">(N238-L238)/M238</f>
        <v>0.84690366972477071</v>
      </c>
      <c r="P238" s="33"/>
      <c r="Q238" s="32">
        <v>3755</v>
      </c>
      <c r="R238" s="33">
        <f>(H238-I238)*O238</f>
        <v>2151.1353211009177</v>
      </c>
      <c r="S238" s="33">
        <f>Q238-J238</f>
        <v>2487.3985507246375</v>
      </c>
      <c r="T238" s="34">
        <f t="shared" ref="T238" si="249">R238/S238</f>
        <v>0.86481328875673802</v>
      </c>
      <c r="U238" s="34">
        <f t="shared" ref="U238:V238" si="250">U227</f>
        <v>0.83274999999999988</v>
      </c>
      <c r="V238" s="34">
        <f t="shared" si="250"/>
        <v>0.9649217490163926</v>
      </c>
      <c r="W238" s="35">
        <v>21.64</v>
      </c>
      <c r="X238" s="35">
        <v>15.01</v>
      </c>
      <c r="Y238" s="64">
        <v>6.4294573384898301</v>
      </c>
      <c r="Z238" s="64">
        <v>0.36740610661919987</v>
      </c>
      <c r="AA238" s="65">
        <f>Y238/Z238</f>
        <v>17.499593018887076</v>
      </c>
      <c r="AB238" s="63">
        <f>(Y238*10)*100*100*G238*T238/1000000</f>
        <v>5.560280145820534</v>
      </c>
      <c r="AC238" s="63">
        <f t="shared" ref="AC238" si="251">(Z238*10)*100*100*G238*T238/1000000</f>
        <v>0.31773768337465896</v>
      </c>
      <c r="AD238" s="34">
        <f>(W238*0.5)/Q238*100*100*G238/1000</f>
        <v>0.28814913448735019</v>
      </c>
      <c r="AE238" s="63">
        <f>SUM(AB238:AB242)</f>
        <v>8.927903635122469</v>
      </c>
      <c r="AF238" s="63">
        <f>SUM(AC238:AC242)</f>
        <v>0.53732937702451888</v>
      </c>
      <c r="AG238" s="63">
        <f>AE238/AF238</f>
        <v>16.615327612573619</v>
      </c>
      <c r="AH238" s="35">
        <f>SUM(AD238:AD242)</f>
        <v>0.32911990692993892</v>
      </c>
      <c r="AI238" s="35"/>
      <c r="AK238" s="33">
        <f>R238*U238</f>
        <v>1791.3579386467891</v>
      </c>
      <c r="AL238" s="30">
        <f>I238/2.76</f>
        <v>1267.6014492753625</v>
      </c>
      <c r="AM238" s="32">
        <f t="shared" si="197"/>
        <v>41.438976087106589</v>
      </c>
    </row>
    <row r="239" spans="1:39" x14ac:dyDescent="0.3">
      <c r="D239" s="32" t="s">
        <v>53</v>
      </c>
      <c r="G239" s="32">
        <v>10</v>
      </c>
      <c r="H239" s="33">
        <v>2140.89</v>
      </c>
      <c r="I239" s="33">
        <v>474.42</v>
      </c>
      <c r="J239" s="33">
        <f t="shared" ref="J239:J241" si="252">I239/2.76</f>
        <v>171.89130434782609</v>
      </c>
      <c r="K239" s="33">
        <f>AM239</f>
        <v>10.596915520559268</v>
      </c>
      <c r="L239" s="35">
        <v>4.21</v>
      </c>
      <c r="M239" s="35">
        <v>50.78</v>
      </c>
      <c r="N239" s="35">
        <v>49.79</v>
      </c>
      <c r="O239" s="34">
        <f t="shared" si="248"/>
        <v>0.89759747932256784</v>
      </c>
      <c r="R239" s="33">
        <f t="shared" ref="R239:R241" si="253">(H239-I239)*O239</f>
        <v>1495.8192713666795</v>
      </c>
      <c r="S239" s="66">
        <f>(H239-I239)*O239/V239</f>
        <v>1186.5033394464697</v>
      </c>
      <c r="U239" s="34">
        <f t="shared" si="216"/>
        <v>0.96949999999999992</v>
      </c>
      <c r="V239" s="34">
        <f t="shared" si="216"/>
        <v>1.2606953740766651</v>
      </c>
      <c r="W239" s="35">
        <v>0.85</v>
      </c>
      <c r="X239" s="35">
        <v>9.07</v>
      </c>
      <c r="Y239" s="64">
        <v>1.339969993276253</v>
      </c>
      <c r="Z239" s="64">
        <v>7.9787080429119778E-2</v>
      </c>
      <c r="AA239" s="65">
        <f>Y239/Z239</f>
        <v>16.794322916310222</v>
      </c>
      <c r="AB239" s="63">
        <f>(Y239*10)*100*100*G239*U239/1000000</f>
        <v>1.2991009084813272</v>
      </c>
      <c r="AC239" s="63">
        <f t="shared" ref="AC239" si="254">(Z239*10)*100*100*G239*U239/1000000</f>
        <v>7.7353574476031611E-2</v>
      </c>
      <c r="AD239" s="34">
        <f>(W239*0.5)/(5*38.32*G239)*100*100*G239/1000</f>
        <v>2.2181628392484342E-2</v>
      </c>
      <c r="AK239" s="33">
        <f>R239*U239</f>
        <v>1450.1967835899957</v>
      </c>
      <c r="AL239" s="30">
        <f>I239/2.76</f>
        <v>171.89130434782609</v>
      </c>
      <c r="AM239" s="32">
        <f t="shared" si="197"/>
        <v>10.596915520559268</v>
      </c>
    </row>
    <row r="240" spans="1:39" x14ac:dyDescent="0.3">
      <c r="D240" s="32" t="s">
        <v>54</v>
      </c>
      <c r="G240" s="32">
        <v>10</v>
      </c>
      <c r="H240" s="33">
        <v>2064.71</v>
      </c>
      <c r="I240" s="33">
        <v>218.8</v>
      </c>
      <c r="J240" s="33">
        <f t="shared" si="252"/>
        <v>79.275362318840592</v>
      </c>
      <c r="K240" s="33">
        <f t="shared" ref="K240:K241" si="255">AM240</f>
        <v>3.9258169849325117</v>
      </c>
      <c r="L240" s="35">
        <v>4.1900000000000004</v>
      </c>
      <c r="M240" s="35">
        <v>51.42</v>
      </c>
      <c r="N240" s="35">
        <v>49.69</v>
      </c>
      <c r="O240" s="34">
        <f t="shared" si="248"/>
        <v>0.88486970050563984</v>
      </c>
      <c r="R240" s="33">
        <f t="shared" si="253"/>
        <v>1633.3898288603657</v>
      </c>
      <c r="S240" s="66">
        <f t="shared" ref="S240:S241" si="256">(H240-I240)*O240/V240</f>
        <v>1166.5864116255989</v>
      </c>
      <c r="U240" s="34">
        <f t="shared" si="216"/>
        <v>1.1877499999999999</v>
      </c>
      <c r="V240" s="34">
        <f t="shared" si="216"/>
        <v>1.4001447407434584</v>
      </c>
      <c r="W240" s="35">
        <v>0.4</v>
      </c>
      <c r="X240" s="35">
        <v>6.6</v>
      </c>
      <c r="Y240" s="64">
        <v>0.77676644310415643</v>
      </c>
      <c r="Z240" s="64">
        <v>4.9649554870040809E-2</v>
      </c>
      <c r="AA240" s="65">
        <f>Y240/Z240</f>
        <v>15.644983024266095</v>
      </c>
      <c r="AB240" s="63">
        <f t="shared" si="231"/>
        <v>0.9226043427969618</v>
      </c>
      <c r="AC240" s="63">
        <f t="shared" si="232"/>
        <v>5.8971258796890962E-2</v>
      </c>
      <c r="AD240" s="34">
        <f t="shared" ref="AD240" si="257">(W240*0.5)/(5*38.32*G240)*100*100*G240/1000</f>
        <v>1.0438413361169104E-2</v>
      </c>
      <c r="AK240" s="33">
        <f>R240*U240</f>
        <v>1940.0587692288991</v>
      </c>
      <c r="AL240" s="30">
        <f>I240/2.76</f>
        <v>79.275362318840592</v>
      </c>
      <c r="AM240" s="32">
        <f t="shared" si="197"/>
        <v>3.9258169849325117</v>
      </c>
    </row>
    <row r="241" spans="1:39" x14ac:dyDescent="0.3">
      <c r="D241" s="32" t="s">
        <v>55</v>
      </c>
      <c r="G241" s="32">
        <v>20</v>
      </c>
      <c r="H241" s="33">
        <v>1901.65</v>
      </c>
      <c r="I241" s="33">
        <v>74.55</v>
      </c>
      <c r="J241" s="33">
        <f t="shared" si="252"/>
        <v>27.010869565217391</v>
      </c>
      <c r="K241" s="33">
        <f t="shared" si="255"/>
        <v>1.3126090891323614</v>
      </c>
      <c r="L241" s="35">
        <v>4.1900000000000004</v>
      </c>
      <c r="M241" s="35">
        <v>48.99</v>
      </c>
      <c r="N241" s="35">
        <v>46.54</v>
      </c>
      <c r="O241" s="34">
        <f t="shared" si="248"/>
        <v>0.86446213512961834</v>
      </c>
      <c r="R241" s="33">
        <f t="shared" si="253"/>
        <v>1579.4587670953258</v>
      </c>
      <c r="S241" s="66">
        <f t="shared" si="256"/>
        <v>1099.7250025471385</v>
      </c>
      <c r="U241" s="34">
        <f t="shared" si="216"/>
        <v>1.2857499999999999</v>
      </c>
      <c r="V241" s="34">
        <f t="shared" si="216"/>
        <v>1.4362306607897861</v>
      </c>
      <c r="W241" s="35">
        <v>0.32</v>
      </c>
      <c r="X241" s="35">
        <v>1.97</v>
      </c>
      <c r="Y241" s="64">
        <v>0.44562249193997455</v>
      </c>
      <c r="Z241" s="64">
        <v>3.2380657350549256E-2</v>
      </c>
      <c r="AA241" s="65">
        <f>Y241/Z241</f>
        <v>13.761996463373702</v>
      </c>
      <c r="AB241" s="63">
        <f t="shared" si="231"/>
        <v>1.1459182380236446</v>
      </c>
      <c r="AC241" s="63">
        <f t="shared" si="232"/>
        <v>8.3266860376937396E-2</v>
      </c>
      <c r="AD241" s="34">
        <f>(W241*0.5)/(5*38.32*G241)*100*100*G241/1000</f>
        <v>8.3507306889352827E-3</v>
      </c>
      <c r="AK241" s="33">
        <f>R241*U241</f>
        <v>2030.789109792815</v>
      </c>
      <c r="AL241" s="30">
        <f>I241/2.76</f>
        <v>27.010869565217391</v>
      </c>
      <c r="AM241" s="32">
        <f t="shared" si="197"/>
        <v>1.3126090891323614</v>
      </c>
    </row>
    <row r="242" spans="1:39" x14ac:dyDescent="0.3">
      <c r="D242" s="32" t="s">
        <v>56</v>
      </c>
      <c r="G242" s="32">
        <v>50</v>
      </c>
      <c r="H242" s="33"/>
      <c r="I242" s="33"/>
      <c r="J242" s="33"/>
      <c r="K242" s="33"/>
      <c r="L242" s="35"/>
      <c r="M242" s="35"/>
      <c r="N242" s="35"/>
      <c r="O242" s="34"/>
      <c r="U242" s="34">
        <f t="shared" si="216"/>
        <v>1.3718694142112708</v>
      </c>
      <c r="V242" s="34">
        <f t="shared" si="216"/>
        <v>1.4478906960347426</v>
      </c>
      <c r="W242" s="35"/>
      <c r="X242" s="35"/>
      <c r="Y242" s="64"/>
      <c r="Z242" s="64"/>
      <c r="AA242" s="64"/>
      <c r="AB242" s="63"/>
      <c r="AC242" s="63"/>
      <c r="AD242" s="34"/>
      <c r="AK242" s="33">
        <f>R242*U242</f>
        <v>0</v>
      </c>
      <c r="AL242" s="30">
        <f>I242/2.76</f>
        <v>0</v>
      </c>
      <c r="AM242" s="32" t="e">
        <f t="shared" si="197"/>
        <v>#DIV/0!</v>
      </c>
    </row>
    <row r="243" spans="1:39" x14ac:dyDescent="0.3">
      <c r="D243" s="32" t="s">
        <v>57</v>
      </c>
      <c r="G243" s="32">
        <v>50</v>
      </c>
      <c r="H243" s="33"/>
      <c r="I243" s="33"/>
      <c r="J243" s="33"/>
      <c r="K243" s="33"/>
      <c r="L243" s="35"/>
      <c r="M243" s="35"/>
      <c r="N243" s="35"/>
      <c r="U243" s="34">
        <f t="shared" si="216"/>
        <v>1.3989143165798161</v>
      </c>
      <c r="V243" s="34">
        <f t="shared" si="216"/>
        <v>1.4457674247628549</v>
      </c>
      <c r="W243" s="35"/>
      <c r="X243" s="35"/>
      <c r="Y243" s="64"/>
      <c r="Z243" s="64"/>
      <c r="AA243" s="64"/>
      <c r="AB243" s="63"/>
      <c r="AC243" s="63"/>
      <c r="AD243" s="35"/>
      <c r="AK243" s="33">
        <f>R243*U243</f>
        <v>0</v>
      </c>
      <c r="AL243" s="30">
        <f>I243/2.76</f>
        <v>0</v>
      </c>
      <c r="AM243" s="32" t="e">
        <f t="shared" si="197"/>
        <v>#DIV/0!</v>
      </c>
    </row>
    <row r="244" spans="1:39" x14ac:dyDescent="0.3">
      <c r="D244" s="32" t="s">
        <v>58</v>
      </c>
      <c r="G244" s="32">
        <v>50</v>
      </c>
      <c r="H244" s="33"/>
      <c r="I244" s="33"/>
      <c r="J244" s="33"/>
      <c r="K244" s="33"/>
      <c r="L244" s="35"/>
      <c r="M244" s="35"/>
      <c r="N244" s="35"/>
      <c r="U244" s="34">
        <f t="shared" si="216"/>
        <v>1.38</v>
      </c>
      <c r="V244" s="34">
        <f t="shared" si="216"/>
        <v>1.4331986779930224</v>
      </c>
      <c r="W244" s="35"/>
      <c r="X244" s="35"/>
      <c r="Y244" s="64"/>
      <c r="Z244" s="64"/>
      <c r="AA244" s="64"/>
      <c r="AB244" s="63"/>
      <c r="AC244" s="63"/>
      <c r="AD244" s="35"/>
      <c r="AK244" s="33">
        <f>R244*U244</f>
        <v>0</v>
      </c>
      <c r="AL244" s="30">
        <f>I244/2.76</f>
        <v>0</v>
      </c>
      <c r="AM244" s="32" t="e">
        <f t="shared" si="197"/>
        <v>#DIV/0!</v>
      </c>
    </row>
    <row r="245" spans="1:39" x14ac:dyDescent="0.3">
      <c r="D245" s="32" t="s">
        <v>59</v>
      </c>
      <c r="G245" s="32">
        <v>50</v>
      </c>
      <c r="H245" s="33"/>
      <c r="I245" s="33"/>
      <c r="J245" s="33"/>
      <c r="K245" s="33"/>
      <c r="L245" s="35"/>
      <c r="M245" s="35"/>
      <c r="N245" s="35"/>
      <c r="U245" s="34">
        <f t="shared" si="216"/>
        <v>1.38</v>
      </c>
      <c r="V245" s="34">
        <f t="shared" si="216"/>
        <v>1.4331986779930224</v>
      </c>
      <c r="W245" s="35"/>
      <c r="X245" s="35"/>
      <c r="Y245" s="64"/>
      <c r="Z245" s="64"/>
      <c r="AA245" s="64"/>
      <c r="AB245" s="63"/>
      <c r="AC245" s="63"/>
      <c r="AD245" s="35"/>
      <c r="AK245" s="33">
        <f>R245*U245</f>
        <v>0</v>
      </c>
      <c r="AL245" s="30">
        <f>I245/2.76</f>
        <v>0</v>
      </c>
      <c r="AM245" s="32" t="e">
        <f t="shared" si="197"/>
        <v>#DIV/0!</v>
      </c>
    </row>
    <row r="246" spans="1:39" x14ac:dyDescent="0.3">
      <c r="D246" s="32" t="s">
        <v>60</v>
      </c>
      <c r="G246" s="32">
        <v>50</v>
      </c>
      <c r="H246" s="33"/>
      <c r="I246" s="33"/>
      <c r="J246" s="33"/>
      <c r="K246" s="33"/>
      <c r="L246" s="35"/>
      <c r="M246" s="35"/>
      <c r="N246" s="35"/>
      <c r="U246" s="34">
        <f t="shared" si="216"/>
        <v>1.38</v>
      </c>
      <c r="V246" s="34">
        <f t="shared" si="216"/>
        <v>1.4331986779930224</v>
      </c>
      <c r="W246" s="35"/>
      <c r="X246" s="35"/>
      <c r="Y246" s="64"/>
      <c r="Z246" s="64"/>
      <c r="AA246" s="64"/>
      <c r="AB246" s="63"/>
      <c r="AC246" s="63"/>
      <c r="AD246" s="35"/>
      <c r="AK246" s="33">
        <f>R246*U246</f>
        <v>0</v>
      </c>
      <c r="AL246" s="30">
        <f>I246/2.76</f>
        <v>0</v>
      </c>
      <c r="AM246" s="32" t="e">
        <f t="shared" si="197"/>
        <v>#DIV/0!</v>
      </c>
    </row>
    <row r="247" spans="1:39" x14ac:dyDescent="0.3">
      <c r="H247" s="33"/>
      <c r="I247" s="33"/>
      <c r="J247" s="33"/>
      <c r="K247" s="33"/>
      <c r="L247" s="35"/>
      <c r="M247" s="35"/>
      <c r="N247" s="35"/>
      <c r="W247" s="35"/>
      <c r="X247" s="35"/>
      <c r="Y247" s="64"/>
      <c r="Z247" s="64"/>
      <c r="AA247" s="64"/>
      <c r="AK247" s="33">
        <f>R247*U247</f>
        <v>0</v>
      </c>
      <c r="AL247" s="30">
        <f>I247/2.76</f>
        <v>0</v>
      </c>
      <c r="AM247" s="32" t="e">
        <f t="shared" si="197"/>
        <v>#DIV/0!</v>
      </c>
    </row>
    <row r="248" spans="1:39" x14ac:dyDescent="0.3">
      <c r="A248" s="32" t="s">
        <v>80</v>
      </c>
      <c r="B248" s="32">
        <v>350</v>
      </c>
      <c r="C248" s="32" t="s">
        <v>10</v>
      </c>
      <c r="D248" s="32" t="s">
        <v>51</v>
      </c>
      <c r="E248" s="32" t="s">
        <v>123</v>
      </c>
      <c r="H248" s="33">
        <v>1389.14</v>
      </c>
      <c r="I248" s="33"/>
      <c r="J248" s="33"/>
      <c r="K248" s="33"/>
      <c r="L248" s="35"/>
      <c r="M248" s="35"/>
      <c r="P248" s="35">
        <v>803.19</v>
      </c>
      <c r="W248" s="35"/>
      <c r="X248" s="35"/>
      <c r="Y248" s="64"/>
      <c r="Z248" s="64"/>
      <c r="AA248" s="64"/>
      <c r="AB248" s="63">
        <f>(P248*0.5)/9/(25*25)*100*100/1000</f>
        <v>0.71394666666666673</v>
      </c>
      <c r="AK248" s="33">
        <f>R248*U248</f>
        <v>0</v>
      </c>
      <c r="AL248" s="30">
        <f>I248/2.76</f>
        <v>0</v>
      </c>
      <c r="AM248" s="32" t="e">
        <f t="shared" ref="AM248:AM267" si="258">AL248/(AL248+AK248)*100</f>
        <v>#DIV/0!</v>
      </c>
    </row>
    <row r="249" spans="1:39" x14ac:dyDescent="0.3">
      <c r="D249" s="32" t="s">
        <v>52</v>
      </c>
      <c r="F249" s="32" t="s">
        <v>212</v>
      </c>
      <c r="G249" s="32">
        <v>10</v>
      </c>
      <c r="H249" s="33">
        <v>6530.26</v>
      </c>
      <c r="I249" s="33">
        <v>3417.14</v>
      </c>
      <c r="J249" s="41">
        <f t="shared" ref="J249" si="259">I249/2.76</f>
        <v>1238.0942028985507</v>
      </c>
      <c r="K249" s="33">
        <f>J249/Q249*100</f>
        <v>23.582746721877157</v>
      </c>
      <c r="L249" s="35">
        <v>4.2300000000000004</v>
      </c>
      <c r="M249" s="35">
        <v>53.38</v>
      </c>
      <c r="N249" s="35">
        <v>42.84</v>
      </c>
      <c r="O249" s="34">
        <f t="shared" ref="O249:O252" si="260">(N249-L249)/M249</f>
        <v>0.72330460846759081</v>
      </c>
      <c r="P249" s="33"/>
      <c r="Q249" s="32">
        <v>5250</v>
      </c>
      <c r="R249" s="33">
        <f>(H249-I249)*O249</f>
        <v>2251.7340427126264</v>
      </c>
      <c r="S249" s="33">
        <f>Q249-J249</f>
        <v>4011.905797101449</v>
      </c>
      <c r="T249" s="34">
        <f t="shared" ref="T249" si="261">R249/S249</f>
        <v>0.56126294000708488</v>
      </c>
      <c r="U249" s="34">
        <f t="shared" ref="U249:V249" si="262">U238</f>
        <v>0.83274999999999988</v>
      </c>
      <c r="V249" s="34">
        <f t="shared" si="262"/>
        <v>0.9649217490163926</v>
      </c>
      <c r="W249" s="35">
        <v>5.59</v>
      </c>
      <c r="X249" s="35">
        <v>28.04</v>
      </c>
      <c r="Y249" s="64">
        <v>7.1844556155306689</v>
      </c>
      <c r="Z249" s="64">
        <v>0.57481456397187447</v>
      </c>
      <c r="AA249" s="65">
        <f>Y249/Z249</f>
        <v>12.498736228753943</v>
      </c>
      <c r="AB249" s="63">
        <f>(Y249*10)*100*100*G249*U249/1000000</f>
        <v>5.9828554138331649</v>
      </c>
      <c r="AC249" s="63">
        <f>(Z249*10)*100*100*G249*T249/1000000</f>
        <v>0.32262211213374481</v>
      </c>
      <c r="AD249" s="34">
        <f>(W249*0.5)/Q249*100*100*G249/1000</f>
        <v>5.3238095238095237E-2</v>
      </c>
      <c r="AE249" s="63">
        <f>SUM(AB249:AB253)</f>
        <v>14.501211791336388</v>
      </c>
      <c r="AF249" s="63">
        <f>SUM(AC249:AC253)</f>
        <v>0.99550198155320579</v>
      </c>
      <c r="AG249" s="63">
        <f>AE249/AF249</f>
        <v>14.566733226096902</v>
      </c>
      <c r="AH249" s="35">
        <f>SUM(AD249:AD253)</f>
        <v>9.2643105676508603E-2</v>
      </c>
      <c r="AI249" s="35"/>
      <c r="AK249" s="33">
        <f>R249*U249</f>
        <v>1875.1315240689394</v>
      </c>
      <c r="AL249" s="30">
        <f>I249/2.76</f>
        <v>1238.0942028985507</v>
      </c>
      <c r="AM249" s="32">
        <f t="shared" si="258"/>
        <v>39.768854284284266</v>
      </c>
    </row>
    <row r="250" spans="1:39" x14ac:dyDescent="0.3">
      <c r="D250" s="32" t="s">
        <v>53</v>
      </c>
      <c r="G250" s="32">
        <v>10</v>
      </c>
      <c r="H250" s="33">
        <v>3444.14</v>
      </c>
      <c r="I250" s="33">
        <v>1253.7429999999999</v>
      </c>
      <c r="J250" s="41">
        <f>I250/2.76</f>
        <v>454.25471014492757</v>
      </c>
      <c r="K250" s="33">
        <f>AM250</f>
        <v>21.302480781525979</v>
      </c>
      <c r="L250" s="35">
        <v>4.16</v>
      </c>
      <c r="M250" s="35">
        <v>53.49</v>
      </c>
      <c r="N250" s="35">
        <v>46.43</v>
      </c>
      <c r="O250" s="34">
        <f t="shared" si="260"/>
        <v>0.7902411665731911</v>
      </c>
      <c r="R250" s="33">
        <f t="shared" ref="R250:R252" si="263">(H250-I250)*O250</f>
        <v>1730.941880538418</v>
      </c>
      <c r="S250" s="66">
        <f>(H250-I250)*O250/V250</f>
        <v>1373.0056571407363</v>
      </c>
      <c r="U250" s="34">
        <f t="shared" si="216"/>
        <v>0.96949999999999992</v>
      </c>
      <c r="V250" s="34">
        <f t="shared" si="216"/>
        <v>1.2606953740766651</v>
      </c>
      <c r="W250" s="35">
        <v>1.38</v>
      </c>
      <c r="X250" s="35">
        <v>8.66</v>
      </c>
      <c r="Y250" s="64">
        <v>3.6104098444062842</v>
      </c>
      <c r="Z250" s="64">
        <v>0.30125294288825222</v>
      </c>
      <c r="AA250" s="65">
        <f>Y250/Z250</f>
        <v>11.98464589189272</v>
      </c>
      <c r="AB250" s="63">
        <f>(Y250*10)*100*100*G250*U250/1000000</f>
        <v>3.5002923441518923</v>
      </c>
      <c r="AC250" s="63">
        <f>(Z250*10)*100*100*G250*U250/1000000</f>
        <v>0.29206472813016049</v>
      </c>
      <c r="AD250" s="34">
        <f>(W250*0.5)/(5*38.32*G250)*100*100*G250/1000</f>
        <v>3.60125260960334E-2</v>
      </c>
      <c r="AK250" s="33">
        <f>R250*U250</f>
        <v>1678.1481531819961</v>
      </c>
      <c r="AL250" s="30">
        <f>I250/2.76</f>
        <v>454.25471014492757</v>
      </c>
      <c r="AM250" s="32">
        <f t="shared" si="258"/>
        <v>21.302480781525979</v>
      </c>
    </row>
    <row r="251" spans="1:39" x14ac:dyDescent="0.3">
      <c r="D251" s="32" t="s">
        <v>54</v>
      </c>
      <c r="G251" s="32">
        <v>10</v>
      </c>
      <c r="H251" s="33">
        <v>2792.01</v>
      </c>
      <c r="I251" s="33">
        <v>594.46</v>
      </c>
      <c r="J251" s="41">
        <f t="shared" ref="J251:J252" si="264">I251/2.76</f>
        <v>215.38405797101453</v>
      </c>
      <c r="K251" s="33">
        <f t="shared" ref="K251:K252" si="265">AM251</f>
        <v>8.9601215195481689</v>
      </c>
      <c r="L251" s="35">
        <v>4.22</v>
      </c>
      <c r="M251" s="35">
        <v>51</v>
      </c>
      <c r="N251" s="35">
        <v>46.98</v>
      </c>
      <c r="O251" s="34">
        <f t="shared" si="260"/>
        <v>0.83843137254901956</v>
      </c>
      <c r="R251" s="33">
        <f t="shared" si="263"/>
        <v>1842.4948627450981</v>
      </c>
      <c r="S251" s="66">
        <f t="shared" ref="S251:S252" si="266">(H251-I251)*O251/V251</f>
        <v>1315.9317098650513</v>
      </c>
      <c r="U251" s="34">
        <f t="shared" si="216"/>
        <v>1.1877499999999999</v>
      </c>
      <c r="V251" s="34">
        <f t="shared" si="216"/>
        <v>1.4001447407434584</v>
      </c>
      <c r="W251" s="35">
        <v>0</v>
      </c>
      <c r="X251" s="35">
        <v>0.69</v>
      </c>
      <c r="Y251" s="64">
        <v>1.9187962278093746</v>
      </c>
      <c r="Z251" s="64">
        <v>0.16377779059556966</v>
      </c>
      <c r="AA251" s="65">
        <f>Y251/Z251</f>
        <v>11.715851220313628</v>
      </c>
      <c r="AB251" s="63">
        <f t="shared" si="231"/>
        <v>2.2790502195805846</v>
      </c>
      <c r="AC251" s="63">
        <f t="shared" si="232"/>
        <v>0.19452707077988782</v>
      </c>
      <c r="AD251" s="34">
        <f t="shared" ref="AD251" si="267">(W251*0.5)/(5*38.32*G251)*100*100*G251/1000</f>
        <v>0</v>
      </c>
      <c r="AK251" s="33">
        <f>R251*U251</f>
        <v>2188.42327322549</v>
      </c>
      <c r="AL251" s="30">
        <f>I251/2.76</f>
        <v>215.38405797101453</v>
      </c>
      <c r="AM251" s="32">
        <f t="shared" si="258"/>
        <v>8.9601215195481689</v>
      </c>
    </row>
    <row r="252" spans="1:39" x14ac:dyDescent="0.3">
      <c r="D252" s="32" t="s">
        <v>55</v>
      </c>
      <c r="G252" s="32">
        <v>20</v>
      </c>
      <c r="H252" s="33">
        <v>1160.67</v>
      </c>
      <c r="I252" s="33">
        <v>131.85</v>
      </c>
      <c r="J252" s="41">
        <f t="shared" si="264"/>
        <v>47.771739130434781</v>
      </c>
      <c r="K252" s="33">
        <f t="shared" si="265"/>
        <v>3.9959505631379724</v>
      </c>
      <c r="L252" s="35">
        <v>4.2300000000000004</v>
      </c>
      <c r="M252" s="35">
        <v>50.17</v>
      </c>
      <c r="N252" s="35">
        <v>47.76</v>
      </c>
      <c r="O252" s="34">
        <f t="shared" si="260"/>
        <v>0.86764999003388477</v>
      </c>
      <c r="R252" s="33">
        <f t="shared" si="263"/>
        <v>892.65566274666151</v>
      </c>
      <c r="S252" s="66">
        <f t="shared" si="266"/>
        <v>621.52667194542994</v>
      </c>
      <c r="U252" s="34">
        <f t="shared" si="216"/>
        <v>1.2857499999999999</v>
      </c>
      <c r="V252" s="34">
        <f t="shared" si="216"/>
        <v>1.4362306607897861</v>
      </c>
      <c r="W252" s="35">
        <v>0.13</v>
      </c>
      <c r="X252" s="35">
        <v>3.26</v>
      </c>
      <c r="Y252" s="64">
        <v>1.0651424513983074</v>
      </c>
      <c r="Z252" s="64">
        <v>7.2443348438426106E-2</v>
      </c>
      <c r="AA252" s="65">
        <f>Y252/Z252</f>
        <v>14.703109041179054</v>
      </c>
      <c r="AB252" s="63">
        <f t="shared" si="231"/>
        <v>2.7390138137707476</v>
      </c>
      <c r="AC252" s="63">
        <f t="shared" si="232"/>
        <v>0.18628807050941271</v>
      </c>
      <c r="AD252" s="34">
        <f>(W252*0.5)/(5*38.32*G252)*100*100*G252/1000</f>
        <v>3.3924843423799576E-3</v>
      </c>
      <c r="AK252" s="33">
        <f>R252*U252</f>
        <v>1147.73201837652</v>
      </c>
      <c r="AL252" s="30">
        <f>I252/2.76</f>
        <v>47.771739130434781</v>
      </c>
      <c r="AM252" s="32">
        <f t="shared" si="258"/>
        <v>3.9959505631379724</v>
      </c>
    </row>
    <row r="253" spans="1:39" x14ac:dyDescent="0.3">
      <c r="D253" s="32" t="s">
        <v>56</v>
      </c>
      <c r="G253" s="32">
        <v>50</v>
      </c>
      <c r="H253" s="33"/>
      <c r="I253" s="33"/>
      <c r="J253" s="41"/>
      <c r="K253" s="33"/>
      <c r="L253" s="35"/>
      <c r="M253" s="35"/>
      <c r="N253" s="35"/>
      <c r="U253" s="34">
        <f t="shared" si="216"/>
        <v>1.3718694142112708</v>
      </c>
      <c r="V253" s="34">
        <f t="shared" si="216"/>
        <v>1.4478906960347426</v>
      </c>
      <c r="W253" s="35"/>
      <c r="X253" s="35"/>
      <c r="Y253" s="64"/>
      <c r="Z253" s="64"/>
      <c r="AA253" s="64"/>
      <c r="AB253" s="63"/>
      <c r="AC253" s="63"/>
      <c r="AD253" s="34"/>
      <c r="AK253" s="33">
        <f>R253*U253</f>
        <v>0</v>
      </c>
      <c r="AL253" s="30">
        <f>I253/2.76</f>
        <v>0</v>
      </c>
      <c r="AM253" s="32" t="e">
        <f t="shared" si="258"/>
        <v>#DIV/0!</v>
      </c>
    </row>
    <row r="254" spans="1:39" x14ac:dyDescent="0.3">
      <c r="D254" s="32" t="s">
        <v>57</v>
      </c>
      <c r="G254" s="32">
        <v>50</v>
      </c>
      <c r="H254" s="33"/>
      <c r="I254" s="33"/>
      <c r="J254" s="41"/>
      <c r="K254" s="33"/>
      <c r="L254" s="35"/>
      <c r="M254" s="35"/>
      <c r="N254" s="35"/>
      <c r="U254" s="34">
        <f t="shared" si="216"/>
        <v>1.3989143165798161</v>
      </c>
      <c r="V254" s="34">
        <f t="shared" si="216"/>
        <v>1.4457674247628549</v>
      </c>
      <c r="W254" s="35"/>
      <c r="X254" s="35"/>
      <c r="Y254" s="64"/>
      <c r="Z254" s="64"/>
      <c r="AA254" s="64"/>
      <c r="AB254" s="63"/>
      <c r="AC254" s="63"/>
      <c r="AD254" s="35"/>
      <c r="AK254" s="33">
        <f>R254*U254</f>
        <v>0</v>
      </c>
      <c r="AL254" s="30">
        <f>I254/2.76</f>
        <v>0</v>
      </c>
      <c r="AM254" s="32" t="e">
        <f t="shared" si="258"/>
        <v>#DIV/0!</v>
      </c>
    </row>
    <row r="255" spans="1:39" x14ac:dyDescent="0.3">
      <c r="D255" s="32" t="s">
        <v>58</v>
      </c>
      <c r="G255" s="32">
        <v>50</v>
      </c>
      <c r="H255" s="33"/>
      <c r="I255" s="33"/>
      <c r="J255" s="41"/>
      <c r="K255" s="33"/>
      <c r="L255" s="35"/>
      <c r="M255" s="35"/>
      <c r="N255" s="35"/>
      <c r="U255" s="34">
        <f t="shared" si="216"/>
        <v>1.38</v>
      </c>
      <c r="V255" s="34">
        <f t="shared" si="216"/>
        <v>1.4331986779930224</v>
      </c>
      <c r="W255" s="35"/>
      <c r="X255" s="35"/>
      <c r="Y255" s="64"/>
      <c r="Z255" s="64"/>
      <c r="AA255" s="64"/>
      <c r="AB255" s="63"/>
      <c r="AC255" s="63"/>
      <c r="AD255" s="35"/>
      <c r="AK255" s="33">
        <f>R255*U255</f>
        <v>0</v>
      </c>
      <c r="AL255" s="30">
        <f>I255/2.76</f>
        <v>0</v>
      </c>
      <c r="AM255" s="32" t="e">
        <f t="shared" si="258"/>
        <v>#DIV/0!</v>
      </c>
    </row>
    <row r="256" spans="1:39" x14ac:dyDescent="0.3">
      <c r="D256" s="32" t="s">
        <v>59</v>
      </c>
      <c r="G256" s="32">
        <v>50</v>
      </c>
      <c r="H256" s="33"/>
      <c r="I256" s="33"/>
      <c r="J256" s="41"/>
      <c r="K256" s="33"/>
      <c r="L256" s="35"/>
      <c r="M256" s="35"/>
      <c r="N256" s="35"/>
      <c r="U256" s="34">
        <f t="shared" si="216"/>
        <v>1.38</v>
      </c>
      <c r="V256" s="34">
        <f t="shared" si="216"/>
        <v>1.4331986779930224</v>
      </c>
      <c r="W256" s="35"/>
      <c r="X256" s="35"/>
      <c r="Y256" s="64"/>
      <c r="Z256" s="64"/>
      <c r="AA256" s="64"/>
      <c r="AB256" s="63"/>
      <c r="AC256" s="63"/>
      <c r="AD256" s="35"/>
      <c r="AK256" s="33">
        <f>R256*U256</f>
        <v>0</v>
      </c>
      <c r="AL256" s="30">
        <f>I256/2.76</f>
        <v>0</v>
      </c>
      <c r="AM256" s="32" t="e">
        <f t="shared" si="258"/>
        <v>#DIV/0!</v>
      </c>
    </row>
    <row r="257" spans="1:39" x14ac:dyDescent="0.3">
      <c r="D257" s="32" t="s">
        <v>60</v>
      </c>
      <c r="G257" s="32">
        <v>50</v>
      </c>
      <c r="H257" s="33"/>
      <c r="I257" s="33"/>
      <c r="J257" s="41"/>
      <c r="K257" s="33"/>
      <c r="L257" s="35"/>
      <c r="M257" s="35"/>
      <c r="N257" s="35"/>
      <c r="U257" s="34">
        <f t="shared" si="216"/>
        <v>1.38</v>
      </c>
      <c r="V257" s="34">
        <f t="shared" si="216"/>
        <v>1.4331986779930224</v>
      </c>
      <c r="W257" s="35"/>
      <c r="X257" s="35"/>
      <c r="Y257" s="64"/>
      <c r="Z257" s="64"/>
      <c r="AA257" s="64"/>
      <c r="AB257" s="63"/>
      <c r="AC257" s="63"/>
      <c r="AD257" s="35"/>
      <c r="AK257" s="33">
        <f>R257*U257</f>
        <v>0</v>
      </c>
      <c r="AL257" s="30">
        <f>I257/2.76</f>
        <v>0</v>
      </c>
      <c r="AM257" s="32" t="e">
        <f t="shared" si="258"/>
        <v>#DIV/0!</v>
      </c>
    </row>
    <row r="258" spans="1:39" x14ac:dyDescent="0.3">
      <c r="H258" s="33"/>
      <c r="I258" s="33"/>
      <c r="J258" s="41"/>
      <c r="K258" s="33"/>
      <c r="L258" s="35"/>
      <c r="M258" s="35"/>
      <c r="N258" s="35"/>
      <c r="W258" s="35"/>
      <c r="X258" s="35"/>
      <c r="Y258" s="64"/>
      <c r="Z258" s="64"/>
      <c r="AA258" s="64"/>
      <c r="AK258" s="33">
        <f>R258*U258</f>
        <v>0</v>
      </c>
      <c r="AL258" s="30">
        <f>I258/2.76</f>
        <v>0</v>
      </c>
      <c r="AM258" s="32" t="e">
        <f t="shared" si="258"/>
        <v>#DIV/0!</v>
      </c>
    </row>
    <row r="259" spans="1:39" x14ac:dyDescent="0.3">
      <c r="A259" s="32" t="s">
        <v>81</v>
      </c>
      <c r="B259" s="32">
        <v>350</v>
      </c>
      <c r="C259" s="32" t="s">
        <v>2</v>
      </c>
      <c r="D259" s="32" t="s">
        <v>51</v>
      </c>
      <c r="E259" s="32" t="s">
        <v>124</v>
      </c>
      <c r="H259" s="33">
        <v>1287.0899999999999</v>
      </c>
      <c r="I259" s="33"/>
      <c r="J259" s="41"/>
      <c r="K259" s="33"/>
      <c r="L259" s="35"/>
      <c r="M259" s="35"/>
      <c r="P259" s="35">
        <v>871.13</v>
      </c>
      <c r="W259" s="35"/>
      <c r="X259" s="35"/>
      <c r="Y259" s="64"/>
      <c r="Z259" s="64"/>
      <c r="AA259" s="64"/>
      <c r="AB259" s="63">
        <f>(P259*0.5)/9/(25*25)*100*100/1000</f>
        <v>0.77433777777777779</v>
      </c>
      <c r="AK259" s="33">
        <f>R259*U259</f>
        <v>0</v>
      </c>
      <c r="AL259" s="30">
        <f>I259/2.76</f>
        <v>0</v>
      </c>
      <c r="AM259" s="32" t="e">
        <f t="shared" si="258"/>
        <v>#DIV/0!</v>
      </c>
    </row>
    <row r="260" spans="1:39" x14ac:dyDescent="0.3">
      <c r="D260" s="32" t="s">
        <v>52</v>
      </c>
      <c r="F260" s="32" t="s">
        <v>212</v>
      </c>
      <c r="G260" s="32">
        <v>10</v>
      </c>
      <c r="H260" s="33">
        <v>5881.22</v>
      </c>
      <c r="I260" s="33">
        <v>1947.19</v>
      </c>
      <c r="J260" s="41">
        <f t="shared" ref="J260" si="268">I260/2.76</f>
        <v>705.50362318840587</v>
      </c>
      <c r="K260" s="33">
        <f>J260/Q260*100</f>
        <v>15.96162043412683</v>
      </c>
      <c r="L260" s="35">
        <v>4.25</v>
      </c>
      <c r="M260" s="35">
        <v>51.7</v>
      </c>
      <c r="N260" s="35">
        <v>47.7</v>
      </c>
      <c r="O260" s="34">
        <f t="shared" ref="O260:O264" si="269">(N260-L260)/M260</f>
        <v>0.84042553191489366</v>
      </c>
      <c r="P260" s="33"/>
      <c r="Q260" s="32">
        <v>4420</v>
      </c>
      <c r="R260" s="33">
        <f>(H260-I260)*O260</f>
        <v>3306.2592553191494</v>
      </c>
      <c r="S260" s="33">
        <f>Q260-J260</f>
        <v>3714.496376811594</v>
      </c>
      <c r="T260" s="34">
        <f t="shared" ref="T260" si="270">R260/S260</f>
        <v>0.8900962391453825</v>
      </c>
      <c r="U260" s="34">
        <f t="shared" ref="U260:V260" si="271">U249</f>
        <v>0.83274999999999988</v>
      </c>
      <c r="V260" s="34">
        <f t="shared" si="271"/>
        <v>0.9649217490163926</v>
      </c>
      <c r="W260" s="35">
        <v>13.3</v>
      </c>
      <c r="X260" s="35">
        <v>18.13</v>
      </c>
      <c r="Y260" s="64">
        <v>4.677732081903109</v>
      </c>
      <c r="Z260" s="64">
        <v>0.35914000670465229</v>
      </c>
      <c r="AA260" s="65">
        <f>Y260/Z260</f>
        <v>13.024814820338181</v>
      </c>
      <c r="AB260" s="63">
        <f t="shared" ref="AB260" si="272">(Y260*10)*100*100*G260*T260/1000000</f>
        <v>4.1636317338316582</v>
      </c>
      <c r="AC260" s="63">
        <f t="shared" ref="AC260" si="273">(Z260*10)*100*100*G260*T260/1000000</f>
        <v>0.31966916929445854</v>
      </c>
      <c r="AD260" s="34">
        <f>(W260*0.5)/Q260*100*100*G260/1000</f>
        <v>0.15045248868778283</v>
      </c>
      <c r="AE260" s="63">
        <f>SUM(AB260:AB264)</f>
        <v>10.369655069845249</v>
      </c>
      <c r="AF260" s="63">
        <f>SUM(AC260:AC264)</f>
        <v>0.80001831491482323</v>
      </c>
      <c r="AG260" s="63">
        <f>AE260/AF260</f>
        <v>12.961772095116711</v>
      </c>
      <c r="AH260" s="35">
        <f>SUM(AD260:AD264)</f>
        <v>0.23683035925145715</v>
      </c>
      <c r="AI260" s="35"/>
      <c r="AK260" s="33">
        <f>R260*U260</f>
        <v>2753.2873948670212</v>
      </c>
      <c r="AL260" s="30">
        <f>I260/2.76</f>
        <v>705.50362318840587</v>
      </c>
      <c r="AM260" s="32">
        <f t="shared" si="258"/>
        <v>20.39740532184706</v>
      </c>
    </row>
    <row r="261" spans="1:39" x14ac:dyDescent="0.3">
      <c r="D261" s="32" t="s">
        <v>53</v>
      </c>
      <c r="G261" s="32">
        <v>10</v>
      </c>
      <c r="H261" s="33">
        <v>2876.81</v>
      </c>
      <c r="I261" s="33">
        <v>1113.78</v>
      </c>
      <c r="J261" s="41">
        <f>I261/2.76</f>
        <v>403.54347826086956</v>
      </c>
      <c r="K261" s="33">
        <f>AM261</f>
        <v>20.797354058908997</v>
      </c>
      <c r="L261" s="35">
        <v>4.1500000000000004</v>
      </c>
      <c r="M261" s="35">
        <v>50.75</v>
      </c>
      <c r="N261" s="35">
        <v>49.78</v>
      </c>
      <c r="O261" s="34">
        <f t="shared" si="269"/>
        <v>0.89911330049261085</v>
      </c>
      <c r="R261" s="33">
        <f t="shared" ref="R261:R264" si="274">(H261-I261)*O261</f>
        <v>1585.1637221674878</v>
      </c>
      <c r="S261" s="66">
        <f>(H261-I261)*O261/V261</f>
        <v>1257.3725221514862</v>
      </c>
      <c r="U261" s="34">
        <f t="shared" si="216"/>
        <v>0.96949999999999992</v>
      </c>
      <c r="V261" s="34">
        <f t="shared" si="216"/>
        <v>1.2606953740766651</v>
      </c>
      <c r="W261" s="35">
        <v>1.57</v>
      </c>
      <c r="X261" s="35">
        <v>11.63</v>
      </c>
      <c r="Y261" s="64">
        <v>1.465460381043779</v>
      </c>
      <c r="Z261" s="64">
        <v>0.11486549082114114</v>
      </c>
      <c r="AA261" s="65">
        <f>Y261/Z261</f>
        <v>12.758056145214844</v>
      </c>
      <c r="AB261" s="63">
        <f>(Y261*10)*100*100*G261*U261/1000000</f>
        <v>1.4207638394219435</v>
      </c>
      <c r="AC261" s="63">
        <f t="shared" ref="AC261" si="275">(Z261*10)*100*100*G261*U261/1000000</f>
        <v>0.11136209335109634</v>
      </c>
      <c r="AD261" s="34">
        <f>(W261*0.5)/(5*38.32*G261)*100*100*G261/1000</f>
        <v>4.0970772442588725E-2</v>
      </c>
      <c r="AK261" s="33">
        <f>R261*U261</f>
        <v>1536.8162286413792</v>
      </c>
      <c r="AL261" s="30">
        <f>I261/2.76</f>
        <v>403.54347826086956</v>
      </c>
      <c r="AM261" s="32">
        <f t="shared" si="258"/>
        <v>20.797354058908997</v>
      </c>
    </row>
    <row r="262" spans="1:39" x14ac:dyDescent="0.3">
      <c r="D262" s="32" t="s">
        <v>54</v>
      </c>
      <c r="G262" s="32">
        <v>10</v>
      </c>
      <c r="H262" s="33">
        <v>3754.69</v>
      </c>
      <c r="I262" s="33">
        <v>287.75</v>
      </c>
      <c r="J262" s="41">
        <f t="shared" ref="J262:J264" si="276">I262/2.76</f>
        <v>104.25724637681161</v>
      </c>
      <c r="K262" s="33">
        <f>AM262</f>
        <v>2.7608947260998682</v>
      </c>
      <c r="L262" s="35">
        <v>4.18</v>
      </c>
      <c r="M262" s="35">
        <v>51.9</v>
      </c>
      <c r="N262" s="35">
        <v>50.46</v>
      </c>
      <c r="O262" s="34">
        <f t="shared" si="269"/>
        <v>0.89171483622350678</v>
      </c>
      <c r="R262" s="33">
        <f t="shared" si="274"/>
        <v>3091.5218342967246</v>
      </c>
      <c r="S262" s="66">
        <f t="shared" ref="S262:S264" si="277">(H262-I262)*O262/V262</f>
        <v>2208.0016046449364</v>
      </c>
      <c r="U262" s="34">
        <f t="shared" si="216"/>
        <v>1.1877499999999999</v>
      </c>
      <c r="V262" s="34">
        <f t="shared" si="216"/>
        <v>1.4001447407434584</v>
      </c>
      <c r="W262" s="35">
        <v>0</v>
      </c>
      <c r="X262" s="35">
        <v>0</v>
      </c>
      <c r="Y262" s="64">
        <v>0.81514763783917243</v>
      </c>
      <c r="Z262" s="64">
        <v>6.536022273111193E-2</v>
      </c>
      <c r="AA262" s="65">
        <f>Y262/Z262</f>
        <v>12.471616585406101</v>
      </c>
      <c r="AB262" s="63">
        <f t="shared" si="231"/>
        <v>0.96819160684347694</v>
      </c>
      <c r="AC262" s="63">
        <f t="shared" si="232"/>
        <v>7.76316045488782E-2</v>
      </c>
      <c r="AD262" s="34">
        <f t="shared" ref="AD262" si="278">(W262*0.5)/(5*38.32*G262)*100*100*G262/1000</f>
        <v>0</v>
      </c>
      <c r="AK262" s="33">
        <f>R262*U262</f>
        <v>3671.9550586859341</v>
      </c>
      <c r="AL262" s="30">
        <f>I262/2.76</f>
        <v>104.25724637681161</v>
      </c>
      <c r="AM262" s="32">
        <f t="shared" si="258"/>
        <v>2.7608947260998682</v>
      </c>
    </row>
    <row r="263" spans="1:39" x14ac:dyDescent="0.3">
      <c r="D263" s="32" t="s">
        <v>55</v>
      </c>
      <c r="G263" s="32">
        <v>20</v>
      </c>
      <c r="H263" s="33">
        <v>4497.17</v>
      </c>
      <c r="I263" s="33">
        <v>1323.04</v>
      </c>
      <c r="J263" s="41">
        <f t="shared" si="276"/>
        <v>479.36231884057975</v>
      </c>
      <c r="K263" s="33">
        <f t="shared" ref="K263:K264" si="279">AM263</f>
        <v>11.934795839258747</v>
      </c>
      <c r="L263" s="35">
        <v>4.17</v>
      </c>
      <c r="M263" s="35">
        <v>50.34</v>
      </c>
      <c r="N263" s="35">
        <v>47.8</v>
      </c>
      <c r="O263" s="34">
        <f t="shared" si="269"/>
        <v>0.86670639650377423</v>
      </c>
      <c r="R263" s="33">
        <f t="shared" si="274"/>
        <v>2751.038774334525</v>
      </c>
      <c r="S263" s="66">
        <f t="shared" si="277"/>
        <v>1915.4574884383287</v>
      </c>
      <c r="U263" s="34">
        <f t="shared" si="216"/>
        <v>1.2857499999999999</v>
      </c>
      <c r="V263" s="34">
        <f t="shared" si="216"/>
        <v>1.4362306607897861</v>
      </c>
      <c r="W263" s="35">
        <v>1.07</v>
      </c>
      <c r="X263" s="35">
        <v>13.86</v>
      </c>
      <c r="Y263" s="64">
        <v>0.528694059257106</v>
      </c>
      <c r="Z263" s="64">
        <v>3.9700491732479949E-2</v>
      </c>
      <c r="AA263" s="65">
        <f>Y263/Z263</f>
        <v>13.317065763811897</v>
      </c>
      <c r="AB263" s="63">
        <f t="shared" si="231"/>
        <v>1.359536773379648</v>
      </c>
      <c r="AC263" s="63">
        <f t="shared" si="232"/>
        <v>0.10208981449007218</v>
      </c>
      <c r="AD263" s="34">
        <f>(W263*0.5)/(5*38.32*G263)*100*100*G263/1000</f>
        <v>2.7922755741127354E-2</v>
      </c>
      <c r="AK263" s="33">
        <f>R263*U263</f>
        <v>3537.1481041006155</v>
      </c>
      <c r="AL263" s="30">
        <f>I263/2.76</f>
        <v>479.36231884057975</v>
      </c>
      <c r="AM263" s="32">
        <f t="shared" si="258"/>
        <v>11.934795839258747</v>
      </c>
    </row>
    <row r="264" spans="1:39" x14ac:dyDescent="0.3">
      <c r="D264" s="32" t="s">
        <v>56</v>
      </c>
      <c r="G264" s="32">
        <v>50</v>
      </c>
      <c r="H264" s="33">
        <v>5922.21</v>
      </c>
      <c r="I264" s="33">
        <v>344.98</v>
      </c>
      <c r="J264" s="41">
        <f t="shared" si="276"/>
        <v>124.99275362318842</v>
      </c>
      <c r="K264" s="33">
        <f t="shared" si="279"/>
        <v>1.9017959176532853</v>
      </c>
      <c r="L264" s="35">
        <v>4.13</v>
      </c>
      <c r="M264" s="35">
        <v>50.59</v>
      </c>
      <c r="N264" s="35">
        <v>46.76</v>
      </c>
      <c r="O264" s="34">
        <f t="shared" si="269"/>
        <v>0.84265665151215641</v>
      </c>
      <c r="R264" s="33">
        <f t="shared" si="274"/>
        <v>4699.6899565131434</v>
      </c>
      <c r="S264" s="66">
        <f t="shared" si="277"/>
        <v>3245.8872547381661</v>
      </c>
      <c r="U264" s="34">
        <f t="shared" si="216"/>
        <v>1.3718694142112708</v>
      </c>
      <c r="V264" s="34">
        <f t="shared" si="216"/>
        <v>1.4478906960347426</v>
      </c>
      <c r="W264" s="35">
        <v>0.67</v>
      </c>
      <c r="X264" s="35">
        <v>0.36</v>
      </c>
      <c r="Y264" s="64">
        <v>0.35827478780572303</v>
      </c>
      <c r="Z264" s="64">
        <v>2.7592368671493783E-2</v>
      </c>
      <c r="AA264" s="65">
        <f>Y264/Z264</f>
        <v>12.984560770089439</v>
      </c>
      <c r="AB264" s="63">
        <f>(Y264*10)*100*100*G264*U264/1000000</f>
        <v>2.4575311163685236</v>
      </c>
      <c r="AC264" s="63">
        <f t="shared" si="232"/>
        <v>0.18926563323031798</v>
      </c>
      <c r="AD264" s="34">
        <f>(W264*0.5)/(5*38.32*G264)*100*100*G264/1000</f>
        <v>1.7484342379958249E-2</v>
      </c>
      <c r="AK264" s="33">
        <f>R264*U264</f>
        <v>6447.3609076162793</v>
      </c>
      <c r="AL264" s="30">
        <f>I264/2.76</f>
        <v>124.99275362318842</v>
      </c>
      <c r="AM264" s="32">
        <f t="shared" si="258"/>
        <v>1.9017959176532853</v>
      </c>
    </row>
    <row r="265" spans="1:39" x14ac:dyDescent="0.3">
      <c r="D265" s="32" t="s">
        <v>57</v>
      </c>
      <c r="G265" s="32">
        <v>50</v>
      </c>
      <c r="H265" s="33"/>
      <c r="I265" s="33"/>
      <c r="J265" s="33"/>
      <c r="K265" s="33"/>
      <c r="U265" s="34">
        <f t="shared" si="216"/>
        <v>1.3989143165798161</v>
      </c>
      <c r="V265" s="34">
        <f t="shared" si="216"/>
        <v>1.4457674247628549</v>
      </c>
      <c r="Y265" s="64"/>
      <c r="Z265" s="64"/>
      <c r="AA265" s="64"/>
      <c r="AB265" s="63"/>
      <c r="AC265" s="63"/>
      <c r="AD265" s="35"/>
      <c r="AK265" s="33">
        <f>R265*U265</f>
        <v>0</v>
      </c>
      <c r="AL265" s="30">
        <f>I265/2.76</f>
        <v>0</v>
      </c>
      <c r="AM265" s="32" t="e">
        <f t="shared" si="258"/>
        <v>#DIV/0!</v>
      </c>
    </row>
    <row r="266" spans="1:39" x14ac:dyDescent="0.3">
      <c r="D266" s="32" t="s">
        <v>58</v>
      </c>
      <c r="G266" s="32">
        <v>50</v>
      </c>
      <c r="H266" s="33"/>
      <c r="I266" s="33"/>
      <c r="J266" s="33"/>
      <c r="K266" s="33"/>
      <c r="U266" s="34">
        <f t="shared" si="216"/>
        <v>1.38</v>
      </c>
      <c r="V266" s="34">
        <f t="shared" si="216"/>
        <v>1.4331986779930224</v>
      </c>
      <c r="Y266" s="64"/>
      <c r="Z266" s="64"/>
      <c r="AA266" s="64"/>
      <c r="AB266" s="63"/>
      <c r="AC266" s="63"/>
      <c r="AD266" s="35"/>
      <c r="AK266" s="33">
        <f>R266*U266</f>
        <v>0</v>
      </c>
      <c r="AL266" s="30">
        <f>I266/2.76</f>
        <v>0</v>
      </c>
      <c r="AM266" s="32" t="e">
        <f t="shared" si="258"/>
        <v>#DIV/0!</v>
      </c>
    </row>
    <row r="267" spans="1:39" x14ac:dyDescent="0.3">
      <c r="D267" s="32" t="s">
        <v>59</v>
      </c>
      <c r="G267" s="32">
        <v>50</v>
      </c>
      <c r="H267" s="33"/>
      <c r="I267" s="33"/>
      <c r="J267" s="33"/>
      <c r="K267" s="33"/>
      <c r="U267" s="34">
        <f t="shared" si="216"/>
        <v>1.38</v>
      </c>
      <c r="V267" s="34">
        <f t="shared" si="216"/>
        <v>1.4331986779930224</v>
      </c>
      <c r="AB267" s="63"/>
      <c r="AC267" s="63"/>
      <c r="AD267" s="35"/>
      <c r="AK267" s="33">
        <f>R267*U267</f>
        <v>0</v>
      </c>
      <c r="AL267" s="30">
        <f>I267/2.76</f>
        <v>0</v>
      </c>
      <c r="AM267" s="32" t="e">
        <f t="shared" si="258"/>
        <v>#DIV/0!</v>
      </c>
    </row>
    <row r="268" spans="1:39" x14ac:dyDescent="0.25">
      <c r="D268" s="32" t="s">
        <v>60</v>
      </c>
      <c r="G268" s="32">
        <v>50</v>
      </c>
      <c r="H268" s="33"/>
      <c r="I268" s="33"/>
      <c r="J268" s="33"/>
      <c r="K268" s="33"/>
      <c r="U268" s="34">
        <f t="shared" si="216"/>
        <v>1.38</v>
      </c>
      <c r="V268" s="34">
        <f t="shared" si="216"/>
        <v>1.4331986779930224</v>
      </c>
      <c r="AB268" s="63"/>
      <c r="AC268" s="63"/>
      <c r="AD268" s="35"/>
    </row>
    <row r="269" spans="1:39" x14ac:dyDescent="0.25">
      <c r="J269" s="33"/>
      <c r="K269" s="33"/>
      <c r="S269" s="32" t="s">
        <v>250</v>
      </c>
    </row>
    <row r="270" spans="1:39" x14ac:dyDescent="0.25">
      <c r="J270" s="33"/>
      <c r="K270" s="33"/>
      <c r="S270" s="32" t="s">
        <v>251</v>
      </c>
    </row>
  </sheetData>
  <autoFilter ref="AC1:AC27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zoomScale="60" zoomScaleNormal="60" workbookViewId="0">
      <selection activeCell="H30" sqref="H30:K31"/>
    </sheetView>
  </sheetViews>
  <sheetFormatPr defaultRowHeight="18.75" x14ac:dyDescent="0.3"/>
  <cols>
    <col min="1" max="1" width="9.140625" style="37"/>
    <col min="2" max="5" width="15.28515625" style="37" customWidth="1"/>
    <col min="6" max="6" width="16.5703125" style="37" customWidth="1"/>
    <col min="7" max="7" width="9.140625" style="37"/>
    <col min="8" max="11" width="13.85546875" style="37" customWidth="1"/>
    <col min="12" max="16384" width="9.140625" style="37"/>
  </cols>
  <sheetData>
    <row r="1" spans="1:11" x14ac:dyDescent="0.3">
      <c r="A1" s="37" t="s">
        <v>46</v>
      </c>
      <c r="B1" s="36" t="s">
        <v>129</v>
      </c>
      <c r="C1" s="32"/>
      <c r="D1" s="32"/>
      <c r="E1" s="32"/>
      <c r="F1" s="32"/>
    </row>
    <row r="2" spans="1:11" x14ac:dyDescent="0.3">
      <c r="B2" s="32" t="s">
        <v>95</v>
      </c>
      <c r="C2" s="32" t="s">
        <v>96</v>
      </c>
      <c r="D2" s="32" t="s">
        <v>97</v>
      </c>
      <c r="E2" s="32" t="s">
        <v>98</v>
      </c>
      <c r="F2" s="31" t="s">
        <v>130</v>
      </c>
      <c r="H2" s="32" t="s">
        <v>95</v>
      </c>
      <c r="I2" s="32" t="s">
        <v>96</v>
      </c>
      <c r="J2" s="32" t="s">
        <v>97</v>
      </c>
      <c r="K2" s="32" t="s">
        <v>98</v>
      </c>
    </row>
    <row r="3" spans="1:11" x14ac:dyDescent="0.3">
      <c r="B3" s="37" t="s">
        <v>84</v>
      </c>
      <c r="C3" s="37" t="s">
        <v>84</v>
      </c>
      <c r="D3" s="37" t="s">
        <v>84</v>
      </c>
      <c r="E3" s="37" t="s">
        <v>84</v>
      </c>
      <c r="F3" s="32" t="s">
        <v>84</v>
      </c>
      <c r="H3" s="37" t="s">
        <v>91</v>
      </c>
      <c r="I3" s="37" t="s">
        <v>91</v>
      </c>
      <c r="J3" s="37" t="s">
        <v>91</v>
      </c>
      <c r="K3" s="37" t="s">
        <v>91</v>
      </c>
    </row>
    <row r="4" spans="1:11" x14ac:dyDescent="0.3">
      <c r="F4" s="32"/>
    </row>
    <row r="5" spans="1:11" ht="16.5" customHeight="1" x14ac:dyDescent="0.3">
      <c r="A5" s="37">
        <v>1</v>
      </c>
      <c r="B5" s="38">
        <v>222.92</v>
      </c>
      <c r="C5" s="38">
        <v>240.87</v>
      </c>
      <c r="D5" s="38">
        <v>652.41999999999996</v>
      </c>
      <c r="E5" s="38">
        <v>3240.98</v>
      </c>
      <c r="F5" s="38">
        <f>SUM(B5:E5)</f>
        <v>4357.1900000000005</v>
      </c>
      <c r="H5" s="38">
        <f>B5/$F5*100</f>
        <v>5.1161413663393143</v>
      </c>
      <c r="I5" s="38">
        <f t="shared" ref="I5:K20" si="0">C5/$F5*100</f>
        <v>5.5281041221521203</v>
      </c>
      <c r="J5" s="38">
        <f t="shared" si="0"/>
        <v>14.973411763085839</v>
      </c>
      <c r="K5" s="38">
        <f t="shared" si="0"/>
        <v>74.382342748422715</v>
      </c>
    </row>
    <row r="6" spans="1:11" ht="16.5" customHeight="1" x14ac:dyDescent="0.3">
      <c r="A6" s="37">
        <v>2</v>
      </c>
      <c r="B6" s="38">
        <v>65.59</v>
      </c>
      <c r="C6" s="38">
        <v>107.51</v>
      </c>
      <c r="D6" s="38">
        <v>546.80999999999995</v>
      </c>
      <c r="E6" s="38">
        <v>365.52</v>
      </c>
      <c r="F6" s="38">
        <f t="shared" ref="F6:F28" si="1">SUM(B6:E6)</f>
        <v>1085.4299999999998</v>
      </c>
      <c r="H6" s="38">
        <f t="shared" ref="H6:H28" si="2">B6/$F6*100</f>
        <v>6.042766461218136</v>
      </c>
      <c r="I6" s="38">
        <f t="shared" si="0"/>
        <v>9.9048303437347425</v>
      </c>
      <c r="J6" s="38">
        <f t="shared" si="0"/>
        <v>50.377269837760153</v>
      </c>
      <c r="K6" s="38">
        <f t="shared" si="0"/>
        <v>33.675133357286981</v>
      </c>
    </row>
    <row r="7" spans="1:11" ht="16.5" customHeight="1" x14ac:dyDescent="0.3">
      <c r="A7" s="37">
        <v>3</v>
      </c>
      <c r="B7" s="38">
        <v>123.58</v>
      </c>
      <c r="C7" s="38">
        <v>219.71</v>
      </c>
      <c r="D7" s="38">
        <v>1149.0999999999999</v>
      </c>
      <c r="E7" s="38"/>
      <c r="F7" s="38">
        <f t="shared" si="1"/>
        <v>1492.3899999999999</v>
      </c>
      <c r="H7" s="38">
        <f t="shared" si="2"/>
        <v>8.2806773028497904</v>
      </c>
      <c r="I7" s="38">
        <f t="shared" si="0"/>
        <v>14.722023063676387</v>
      </c>
      <c r="J7" s="38">
        <f t="shared" si="0"/>
        <v>76.99729963347383</v>
      </c>
      <c r="K7" s="38">
        <f t="shared" si="0"/>
        <v>0</v>
      </c>
    </row>
    <row r="8" spans="1:11" ht="16.5" customHeight="1" x14ac:dyDescent="0.3">
      <c r="A8" s="37">
        <v>4</v>
      </c>
      <c r="B8" s="38">
        <v>560.63</v>
      </c>
      <c r="C8" s="38">
        <v>573.16999999999996</v>
      </c>
      <c r="D8" s="38">
        <v>1560.82</v>
      </c>
      <c r="E8" s="38">
        <v>940.63</v>
      </c>
      <c r="F8" s="38">
        <f t="shared" si="1"/>
        <v>3635.25</v>
      </c>
      <c r="H8" s="38">
        <f t="shared" si="2"/>
        <v>15.422048002200675</v>
      </c>
      <c r="I8" s="38">
        <f t="shared" si="0"/>
        <v>15.767003644866239</v>
      </c>
      <c r="J8" s="38">
        <f t="shared" si="0"/>
        <v>42.935699057836466</v>
      </c>
      <c r="K8" s="38">
        <f t="shared" si="0"/>
        <v>25.875249295096626</v>
      </c>
    </row>
    <row r="9" spans="1:11" ht="16.5" customHeight="1" x14ac:dyDescent="0.3">
      <c r="A9" s="37">
        <v>5</v>
      </c>
      <c r="B9" s="38">
        <v>936.72</v>
      </c>
      <c r="C9" s="38">
        <v>532.70000000000005</v>
      </c>
      <c r="D9" s="38">
        <v>1158.46</v>
      </c>
      <c r="E9" s="38">
        <v>1606.59</v>
      </c>
      <c r="F9" s="38">
        <f t="shared" si="1"/>
        <v>4234.47</v>
      </c>
      <c r="H9" s="38">
        <f t="shared" si="2"/>
        <v>22.121304437155061</v>
      </c>
      <c r="I9" s="38">
        <f t="shared" si="0"/>
        <v>12.580086764105072</v>
      </c>
      <c r="J9" s="38">
        <f t="shared" si="0"/>
        <v>27.357851159649261</v>
      </c>
      <c r="K9" s="38">
        <f t="shared" si="0"/>
        <v>37.940757639090599</v>
      </c>
    </row>
    <row r="10" spans="1:11" ht="16.5" customHeight="1" x14ac:dyDescent="0.3">
      <c r="A10" s="37">
        <v>6</v>
      </c>
      <c r="B10" s="38">
        <v>304.36</v>
      </c>
      <c r="C10" s="38">
        <v>464.14</v>
      </c>
      <c r="D10" s="38">
        <v>2569.9</v>
      </c>
      <c r="E10" s="38">
        <v>3232.45</v>
      </c>
      <c r="F10" s="38">
        <f t="shared" si="1"/>
        <v>6570.85</v>
      </c>
      <c r="H10" s="38">
        <f t="shared" si="2"/>
        <v>4.6319730324082879</v>
      </c>
      <c r="I10" s="38">
        <f t="shared" si="0"/>
        <v>7.0636219058417087</v>
      </c>
      <c r="J10" s="38">
        <f t="shared" si="0"/>
        <v>39.110617347831713</v>
      </c>
      <c r="K10" s="38">
        <f t="shared" si="0"/>
        <v>49.193787713918283</v>
      </c>
    </row>
    <row r="11" spans="1:11" ht="16.5" customHeight="1" x14ac:dyDescent="0.3">
      <c r="A11" s="37">
        <v>7</v>
      </c>
      <c r="B11" s="38">
        <v>379.45</v>
      </c>
      <c r="C11" s="38">
        <v>90.97</v>
      </c>
      <c r="D11" s="38">
        <v>325.43</v>
      </c>
      <c r="E11" s="38">
        <v>327.9</v>
      </c>
      <c r="F11" s="38">
        <f t="shared" si="1"/>
        <v>1123.75</v>
      </c>
      <c r="H11" s="38">
        <f t="shared" si="2"/>
        <v>33.766407119021139</v>
      </c>
      <c r="I11" s="38">
        <f t="shared" si="0"/>
        <v>8.0952169076751943</v>
      </c>
      <c r="J11" s="38">
        <f t="shared" si="0"/>
        <v>28.959288097886542</v>
      </c>
      <c r="K11" s="38">
        <f t="shared" si="0"/>
        <v>29.179087875417125</v>
      </c>
    </row>
    <row r="12" spans="1:11" ht="16.5" customHeight="1" x14ac:dyDescent="0.3">
      <c r="A12" s="37">
        <v>8</v>
      </c>
      <c r="B12" s="38">
        <v>316.06</v>
      </c>
      <c r="C12" s="38">
        <v>156.93</v>
      </c>
      <c r="D12" s="38">
        <v>778.97</v>
      </c>
      <c r="E12" s="38">
        <v>1460.77</v>
      </c>
      <c r="F12" s="38">
        <f t="shared" si="1"/>
        <v>2712.73</v>
      </c>
      <c r="H12" s="38">
        <f t="shared" si="2"/>
        <v>11.65099364846483</v>
      </c>
      <c r="I12" s="38">
        <f t="shared" si="0"/>
        <v>5.7849472671441688</v>
      </c>
      <c r="J12" s="38">
        <f t="shared" si="0"/>
        <v>28.715353168210623</v>
      </c>
      <c r="K12" s="38">
        <f t="shared" si="0"/>
        <v>53.848705916180371</v>
      </c>
    </row>
    <row r="13" spans="1:11" ht="16.5" customHeight="1" x14ac:dyDescent="0.3">
      <c r="A13" s="37">
        <v>9</v>
      </c>
      <c r="B13" s="38">
        <v>281.29000000000002</v>
      </c>
      <c r="C13" s="38">
        <v>316.04000000000002</v>
      </c>
      <c r="D13" s="38">
        <v>1532.64</v>
      </c>
      <c r="E13" s="38">
        <v>2242.77</v>
      </c>
      <c r="F13" s="38">
        <f t="shared" si="1"/>
        <v>4372.74</v>
      </c>
      <c r="H13" s="38">
        <f t="shared" si="2"/>
        <v>6.4328087194756618</v>
      </c>
      <c r="I13" s="38">
        <f t="shared" si="0"/>
        <v>7.227504951129041</v>
      </c>
      <c r="J13" s="38">
        <f t="shared" si="0"/>
        <v>35.049877193704639</v>
      </c>
      <c r="K13" s="38">
        <f t="shared" si="0"/>
        <v>51.289809135690668</v>
      </c>
    </row>
    <row r="14" spans="1:11" ht="16.5" customHeight="1" x14ac:dyDescent="0.3">
      <c r="A14" s="37">
        <v>10</v>
      </c>
      <c r="B14" s="38">
        <v>260.07</v>
      </c>
      <c r="C14" s="38">
        <v>381.08</v>
      </c>
      <c r="D14" s="38">
        <v>864.46</v>
      </c>
      <c r="E14" s="38">
        <v>1387.27</v>
      </c>
      <c r="F14" s="38">
        <f t="shared" si="1"/>
        <v>2892.88</v>
      </c>
      <c r="H14" s="38">
        <f t="shared" si="2"/>
        <v>8.9900030419512742</v>
      </c>
      <c r="I14" s="38">
        <f t="shared" si="0"/>
        <v>13.173031719255551</v>
      </c>
      <c r="J14" s="38">
        <f t="shared" si="0"/>
        <v>29.88233179392163</v>
      </c>
      <c r="K14" s="38">
        <f t="shared" si="0"/>
        <v>47.95463344487154</v>
      </c>
    </row>
    <row r="15" spans="1:11" ht="16.5" customHeight="1" x14ac:dyDescent="0.3">
      <c r="A15" s="37">
        <v>11</v>
      </c>
      <c r="B15" s="38">
        <v>246.2</v>
      </c>
      <c r="C15" s="38">
        <v>427.16</v>
      </c>
      <c r="D15" s="38">
        <v>1645.68</v>
      </c>
      <c r="E15" s="38">
        <v>797.76</v>
      </c>
      <c r="F15" s="38">
        <f t="shared" si="1"/>
        <v>3116.8</v>
      </c>
      <c r="H15" s="38">
        <f t="shared" si="2"/>
        <v>7.8991273100616004</v>
      </c>
      <c r="I15" s="38">
        <f t="shared" si="0"/>
        <v>13.705082135523613</v>
      </c>
      <c r="J15" s="38">
        <f t="shared" si="0"/>
        <v>52.800308008213548</v>
      </c>
      <c r="K15" s="38">
        <f t="shared" si="0"/>
        <v>25.595482546201232</v>
      </c>
    </row>
    <row r="16" spans="1:11" ht="16.5" customHeight="1" x14ac:dyDescent="0.3">
      <c r="A16" s="37">
        <v>12</v>
      </c>
      <c r="B16" s="38">
        <v>369.97</v>
      </c>
      <c r="C16" s="38">
        <v>359.01</v>
      </c>
      <c r="D16" s="38">
        <v>878.28</v>
      </c>
      <c r="E16" s="38">
        <v>322.43</v>
      </c>
      <c r="F16" s="38">
        <f t="shared" si="1"/>
        <v>1929.69</v>
      </c>
      <c r="H16" s="38">
        <f t="shared" si="2"/>
        <v>19.172509574076667</v>
      </c>
      <c r="I16" s="38">
        <f t="shared" si="0"/>
        <v>18.604542698568164</v>
      </c>
      <c r="J16" s="38">
        <f t="shared" si="0"/>
        <v>45.51404629759184</v>
      </c>
      <c r="K16" s="38">
        <f t="shared" si="0"/>
        <v>16.70890142976333</v>
      </c>
    </row>
    <row r="17" spans="1:11" ht="16.5" customHeight="1" x14ac:dyDescent="0.3">
      <c r="A17" s="37">
        <v>13</v>
      </c>
      <c r="B17" s="38">
        <v>139.76</v>
      </c>
      <c r="C17" s="38">
        <v>359.21</v>
      </c>
      <c r="D17" s="38">
        <v>362.82</v>
      </c>
      <c r="E17" s="38">
        <v>464.51</v>
      </c>
      <c r="F17" s="38">
        <f t="shared" si="1"/>
        <v>1326.3</v>
      </c>
      <c r="H17" s="38">
        <f t="shared" si="2"/>
        <v>10.537585764909901</v>
      </c>
      <c r="I17" s="38">
        <f t="shared" si="0"/>
        <v>27.083616074794541</v>
      </c>
      <c r="J17" s="38">
        <f t="shared" si="0"/>
        <v>27.355801854783984</v>
      </c>
      <c r="K17" s="38">
        <f t="shared" si="0"/>
        <v>35.022996305511569</v>
      </c>
    </row>
    <row r="18" spans="1:11" ht="16.5" customHeight="1" x14ac:dyDescent="0.3">
      <c r="A18" s="37">
        <v>14</v>
      </c>
      <c r="B18" s="38">
        <v>67.02</v>
      </c>
      <c r="C18" s="38">
        <v>153.94</v>
      </c>
      <c r="D18" s="38">
        <v>133.30000000000001</v>
      </c>
      <c r="E18" s="38">
        <v>233.32</v>
      </c>
      <c r="F18" s="38">
        <f t="shared" si="1"/>
        <v>587.57999999999993</v>
      </c>
      <c r="H18" s="38">
        <f t="shared" si="2"/>
        <v>11.406106402532421</v>
      </c>
      <c r="I18" s="38">
        <f t="shared" si="0"/>
        <v>26.198985670036421</v>
      </c>
      <c r="J18" s="38">
        <f t="shared" si="0"/>
        <v>22.686272507573442</v>
      </c>
      <c r="K18" s="38">
        <f t="shared" si="0"/>
        <v>39.708635419857721</v>
      </c>
    </row>
    <row r="19" spans="1:11" ht="16.5" customHeight="1" x14ac:dyDescent="0.3">
      <c r="A19" s="37">
        <v>15</v>
      </c>
      <c r="B19" s="38">
        <v>100.02</v>
      </c>
      <c r="C19" s="38">
        <v>388.25</v>
      </c>
      <c r="D19" s="38">
        <v>302.52999999999997</v>
      </c>
      <c r="E19" s="38">
        <v>1056.48</v>
      </c>
      <c r="F19" s="38">
        <f t="shared" si="1"/>
        <v>1847.28</v>
      </c>
      <c r="H19" s="38">
        <f t="shared" si="2"/>
        <v>5.4144471872157984</v>
      </c>
      <c r="I19" s="38">
        <f t="shared" si="0"/>
        <v>21.017387726819972</v>
      </c>
      <c r="J19" s="38">
        <f t="shared" si="0"/>
        <v>16.377051665150923</v>
      </c>
      <c r="K19" s="38">
        <f t="shared" si="0"/>
        <v>57.191113420813309</v>
      </c>
    </row>
    <row r="20" spans="1:11" ht="16.5" customHeight="1" x14ac:dyDescent="0.3">
      <c r="A20" s="37">
        <v>16</v>
      </c>
      <c r="B20" s="38">
        <v>199.84</v>
      </c>
      <c r="C20" s="38">
        <v>345</v>
      </c>
      <c r="D20" s="38">
        <v>1317.67</v>
      </c>
      <c r="E20" s="38">
        <v>361.48</v>
      </c>
      <c r="F20" s="38">
        <f t="shared" si="1"/>
        <v>2223.9900000000002</v>
      </c>
      <c r="H20" s="38">
        <f t="shared" si="2"/>
        <v>8.9856519139024904</v>
      </c>
      <c r="I20" s="38">
        <f t="shared" si="0"/>
        <v>15.512659679225175</v>
      </c>
      <c r="J20" s="38">
        <f t="shared" si="0"/>
        <v>59.248018201520694</v>
      </c>
      <c r="K20" s="38">
        <f t="shared" si="0"/>
        <v>16.253670205351643</v>
      </c>
    </row>
    <row r="21" spans="1:11" ht="16.5" customHeight="1" x14ac:dyDescent="0.3">
      <c r="A21" s="37">
        <v>17</v>
      </c>
      <c r="B21" s="38">
        <v>168.99</v>
      </c>
      <c r="C21" s="38">
        <v>144.74</v>
      </c>
      <c r="D21" s="38">
        <v>176.63</v>
      </c>
      <c r="E21" s="38">
        <v>0</v>
      </c>
      <c r="F21" s="38">
        <f t="shared" si="1"/>
        <v>490.36</v>
      </c>
      <c r="H21" s="38">
        <f t="shared" si="2"/>
        <v>34.462435761481366</v>
      </c>
      <c r="I21" s="38">
        <f t="shared" ref="I21:I28" si="3">C21/$F21*100</f>
        <v>29.517089485276127</v>
      </c>
      <c r="J21" s="38">
        <f t="shared" ref="J21:J28" si="4">D21/$F21*100</f>
        <v>36.020474753242517</v>
      </c>
      <c r="K21" s="38">
        <f t="shared" ref="K21:K28" si="5">E21/$F21*100</f>
        <v>0</v>
      </c>
    </row>
    <row r="22" spans="1:11" ht="16.5" customHeight="1" x14ac:dyDescent="0.3">
      <c r="A22" s="37">
        <v>18</v>
      </c>
      <c r="B22" s="38">
        <v>262.99</v>
      </c>
      <c r="C22" s="38">
        <v>433.7</v>
      </c>
      <c r="D22" s="38">
        <v>1372.13</v>
      </c>
      <c r="E22" s="38">
        <v>775.1</v>
      </c>
      <c r="F22" s="38">
        <f t="shared" si="1"/>
        <v>2843.92</v>
      </c>
      <c r="H22" s="38">
        <f t="shared" si="2"/>
        <v>9.2474471855748401</v>
      </c>
      <c r="I22" s="38">
        <f t="shared" si="3"/>
        <v>15.250077358012884</v>
      </c>
      <c r="J22" s="38">
        <f t="shared" si="4"/>
        <v>48.247841008185887</v>
      </c>
      <c r="K22" s="38">
        <f t="shared" si="5"/>
        <v>27.25463444822639</v>
      </c>
    </row>
    <row r="23" spans="1:11" ht="16.5" customHeight="1" x14ac:dyDescent="0.3">
      <c r="A23" s="37">
        <v>19</v>
      </c>
      <c r="B23" s="38">
        <v>89.63</v>
      </c>
      <c r="C23" s="38">
        <v>101.82</v>
      </c>
      <c r="D23" s="38">
        <v>298.7</v>
      </c>
      <c r="E23" s="38">
        <v>0</v>
      </c>
      <c r="F23" s="38">
        <f t="shared" si="1"/>
        <v>490.15</v>
      </c>
      <c r="H23" s="38">
        <f t="shared" si="2"/>
        <v>18.286238906457207</v>
      </c>
      <c r="I23" s="38">
        <f t="shared" si="3"/>
        <v>20.773232683872283</v>
      </c>
      <c r="J23" s="38">
        <f t="shared" si="4"/>
        <v>60.940528409670513</v>
      </c>
      <c r="K23" s="38">
        <f t="shared" si="5"/>
        <v>0</v>
      </c>
    </row>
    <row r="24" spans="1:11" ht="16.5" customHeight="1" x14ac:dyDescent="0.3">
      <c r="A24" s="37">
        <v>20</v>
      </c>
      <c r="B24" s="38">
        <v>168.18</v>
      </c>
      <c r="C24" s="38">
        <v>380.57</v>
      </c>
      <c r="D24" s="38">
        <v>757.92</v>
      </c>
      <c r="E24" s="38">
        <v>901.97</v>
      </c>
      <c r="F24" s="38">
        <f t="shared" si="1"/>
        <v>2208.6400000000003</v>
      </c>
      <c r="H24" s="38">
        <f t="shared" si="2"/>
        <v>7.6146406838597498</v>
      </c>
      <c r="I24" s="38">
        <f t="shared" si="3"/>
        <v>17.23096566212692</v>
      </c>
      <c r="J24" s="38">
        <f t="shared" si="4"/>
        <v>34.316140249203123</v>
      </c>
      <c r="K24" s="38">
        <f t="shared" si="5"/>
        <v>40.838253404810196</v>
      </c>
    </row>
    <row r="25" spans="1:11" ht="16.5" customHeight="1" x14ac:dyDescent="0.3">
      <c r="A25" s="37">
        <v>21</v>
      </c>
      <c r="B25" s="38">
        <v>209.4</v>
      </c>
      <c r="C25" s="38">
        <v>269.37</v>
      </c>
      <c r="D25" s="38">
        <v>696</v>
      </c>
      <c r="E25" s="38">
        <v>175.27</v>
      </c>
      <c r="F25" s="38">
        <f t="shared" si="1"/>
        <v>1350.04</v>
      </c>
      <c r="H25" s="38">
        <f t="shared" si="2"/>
        <v>15.510651536250778</v>
      </c>
      <c r="I25" s="38">
        <f t="shared" si="3"/>
        <v>19.952742140973601</v>
      </c>
      <c r="J25" s="38">
        <f t="shared" si="4"/>
        <v>51.554028028799145</v>
      </c>
      <c r="K25" s="38">
        <f t="shared" si="5"/>
        <v>12.982578293976477</v>
      </c>
    </row>
    <row r="26" spans="1:11" ht="16.5" customHeight="1" x14ac:dyDescent="0.3">
      <c r="A26" s="37">
        <v>22</v>
      </c>
      <c r="B26" s="38">
        <v>259.77</v>
      </c>
      <c r="C26" s="38">
        <v>419.4</v>
      </c>
      <c r="D26" s="38">
        <v>1538.38</v>
      </c>
      <c r="E26" s="38">
        <v>1281.03</v>
      </c>
      <c r="F26" s="38">
        <f t="shared" si="1"/>
        <v>3498.58</v>
      </c>
      <c r="H26" s="38">
        <f t="shared" si="2"/>
        <v>7.4250124336159242</v>
      </c>
      <c r="I26" s="38">
        <f t="shared" si="3"/>
        <v>11.987720732411434</v>
      </c>
      <c r="J26" s="38">
        <f t="shared" si="4"/>
        <v>43.971554173407498</v>
      </c>
      <c r="K26" s="38">
        <f t="shared" si="5"/>
        <v>36.615712660565144</v>
      </c>
    </row>
    <row r="27" spans="1:11" ht="16.5" customHeight="1" x14ac:dyDescent="0.3">
      <c r="A27" s="37">
        <v>23</v>
      </c>
      <c r="B27" s="38">
        <v>958.02</v>
      </c>
      <c r="C27" s="38">
        <v>180.85</v>
      </c>
      <c r="D27" s="38">
        <v>848.01</v>
      </c>
      <c r="E27" s="38">
        <v>1430.26</v>
      </c>
      <c r="F27" s="38">
        <f t="shared" si="1"/>
        <v>3417.14</v>
      </c>
      <c r="H27" s="38">
        <f t="shared" si="2"/>
        <v>28.035725782379416</v>
      </c>
      <c r="I27" s="38">
        <f t="shared" si="3"/>
        <v>5.2924375354828888</v>
      </c>
      <c r="J27" s="38">
        <f t="shared" si="4"/>
        <v>24.816366903316808</v>
      </c>
      <c r="K27" s="38">
        <f t="shared" si="5"/>
        <v>41.85546977882089</v>
      </c>
    </row>
    <row r="28" spans="1:11" ht="16.5" customHeight="1" x14ac:dyDescent="0.3">
      <c r="A28" s="37">
        <v>24</v>
      </c>
      <c r="B28" s="38">
        <v>513.53</v>
      </c>
      <c r="C28" s="38">
        <v>864.26</v>
      </c>
      <c r="D28" s="38">
        <v>569.4</v>
      </c>
      <c r="E28" s="38">
        <v>0</v>
      </c>
      <c r="F28" s="38">
        <f t="shared" si="1"/>
        <v>1947.19</v>
      </c>
      <c r="H28" s="38">
        <f t="shared" si="2"/>
        <v>26.372875785105716</v>
      </c>
      <c r="I28" s="38">
        <f t="shared" si="3"/>
        <v>44.384985543270048</v>
      </c>
      <c r="J28" s="38">
        <f t="shared" si="4"/>
        <v>29.242138671624236</v>
      </c>
      <c r="K28" s="38">
        <f t="shared" si="5"/>
        <v>0</v>
      </c>
    </row>
    <row r="29" spans="1:11" ht="16.5" customHeight="1" x14ac:dyDescent="0.3"/>
    <row r="30" spans="1:11" ht="16.5" customHeight="1" x14ac:dyDescent="0.3">
      <c r="H30" s="38">
        <f>AVERAGE(H5:H28)</f>
        <v>13.867732473271166</v>
      </c>
      <c r="I30" s="38">
        <f t="shared" ref="I30:K30" si="6">AVERAGE(I5:I28)</f>
        <v>16.09824565899893</v>
      </c>
      <c r="J30" s="38">
        <f t="shared" si="6"/>
        <v>38.643732074401882</v>
      </c>
      <c r="K30" s="38">
        <f t="shared" si="6"/>
        <v>31.390289793328037</v>
      </c>
    </row>
    <row r="31" spans="1:11" ht="16.5" customHeight="1" x14ac:dyDescent="0.3">
      <c r="H31" s="38">
        <f>STDEV(H5:H28)</f>
        <v>9.0564714754521241</v>
      </c>
      <c r="I31" s="38">
        <f t="shared" ref="I31:K31" si="7">STDEV(I5:I28)</f>
        <v>9.1261362130120691</v>
      </c>
      <c r="J31" s="38">
        <f t="shared" si="7"/>
        <v>15.089094343324284</v>
      </c>
      <c r="K31" s="38">
        <f t="shared" si="7"/>
        <v>19.970865777335632</v>
      </c>
    </row>
    <row r="32" spans="1:11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</sheetData>
  <autoFilter ref="B1:B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60" zoomScaleNormal="60" workbookViewId="0">
      <selection activeCell="J6" sqref="J6"/>
    </sheetView>
  </sheetViews>
  <sheetFormatPr defaultRowHeight="18.75" x14ac:dyDescent="0.3"/>
  <cols>
    <col min="1" max="1" width="18.42578125" style="37" customWidth="1"/>
    <col min="2" max="5" width="16.7109375" style="37" customWidth="1"/>
    <col min="6" max="16384" width="9.140625" style="30"/>
  </cols>
  <sheetData>
    <row r="1" spans="1:10" x14ac:dyDescent="0.3">
      <c r="A1" s="37" t="s">
        <v>46</v>
      </c>
      <c r="B1" s="32" t="s">
        <v>133</v>
      </c>
      <c r="C1" s="32" t="s">
        <v>131</v>
      </c>
      <c r="D1" s="32" t="s">
        <v>132</v>
      </c>
      <c r="E1" s="32" t="s">
        <v>99</v>
      </c>
    </row>
    <row r="2" spans="1:10" x14ac:dyDescent="0.3">
      <c r="B2" s="32"/>
      <c r="C2" s="32" t="s">
        <v>84</v>
      </c>
      <c r="D2" s="32" t="s">
        <v>89</v>
      </c>
      <c r="E2" s="32"/>
    </row>
    <row r="3" spans="1:10" x14ac:dyDescent="0.3">
      <c r="B3" s="32"/>
      <c r="C3" s="32"/>
      <c r="D3" s="32"/>
      <c r="E3" s="32"/>
    </row>
    <row r="4" spans="1:10" x14ac:dyDescent="0.3">
      <c r="A4" s="37">
        <v>1</v>
      </c>
      <c r="B4" s="32">
        <v>1</v>
      </c>
      <c r="C4" s="33">
        <v>201.81</v>
      </c>
      <c r="D4" s="33">
        <v>70.38</v>
      </c>
      <c r="E4" s="34">
        <f>C4/D4</f>
        <v>2.8674339300937768</v>
      </c>
      <c r="G4" s="40">
        <f>AVERAGE(E5)</f>
        <v>2.6116146357838201</v>
      </c>
      <c r="I4" s="40">
        <f>AVERAGE(G4:G50)</f>
        <v>2.7570329114980647</v>
      </c>
      <c r="J4" s="30" t="s">
        <v>134</v>
      </c>
    </row>
    <row r="5" spans="1:10" x14ac:dyDescent="0.3">
      <c r="B5" s="32">
        <v>2</v>
      </c>
      <c r="C5" s="33">
        <v>77.8</v>
      </c>
      <c r="D5" s="33">
        <v>29.79</v>
      </c>
      <c r="E5" s="34">
        <f t="shared" ref="E5:E51" si="0">C5/D5</f>
        <v>2.6116146357838201</v>
      </c>
      <c r="I5" s="30">
        <f>STDEV(G4:G51)/(SQRT(24))</f>
        <v>4.0109067707278623E-2</v>
      </c>
      <c r="J5" s="30" t="s">
        <v>135</v>
      </c>
    </row>
    <row r="6" spans="1:10" x14ac:dyDescent="0.3">
      <c r="A6" s="37">
        <v>2</v>
      </c>
      <c r="B6" s="32">
        <v>1</v>
      </c>
      <c r="C6" s="33">
        <v>94.15</v>
      </c>
      <c r="D6" s="33">
        <v>37.78</v>
      </c>
      <c r="E6" s="34">
        <f t="shared" si="0"/>
        <v>2.492059290629963</v>
      </c>
      <c r="G6" s="40">
        <f t="shared" ref="G6" si="1">AVERAGE(E7)</f>
        <v>3.0377877018206805</v>
      </c>
    </row>
    <row r="7" spans="1:10" x14ac:dyDescent="0.3">
      <c r="B7" s="32">
        <v>2</v>
      </c>
      <c r="C7" s="33">
        <v>88.43</v>
      </c>
      <c r="D7" s="33">
        <v>29.11</v>
      </c>
      <c r="E7" s="34">
        <f t="shared" si="0"/>
        <v>3.0377877018206805</v>
      </c>
    </row>
    <row r="8" spans="1:10" x14ac:dyDescent="0.3">
      <c r="A8" s="37">
        <v>3</v>
      </c>
      <c r="B8" s="32">
        <v>1</v>
      </c>
      <c r="C8" s="33">
        <v>179.2</v>
      </c>
      <c r="D8" s="33">
        <v>64.3</v>
      </c>
      <c r="E8" s="34">
        <f t="shared" si="0"/>
        <v>2.786936236391913</v>
      </c>
      <c r="G8" s="40">
        <f t="shared" ref="G8" si="2">AVERAGE(E9)</f>
        <v>2.8656250000000001</v>
      </c>
    </row>
    <row r="9" spans="1:10" x14ac:dyDescent="0.3">
      <c r="B9" s="32">
        <v>2</v>
      </c>
      <c r="C9" s="33">
        <v>64.19</v>
      </c>
      <c r="D9" s="33">
        <v>22.4</v>
      </c>
      <c r="E9" s="34">
        <f t="shared" si="0"/>
        <v>2.8656250000000001</v>
      </c>
    </row>
    <row r="10" spans="1:10" x14ac:dyDescent="0.3">
      <c r="A10" s="37">
        <v>4</v>
      </c>
      <c r="B10" s="32">
        <v>1</v>
      </c>
      <c r="C10" s="33">
        <v>138.93</v>
      </c>
      <c r="D10" s="33">
        <v>55.17</v>
      </c>
      <c r="E10" s="34">
        <f t="shared" si="0"/>
        <v>2.5182164219684613</v>
      </c>
      <c r="G10" s="40">
        <f t="shared" ref="G10" si="3">AVERAGE(E11)</f>
        <v>2.697250361794501</v>
      </c>
    </row>
    <row r="11" spans="1:10" x14ac:dyDescent="0.3">
      <c r="B11" s="32">
        <v>2</v>
      </c>
      <c r="C11" s="33">
        <v>93.19</v>
      </c>
      <c r="D11" s="33">
        <v>34.549999999999997</v>
      </c>
      <c r="E11" s="34">
        <f t="shared" si="0"/>
        <v>2.697250361794501</v>
      </c>
    </row>
    <row r="12" spans="1:10" x14ac:dyDescent="0.3">
      <c r="A12" s="37">
        <v>5</v>
      </c>
      <c r="B12" s="32">
        <v>1</v>
      </c>
      <c r="C12" s="33">
        <v>312.56</v>
      </c>
      <c r="D12" s="33">
        <v>108.34</v>
      </c>
      <c r="E12" s="34">
        <f t="shared" si="0"/>
        <v>2.8849916928189034</v>
      </c>
      <c r="G12" s="40">
        <f t="shared" ref="G12" si="4">AVERAGE(E13)</f>
        <v>2.94488671157379</v>
      </c>
    </row>
    <row r="13" spans="1:10" x14ac:dyDescent="0.3">
      <c r="B13" s="32">
        <v>2</v>
      </c>
      <c r="C13" s="33">
        <v>240.45</v>
      </c>
      <c r="D13" s="33">
        <v>81.650000000000006</v>
      </c>
      <c r="E13" s="34">
        <f t="shared" si="0"/>
        <v>2.94488671157379</v>
      </c>
    </row>
    <row r="14" spans="1:10" x14ac:dyDescent="0.3">
      <c r="A14" s="37">
        <v>6</v>
      </c>
      <c r="B14" s="32">
        <v>1</v>
      </c>
      <c r="C14" s="33">
        <v>453.1</v>
      </c>
      <c r="D14" s="33">
        <v>147.46</v>
      </c>
      <c r="E14" s="34">
        <f t="shared" si="0"/>
        <v>3.0726976807269768</v>
      </c>
      <c r="G14" s="40">
        <f t="shared" ref="G14" si="5">AVERAGE(E15)</f>
        <v>2.80384336475707</v>
      </c>
    </row>
    <row r="15" spans="1:10" x14ac:dyDescent="0.3">
      <c r="B15" s="32">
        <v>2</v>
      </c>
      <c r="C15" s="33">
        <v>386.65</v>
      </c>
      <c r="D15" s="33">
        <v>137.9</v>
      </c>
      <c r="E15" s="34">
        <f t="shared" si="0"/>
        <v>2.80384336475707</v>
      </c>
    </row>
    <row r="16" spans="1:10" x14ac:dyDescent="0.3">
      <c r="A16" s="37">
        <v>7</v>
      </c>
      <c r="B16" s="32">
        <v>1</v>
      </c>
      <c r="C16" s="33">
        <v>328.18</v>
      </c>
      <c r="D16" s="33">
        <v>115.59</v>
      </c>
      <c r="E16" s="34">
        <f t="shared" si="0"/>
        <v>2.8391729388355396</v>
      </c>
      <c r="G16" s="40">
        <f t="shared" ref="G16" si="6">AVERAGE(E17)</f>
        <v>2.5997882477501322</v>
      </c>
    </row>
    <row r="17" spans="1:7" x14ac:dyDescent="0.3">
      <c r="B17" s="32">
        <v>2</v>
      </c>
      <c r="C17" s="33">
        <v>49.11</v>
      </c>
      <c r="D17" s="33">
        <v>18.89</v>
      </c>
      <c r="E17" s="34">
        <f t="shared" si="0"/>
        <v>2.5997882477501322</v>
      </c>
    </row>
    <row r="18" spans="1:7" x14ac:dyDescent="0.3">
      <c r="A18" s="37">
        <v>8</v>
      </c>
      <c r="B18" s="32">
        <v>1</v>
      </c>
      <c r="C18" s="33">
        <v>297.27999999999997</v>
      </c>
      <c r="D18" s="33">
        <v>101.38</v>
      </c>
      <c r="E18" s="34">
        <f t="shared" si="0"/>
        <v>2.9323337936476621</v>
      </c>
      <c r="G18" s="40">
        <f t="shared" ref="G18" si="7">AVERAGE(E19)</f>
        <v>2.4944015444015446</v>
      </c>
    </row>
    <row r="19" spans="1:7" x14ac:dyDescent="0.3">
      <c r="B19" s="32">
        <v>2</v>
      </c>
      <c r="C19" s="33">
        <v>129.21</v>
      </c>
      <c r="D19" s="33">
        <v>51.8</v>
      </c>
      <c r="E19" s="34">
        <f t="shared" si="0"/>
        <v>2.4944015444015446</v>
      </c>
    </row>
    <row r="20" spans="1:7" x14ac:dyDescent="0.3">
      <c r="A20" s="37">
        <v>9</v>
      </c>
      <c r="B20" s="32">
        <v>1</v>
      </c>
      <c r="C20" s="33">
        <v>229.99</v>
      </c>
      <c r="D20" s="33">
        <v>76.52</v>
      </c>
      <c r="E20" s="34">
        <f t="shared" si="0"/>
        <v>3.0056194458964978</v>
      </c>
      <c r="G20" s="40">
        <f t="shared" ref="G20" si="8">AVERAGE(E21)</f>
        <v>2.4303596264653287</v>
      </c>
    </row>
    <row r="21" spans="1:7" x14ac:dyDescent="0.3">
      <c r="B21" s="32">
        <v>2</v>
      </c>
      <c r="C21" s="33">
        <v>122.32</v>
      </c>
      <c r="D21" s="33">
        <v>50.33</v>
      </c>
      <c r="E21" s="34">
        <f t="shared" si="0"/>
        <v>2.4303596264653287</v>
      </c>
    </row>
    <row r="22" spans="1:7" x14ac:dyDescent="0.3">
      <c r="A22" s="37">
        <v>10</v>
      </c>
      <c r="B22" s="32">
        <v>1</v>
      </c>
      <c r="C22" s="33">
        <v>133.46</v>
      </c>
      <c r="D22" s="33">
        <v>45.02</v>
      </c>
      <c r="E22" s="34">
        <f t="shared" si="0"/>
        <v>2.9644602398933806</v>
      </c>
      <c r="G22" s="40">
        <f t="shared" ref="G22" si="9">AVERAGE(E23)</f>
        <v>2.9449504950495049</v>
      </c>
    </row>
    <row r="23" spans="1:7" x14ac:dyDescent="0.3">
      <c r="B23" s="32">
        <v>2</v>
      </c>
      <c r="C23" s="33">
        <v>74.36</v>
      </c>
      <c r="D23" s="33">
        <v>25.25</v>
      </c>
      <c r="E23" s="34">
        <f t="shared" si="0"/>
        <v>2.9449504950495049</v>
      </c>
    </row>
    <row r="24" spans="1:7" x14ac:dyDescent="0.3">
      <c r="A24" s="37">
        <v>11</v>
      </c>
      <c r="B24" s="32">
        <v>1</v>
      </c>
      <c r="C24" s="33">
        <v>177.78</v>
      </c>
      <c r="D24" s="33">
        <v>60.22</v>
      </c>
      <c r="E24" s="34">
        <f t="shared" si="0"/>
        <v>2.9521753570242444</v>
      </c>
      <c r="G24" s="40">
        <f t="shared" ref="G24" si="10">AVERAGE(E25)</f>
        <v>2.7678717678717679</v>
      </c>
    </row>
    <row r="25" spans="1:7" x14ac:dyDescent="0.3">
      <c r="B25" s="32">
        <v>2</v>
      </c>
      <c r="C25" s="33">
        <v>236.57</v>
      </c>
      <c r="D25" s="33">
        <v>85.47</v>
      </c>
      <c r="E25" s="34">
        <f t="shared" si="0"/>
        <v>2.7678717678717679</v>
      </c>
    </row>
    <row r="26" spans="1:7" x14ac:dyDescent="0.3">
      <c r="A26" s="37">
        <v>12</v>
      </c>
      <c r="B26" s="32">
        <v>1</v>
      </c>
      <c r="C26" s="33">
        <v>175.38</v>
      </c>
      <c r="D26" s="33">
        <v>61.7</v>
      </c>
      <c r="E26" s="34">
        <f t="shared" si="0"/>
        <v>2.8424635332252834</v>
      </c>
      <c r="G26" s="40">
        <f t="shared" ref="G26" si="11">AVERAGE(E27)</f>
        <v>2.7454715219421106</v>
      </c>
    </row>
    <row r="27" spans="1:7" x14ac:dyDescent="0.3">
      <c r="B27" s="32">
        <v>2</v>
      </c>
      <c r="C27" s="33">
        <v>147.02000000000001</v>
      </c>
      <c r="D27" s="33">
        <v>53.55</v>
      </c>
      <c r="E27" s="34">
        <f t="shared" si="0"/>
        <v>2.7454715219421106</v>
      </c>
    </row>
    <row r="28" spans="1:7" x14ac:dyDescent="0.3">
      <c r="A28" s="37">
        <v>13</v>
      </c>
      <c r="B28" s="32">
        <v>1</v>
      </c>
      <c r="C28" s="33">
        <v>42.67</v>
      </c>
      <c r="D28" s="33">
        <v>15</v>
      </c>
      <c r="E28" s="34">
        <f t="shared" si="0"/>
        <v>2.8446666666666669</v>
      </c>
      <c r="G28" s="40">
        <f t="shared" ref="G28" si="12">AVERAGE(E29)</f>
        <v>2.4103773584905661</v>
      </c>
    </row>
    <row r="29" spans="1:7" x14ac:dyDescent="0.3">
      <c r="B29" s="32">
        <v>2</v>
      </c>
      <c r="C29" s="33">
        <v>71.540000000000006</v>
      </c>
      <c r="D29" s="33">
        <v>29.68</v>
      </c>
      <c r="E29" s="34">
        <f t="shared" si="0"/>
        <v>2.4103773584905661</v>
      </c>
    </row>
    <row r="30" spans="1:7" x14ac:dyDescent="0.3">
      <c r="A30" s="37">
        <v>14</v>
      </c>
      <c r="B30" s="32">
        <v>1</v>
      </c>
      <c r="C30" s="33">
        <v>86.86</v>
      </c>
      <c r="D30" s="33">
        <v>29.47</v>
      </c>
      <c r="E30" s="34">
        <f t="shared" si="0"/>
        <v>2.9474041398031896</v>
      </c>
      <c r="G30" s="40">
        <f t="shared" ref="G30" si="13">AVERAGE(E31)</f>
        <v>2.8106452230518864</v>
      </c>
    </row>
    <row r="31" spans="1:7" x14ac:dyDescent="0.3">
      <c r="B31" s="32">
        <v>2</v>
      </c>
      <c r="C31" s="33">
        <v>146.80000000000001</v>
      </c>
      <c r="D31" s="33">
        <v>52.23</v>
      </c>
      <c r="E31" s="34">
        <f t="shared" si="0"/>
        <v>2.8106452230518864</v>
      </c>
    </row>
    <row r="32" spans="1:7" x14ac:dyDescent="0.3">
      <c r="A32" s="37">
        <v>15</v>
      </c>
      <c r="B32" s="32">
        <v>1</v>
      </c>
      <c r="C32" s="33">
        <v>19.899999999999999</v>
      </c>
      <c r="D32" s="33">
        <v>11.6</v>
      </c>
      <c r="E32" s="34">
        <f t="shared" si="0"/>
        <v>1.7155172413793103</v>
      </c>
      <c r="G32" s="40">
        <f t="shared" ref="G32" si="14">AVERAGE(E33)</f>
        <v>2.3327922077922079</v>
      </c>
    </row>
    <row r="33" spans="1:7" x14ac:dyDescent="0.3">
      <c r="B33" s="32">
        <v>2</v>
      </c>
      <c r="C33" s="33">
        <v>43.11</v>
      </c>
      <c r="D33" s="33">
        <v>18.48</v>
      </c>
      <c r="E33" s="34">
        <f t="shared" si="0"/>
        <v>2.3327922077922079</v>
      </c>
    </row>
    <row r="34" spans="1:7" x14ac:dyDescent="0.3">
      <c r="A34" s="37">
        <v>16</v>
      </c>
      <c r="B34" s="32">
        <v>1</v>
      </c>
      <c r="C34" s="33">
        <v>258</v>
      </c>
      <c r="D34" s="33">
        <v>87.62</v>
      </c>
      <c r="E34" s="34">
        <f t="shared" si="0"/>
        <v>2.9445332115955258</v>
      </c>
      <c r="G34" s="40">
        <f t="shared" ref="G34" si="15">AVERAGE(E35)</f>
        <v>2.8438438438438438</v>
      </c>
    </row>
    <row r="35" spans="1:7" x14ac:dyDescent="0.3">
      <c r="B35" s="32">
        <v>2</v>
      </c>
      <c r="C35" s="33">
        <v>104.17</v>
      </c>
      <c r="D35" s="33">
        <v>36.630000000000003</v>
      </c>
      <c r="E35" s="34">
        <f t="shared" si="0"/>
        <v>2.8438438438438438</v>
      </c>
    </row>
    <row r="36" spans="1:7" x14ac:dyDescent="0.3">
      <c r="A36" s="37">
        <v>17</v>
      </c>
      <c r="B36" s="32">
        <v>1</v>
      </c>
      <c r="C36" s="33">
        <v>45.88</v>
      </c>
      <c r="D36" s="33">
        <v>15.69</v>
      </c>
      <c r="E36" s="34">
        <f t="shared" si="0"/>
        <v>2.9241555130656471</v>
      </c>
      <c r="G36" s="40">
        <f t="shared" ref="G36" si="16">AVERAGE(E37)</f>
        <v>2.9894055326662743</v>
      </c>
    </row>
    <row r="37" spans="1:7" x14ac:dyDescent="0.3">
      <c r="B37" s="32">
        <v>2</v>
      </c>
      <c r="C37" s="33">
        <v>50.79</v>
      </c>
      <c r="D37" s="33">
        <v>16.989999999999998</v>
      </c>
      <c r="E37" s="34">
        <f t="shared" si="0"/>
        <v>2.9894055326662743</v>
      </c>
    </row>
    <row r="38" spans="1:7" x14ac:dyDescent="0.3">
      <c r="A38" s="37">
        <v>18</v>
      </c>
      <c r="B38" s="32">
        <v>1</v>
      </c>
      <c r="C38" s="33">
        <v>105.53</v>
      </c>
      <c r="D38" s="33">
        <v>34.74</v>
      </c>
      <c r="E38" s="34">
        <f t="shared" si="0"/>
        <v>3.0377086931491073</v>
      </c>
      <c r="G38" s="40">
        <f t="shared" ref="G38" si="17">AVERAGE(E39)</f>
        <v>2.7347248576850096</v>
      </c>
    </row>
    <row r="39" spans="1:7" x14ac:dyDescent="0.3">
      <c r="B39" s="32">
        <v>2</v>
      </c>
      <c r="C39" s="33">
        <v>72.06</v>
      </c>
      <c r="D39" s="33">
        <v>26.35</v>
      </c>
      <c r="E39" s="34">
        <f t="shared" si="0"/>
        <v>2.7347248576850096</v>
      </c>
    </row>
    <row r="40" spans="1:7" x14ac:dyDescent="0.3">
      <c r="A40" s="37">
        <v>19</v>
      </c>
      <c r="B40" s="32">
        <v>1</v>
      </c>
      <c r="C40" s="33">
        <v>57.41</v>
      </c>
      <c r="D40" s="33">
        <v>19.239999999999998</v>
      </c>
      <c r="E40" s="34">
        <f t="shared" si="0"/>
        <v>2.9838877338877339</v>
      </c>
      <c r="G40" s="40">
        <f t="shared" ref="G40" si="18">AVERAGE(E41)</f>
        <v>2.659717964438995</v>
      </c>
    </row>
    <row r="41" spans="1:7" x14ac:dyDescent="0.3">
      <c r="B41" s="32">
        <v>2</v>
      </c>
      <c r="C41" s="33">
        <v>43.38</v>
      </c>
      <c r="D41" s="33">
        <v>16.309999999999999</v>
      </c>
      <c r="E41" s="34">
        <f t="shared" si="0"/>
        <v>2.659717964438995</v>
      </c>
    </row>
    <row r="42" spans="1:7" x14ac:dyDescent="0.3">
      <c r="A42" s="37">
        <v>20</v>
      </c>
      <c r="B42" s="32">
        <v>1</v>
      </c>
      <c r="C42" s="33">
        <v>176.69</v>
      </c>
      <c r="D42" s="33">
        <v>62.78</v>
      </c>
      <c r="E42" s="34">
        <f t="shared" si="0"/>
        <v>2.8144313475629179</v>
      </c>
      <c r="G42" s="40">
        <f t="shared" ref="G42" si="19">AVERAGE(E43)</f>
        <v>3.0161988376406574</v>
      </c>
    </row>
    <row r="43" spans="1:7" x14ac:dyDescent="0.3">
      <c r="B43" s="32">
        <v>2</v>
      </c>
      <c r="C43" s="33">
        <v>243.92</v>
      </c>
      <c r="D43" s="33">
        <v>80.87</v>
      </c>
      <c r="E43" s="34">
        <f t="shared" si="0"/>
        <v>3.0161988376406574</v>
      </c>
    </row>
    <row r="44" spans="1:7" x14ac:dyDescent="0.3">
      <c r="A44" s="37">
        <v>21</v>
      </c>
      <c r="B44" s="32">
        <v>1</v>
      </c>
      <c r="C44" s="33">
        <v>175.3</v>
      </c>
      <c r="D44" s="33">
        <v>60.53</v>
      </c>
      <c r="E44" s="34">
        <f t="shared" si="0"/>
        <v>2.8960845861556255</v>
      </c>
      <c r="G44" s="40">
        <f t="shared" ref="G44" si="20">AVERAGE(E45)</f>
        <v>2.9717484008528783</v>
      </c>
    </row>
    <row r="45" spans="1:7" x14ac:dyDescent="0.3">
      <c r="B45" s="32">
        <v>2</v>
      </c>
      <c r="C45" s="33">
        <v>55.75</v>
      </c>
      <c r="D45" s="33">
        <v>18.760000000000002</v>
      </c>
      <c r="E45" s="34">
        <f t="shared" si="0"/>
        <v>2.9717484008528783</v>
      </c>
    </row>
    <row r="46" spans="1:7" x14ac:dyDescent="0.3">
      <c r="A46" s="37">
        <v>22</v>
      </c>
      <c r="B46" s="32">
        <v>1</v>
      </c>
      <c r="C46" s="33">
        <v>305.35000000000002</v>
      </c>
      <c r="D46" s="33">
        <v>107.19</v>
      </c>
      <c r="E46" s="34">
        <f t="shared" si="0"/>
        <v>2.8486799141710981</v>
      </c>
      <c r="G46" s="40">
        <f t="shared" ref="G46" si="21">AVERAGE(E47)</f>
        <v>2.8115212527964211</v>
      </c>
    </row>
    <row r="47" spans="1:7" x14ac:dyDescent="0.3">
      <c r="B47" s="32">
        <v>2</v>
      </c>
      <c r="C47" s="33">
        <v>50.27</v>
      </c>
      <c r="D47" s="33">
        <v>17.88</v>
      </c>
      <c r="E47" s="34">
        <f t="shared" si="0"/>
        <v>2.8115212527964211</v>
      </c>
    </row>
    <row r="48" spans="1:7" x14ac:dyDescent="0.3">
      <c r="A48" s="37">
        <v>23</v>
      </c>
      <c r="B48" s="32">
        <v>1</v>
      </c>
      <c r="C48" s="33">
        <v>537.91999999999996</v>
      </c>
      <c r="D48" s="33">
        <v>176.56</v>
      </c>
      <c r="E48" s="34">
        <f t="shared" si="0"/>
        <v>3.0466696873584049</v>
      </c>
      <c r="G48" s="40">
        <f t="shared" ref="G48" si="22">AVERAGE(E49)</f>
        <v>2.8255276632946176</v>
      </c>
    </row>
    <row r="49" spans="1:7" x14ac:dyDescent="0.3">
      <c r="B49" s="32">
        <v>2</v>
      </c>
      <c r="C49" s="33">
        <v>226.24</v>
      </c>
      <c r="D49" s="33">
        <v>80.069999999999993</v>
      </c>
      <c r="E49" s="34">
        <f t="shared" si="0"/>
        <v>2.8255276632946176</v>
      </c>
    </row>
    <row r="50" spans="1:7" x14ac:dyDescent="0.3">
      <c r="A50" s="37">
        <v>24</v>
      </c>
      <c r="B50" s="32">
        <v>1</v>
      </c>
      <c r="C50" s="33">
        <v>48.42</v>
      </c>
      <c r="D50" s="33">
        <v>17.829999999999998</v>
      </c>
      <c r="E50" s="34">
        <f t="shared" si="0"/>
        <v>2.7156477846326421</v>
      </c>
      <c r="G50" s="40">
        <f t="shared" ref="G50" si="23">AVERAGE(E51)</f>
        <v>2.8184357541899439</v>
      </c>
    </row>
    <row r="51" spans="1:7" x14ac:dyDescent="0.3">
      <c r="B51" s="32">
        <v>2</v>
      </c>
      <c r="C51" s="33">
        <v>30.27</v>
      </c>
      <c r="D51" s="33">
        <v>10.74</v>
      </c>
      <c r="E51" s="34">
        <f t="shared" si="0"/>
        <v>2.8184357541899439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4"/>
  <sheetViews>
    <sheetView zoomScale="60" zoomScaleNormal="60" workbookViewId="0">
      <selection activeCell="AD5" sqref="AD5:AD11"/>
    </sheetView>
  </sheetViews>
  <sheetFormatPr defaultRowHeight="18.75" x14ac:dyDescent="0.25"/>
  <cols>
    <col min="1" max="1" width="18.42578125" style="32" customWidth="1"/>
    <col min="2" max="2" width="14.140625" style="32" customWidth="1"/>
    <col min="3" max="6" width="12.5703125" style="32" customWidth="1"/>
    <col min="7" max="7" width="9.85546875" style="32" customWidth="1"/>
    <col min="8" max="9" width="9.140625" style="32"/>
    <col min="10" max="10" width="18.140625" style="32" customWidth="1"/>
    <col min="11" max="14" width="12" style="32" customWidth="1"/>
    <col min="15" max="20" width="9.140625" style="32"/>
    <col min="21" max="21" width="14.85546875" style="32" customWidth="1"/>
    <col min="22" max="22" width="18" style="32" customWidth="1"/>
    <col min="23" max="23" width="20.5703125" style="32" customWidth="1"/>
    <col min="24" max="24" width="17.7109375" style="32" customWidth="1"/>
    <col min="25" max="26" width="9.140625" style="32"/>
    <col min="27" max="27" width="15.140625" style="32" customWidth="1"/>
    <col min="28" max="28" width="10" style="32" bestFit="1" customWidth="1"/>
    <col min="29" max="16384" width="9.140625" style="32"/>
  </cols>
  <sheetData>
    <row r="2" spans="1:30" s="31" customFormat="1" ht="56.25" x14ac:dyDescent="0.25">
      <c r="A2" s="31" t="s">
        <v>48</v>
      </c>
      <c r="B2" s="31" t="s">
        <v>159</v>
      </c>
      <c r="C2" s="31" t="s">
        <v>160</v>
      </c>
      <c r="D2" s="31" t="s">
        <v>247</v>
      </c>
      <c r="E2" s="31" t="s">
        <v>248</v>
      </c>
      <c r="F2" s="31" t="s">
        <v>88</v>
      </c>
      <c r="G2" s="31" t="s">
        <v>90</v>
      </c>
      <c r="H2" s="31" t="s">
        <v>92</v>
      </c>
      <c r="J2" s="31" t="s">
        <v>48</v>
      </c>
      <c r="K2" s="31" t="s">
        <v>160</v>
      </c>
      <c r="L2" s="31" t="s">
        <v>161</v>
      </c>
      <c r="N2" s="31" t="s">
        <v>88</v>
      </c>
      <c r="O2" s="31" t="s">
        <v>90</v>
      </c>
      <c r="P2" s="31" t="s">
        <v>92</v>
      </c>
      <c r="Q2" s="31" t="s">
        <v>141</v>
      </c>
      <c r="R2" s="31" t="s">
        <v>235</v>
      </c>
    </row>
    <row r="3" spans="1:30" x14ac:dyDescent="0.25">
      <c r="C3" s="32" t="s">
        <v>145</v>
      </c>
      <c r="D3" s="32" t="s">
        <v>145</v>
      </c>
      <c r="E3" s="32" t="s">
        <v>145</v>
      </c>
      <c r="F3" s="32" t="s">
        <v>162</v>
      </c>
      <c r="G3" s="32" t="s">
        <v>91</v>
      </c>
      <c r="H3" s="32" t="s">
        <v>91</v>
      </c>
      <c r="K3" s="32" t="s">
        <v>145</v>
      </c>
      <c r="L3" s="32" t="s">
        <v>145</v>
      </c>
      <c r="N3" s="32" t="s">
        <v>162</v>
      </c>
      <c r="O3" s="32" t="s">
        <v>91</v>
      </c>
      <c r="P3" s="32" t="s">
        <v>91</v>
      </c>
      <c r="Q3" s="32" t="s">
        <v>233</v>
      </c>
      <c r="R3" s="32" t="s">
        <v>236</v>
      </c>
      <c r="V3" s="32" t="s">
        <v>213</v>
      </c>
      <c r="AD3" s="32" t="s">
        <v>249</v>
      </c>
    </row>
    <row r="4" spans="1:30" x14ac:dyDescent="0.25">
      <c r="A4" s="32" t="s">
        <v>158</v>
      </c>
      <c r="W4" s="32" t="s">
        <v>221</v>
      </c>
      <c r="X4" s="32" t="s">
        <v>214</v>
      </c>
      <c r="Y4" s="32" t="s">
        <v>215</v>
      </c>
      <c r="AA4" s="32" t="s">
        <v>220</v>
      </c>
      <c r="AB4" s="32" t="s">
        <v>215</v>
      </c>
    </row>
    <row r="5" spans="1:30" x14ac:dyDescent="0.25">
      <c r="A5" s="32" t="s">
        <v>148</v>
      </c>
      <c r="B5" s="32" t="s">
        <v>149</v>
      </c>
      <c r="C5" s="32">
        <v>1.44</v>
      </c>
      <c r="D5" s="32">
        <v>0.74</v>
      </c>
      <c r="E5" s="34">
        <v>0.98281297241681143</v>
      </c>
      <c r="F5" s="32">
        <v>24.7</v>
      </c>
      <c r="G5" s="32">
        <v>5.13</v>
      </c>
      <c r="H5" s="32">
        <v>0.39800000000000002</v>
      </c>
      <c r="J5" s="32" t="s">
        <v>52</v>
      </c>
      <c r="K5" s="34">
        <f>C5</f>
        <v>1.44</v>
      </c>
      <c r="L5" s="34">
        <f>D5</f>
        <v>0.74</v>
      </c>
      <c r="M5" s="34">
        <f>E5</f>
        <v>0.98281297241681143</v>
      </c>
      <c r="N5" s="33">
        <f>F5</f>
        <v>24.7</v>
      </c>
      <c r="O5" s="34">
        <f>G5</f>
        <v>5.13</v>
      </c>
      <c r="P5" s="34">
        <f>H5</f>
        <v>0.39800000000000002</v>
      </c>
      <c r="Q5" s="35">
        <f>(O5*10)*100*100*10*L5/1000000</f>
        <v>3.7961999999999998</v>
      </c>
      <c r="R5" s="35">
        <f>(P5*10)*100*100*10*L5/1000000</f>
        <v>0.29452000000000006</v>
      </c>
      <c r="S5" s="35" t="s">
        <v>240</v>
      </c>
      <c r="T5" s="35">
        <f>SUM(Q5:Q9)</f>
        <v>9.6031583999999999</v>
      </c>
      <c r="V5" s="32" t="s">
        <v>52</v>
      </c>
      <c r="W5" s="34">
        <f>AVERAGE(K13,K21,K37,K45)</f>
        <v>1.1799999999999997</v>
      </c>
      <c r="X5" s="34">
        <f>AVERAGE(L13,L21,L37,L45)</f>
        <v>0.83274999999999988</v>
      </c>
      <c r="Y5" s="34">
        <f t="shared" ref="Y5:Y11" si="0">STDEV(L13,L21,L37,L45)/2</f>
        <v>4.0181618932044014E-2</v>
      </c>
      <c r="AA5" s="33">
        <f t="shared" ref="AA5:AA11" si="1">AVERAGE(N13,N21,N37,N45)</f>
        <v>12.735000000000001</v>
      </c>
      <c r="AB5" s="33">
        <f t="shared" ref="AB5:AB11" si="2">STDEV(N13,N21,N37,N45)/2</f>
        <v>3.4333887535980137</v>
      </c>
      <c r="AD5" s="34">
        <f>AVERAGE(M13,M21,M37,M45)</f>
        <v>0.9649217490163926</v>
      </c>
    </row>
    <row r="6" spans="1:30" x14ac:dyDescent="0.25">
      <c r="A6" s="32" t="s">
        <v>150</v>
      </c>
      <c r="B6" s="32" t="s">
        <v>151</v>
      </c>
      <c r="C6" s="32">
        <v>1.75</v>
      </c>
      <c r="D6" s="32">
        <v>0.9</v>
      </c>
      <c r="E6" s="34">
        <v>1.2841079995549123</v>
      </c>
      <c r="F6" s="32">
        <v>29.8</v>
      </c>
      <c r="G6" s="32">
        <v>1.49</v>
      </c>
      <c r="H6" s="32">
        <v>0.121</v>
      </c>
      <c r="J6" s="32" t="s">
        <v>53</v>
      </c>
      <c r="K6" s="34">
        <f>((3*C5)+(7*C6))/10</f>
        <v>1.657</v>
      </c>
      <c r="L6" s="34">
        <f>((3*D5)+(7*D6))/10</f>
        <v>0.85199999999999998</v>
      </c>
      <c r="M6" s="34">
        <f>((3*E5)+(7*E6))/10</f>
        <v>1.1937194914134821</v>
      </c>
      <c r="N6" s="33">
        <f>((3*F5)+(7*F6))/10</f>
        <v>28.27</v>
      </c>
      <c r="O6" s="34">
        <f>((3*G5)+(7*G6))/10</f>
        <v>2.5819999999999999</v>
      </c>
      <c r="P6" s="34">
        <f>((3*H5)+(7*H6))/10</f>
        <v>0.2041</v>
      </c>
      <c r="Q6" s="35">
        <f t="shared" ref="Q6" si="3">(O6*10)*100*100*10*L6/1000000</f>
        <v>2.1998639999999998</v>
      </c>
      <c r="R6" s="35">
        <f t="shared" ref="R6:R7" si="4">(P6*10)*100*100*10*L6/1000000</f>
        <v>0.17389319999999997</v>
      </c>
      <c r="S6" s="35" t="s">
        <v>241</v>
      </c>
      <c r="T6" s="35">
        <f>SUM(R5:R9)</f>
        <v>0.75887146999999999</v>
      </c>
      <c r="V6" s="32" t="s">
        <v>53</v>
      </c>
      <c r="W6" s="34">
        <f>AVERAGE(K14,K22,K38,K46)</f>
        <v>1.59</v>
      </c>
      <c r="X6" s="34">
        <f>AVERAGE(L14,L22,L38,L46)</f>
        <v>0.96949999999999992</v>
      </c>
      <c r="Y6" s="34">
        <f t="shared" si="0"/>
        <v>9.3167859264877695E-2</v>
      </c>
      <c r="AA6" s="33">
        <f t="shared" si="1"/>
        <v>22.9</v>
      </c>
      <c r="AB6" s="33">
        <f t="shared" si="2"/>
        <v>4.1200728148905359</v>
      </c>
      <c r="AD6" s="34">
        <f>AVERAGE(M14,M22,M38,M46)</f>
        <v>1.2606953740766651</v>
      </c>
    </row>
    <row r="7" spans="1:30" x14ac:dyDescent="0.25">
      <c r="A7" s="32" t="s">
        <v>152</v>
      </c>
      <c r="B7" s="32" t="s">
        <v>153</v>
      </c>
      <c r="C7" s="32">
        <v>1.84</v>
      </c>
      <c r="D7" s="32">
        <v>1.1100000000000001</v>
      </c>
      <c r="E7" s="34">
        <v>1.4964750561359124</v>
      </c>
      <c r="F7" s="32">
        <v>25.8</v>
      </c>
      <c r="G7" s="32">
        <v>0.46</v>
      </c>
      <c r="H7" s="32">
        <v>3.6999999999999998E-2</v>
      </c>
      <c r="J7" s="32" t="s">
        <v>54</v>
      </c>
      <c r="K7" s="34">
        <f>((4*C6)+(6*C7))/10</f>
        <v>1.8039999999999998</v>
      </c>
      <c r="L7" s="34">
        <f>((4*D6)+(6*D7))/10</f>
        <v>1.026</v>
      </c>
      <c r="M7" s="34">
        <f>((4*E6)+(6*E7))/10</f>
        <v>1.4115282335035124</v>
      </c>
      <c r="N7" s="33">
        <f>((4*F6)+(6*F7))/10</f>
        <v>27.4</v>
      </c>
      <c r="O7" s="34">
        <f>((4*G6)+(6*G7))/10</f>
        <v>0.87200000000000011</v>
      </c>
      <c r="P7" s="34">
        <f>((4*H6)+(6*H7))/10</f>
        <v>7.0599999999999996E-2</v>
      </c>
      <c r="Q7" s="35">
        <f>(O7*10)*100*100*10*L7/1000000</f>
        <v>0.89467200000000013</v>
      </c>
      <c r="R7" s="35">
        <f t="shared" si="4"/>
        <v>7.2435599999999989E-2</v>
      </c>
      <c r="S7" s="35" t="s">
        <v>227</v>
      </c>
      <c r="T7" s="35">
        <f>T5/T6</f>
        <v>12.654525541723158</v>
      </c>
      <c r="V7" s="32" t="s">
        <v>54</v>
      </c>
      <c r="W7" s="34">
        <f>AVERAGE(K15,K23,K39,K47)</f>
        <v>1.6055000000000001</v>
      </c>
      <c r="X7" s="34">
        <f>AVERAGE(L15,L23,L39,L47)</f>
        <v>1.1877499999999999</v>
      </c>
      <c r="Y7" s="34">
        <f t="shared" si="0"/>
        <v>9.7979908654785536E-2</v>
      </c>
      <c r="AA7" s="33">
        <f t="shared" si="1"/>
        <v>15.5075</v>
      </c>
      <c r="AB7" s="33">
        <f t="shared" si="2"/>
        <v>6.0984197065032077</v>
      </c>
      <c r="AD7" s="34">
        <f>AVERAGE(M15,M23,M39,M47)</f>
        <v>1.4001447407434584</v>
      </c>
    </row>
    <row r="8" spans="1:30" x14ac:dyDescent="0.25">
      <c r="A8" s="32" t="s">
        <v>154</v>
      </c>
      <c r="B8" s="32" t="s">
        <v>155</v>
      </c>
      <c r="C8" s="32">
        <v>1.84</v>
      </c>
      <c r="D8" s="32">
        <v>0.94</v>
      </c>
      <c r="E8" s="34">
        <v>1.3760675131030886</v>
      </c>
      <c r="F8" s="32">
        <v>31.4</v>
      </c>
      <c r="G8" s="32">
        <v>0.46</v>
      </c>
      <c r="H8" s="32">
        <v>3.7999999999999999E-2</v>
      </c>
      <c r="J8" s="32" t="s">
        <v>55</v>
      </c>
      <c r="K8" s="34">
        <f>((13*C7)+(7*C8))/20</f>
        <v>1.8400000000000003</v>
      </c>
      <c r="L8" s="34">
        <f>((13*D7)+(7*D8))/20</f>
        <v>1.0505</v>
      </c>
      <c r="M8" s="34">
        <f>((13*E7)+(7*E8))/20</f>
        <v>1.4543324160744242</v>
      </c>
      <c r="N8" s="33">
        <f>((13*F7)+(7*F8))/20</f>
        <v>27.76</v>
      </c>
      <c r="O8" s="34">
        <f>((13*G7)+(7*G8))/20</f>
        <v>0.46000000000000008</v>
      </c>
      <c r="P8" s="34">
        <f>((13*H7)+(7*H8))/20</f>
        <v>3.7350000000000001E-2</v>
      </c>
      <c r="Q8" s="35">
        <f>(O8*10)*100*100*20*L8/1000000</f>
        <v>0.9664600000000001</v>
      </c>
      <c r="R8" s="35">
        <f>(P8*10)*100*100*20*L8/1000000</f>
        <v>7.847235000000001E-2</v>
      </c>
      <c r="S8" s="35"/>
      <c r="V8" s="32" t="s">
        <v>55</v>
      </c>
      <c r="W8" s="34">
        <f>AVERAGE(K16,K24,K40,K48)</f>
        <v>1.608625</v>
      </c>
      <c r="X8" s="34">
        <f>AVERAGE(L16,L24,L40,L48)</f>
        <v>1.2857499999999999</v>
      </c>
      <c r="Y8" s="34">
        <f t="shared" si="0"/>
        <v>7.9496462185432701E-2</v>
      </c>
      <c r="AA8" s="33">
        <f t="shared" si="1"/>
        <v>11.882500000000002</v>
      </c>
      <c r="AB8" s="33">
        <f t="shared" si="2"/>
        <v>4.5173777884225412</v>
      </c>
      <c r="AD8" s="34">
        <f>AVERAGE(M16,M24,M40,M48)</f>
        <v>1.4362306607897861</v>
      </c>
    </row>
    <row r="9" spans="1:30" x14ac:dyDescent="0.25">
      <c r="A9" s="32" t="s">
        <v>156</v>
      </c>
      <c r="B9" s="32" t="s">
        <v>157</v>
      </c>
      <c r="C9" s="32">
        <v>1.59</v>
      </c>
      <c r="D9" s="32">
        <v>1.1100000000000001</v>
      </c>
      <c r="E9" s="34">
        <v>1.3363570452491786</v>
      </c>
      <c r="F9" s="32">
        <v>16.899999999999999</v>
      </c>
      <c r="G9" s="32">
        <v>0.27</v>
      </c>
      <c r="H9" s="32">
        <v>2.1000000000000001E-2</v>
      </c>
      <c r="J9" s="32" t="s">
        <v>56</v>
      </c>
      <c r="K9" s="34">
        <f>((16*C8)+(34*C9))/50</f>
        <v>1.67</v>
      </c>
      <c r="L9" s="34">
        <f>((16*D8)+(34*D9))/50</f>
        <v>1.0556000000000001</v>
      </c>
      <c r="M9" s="34">
        <f>((16*E8)+(34*E9))/50</f>
        <v>1.3490643949624299</v>
      </c>
      <c r="N9" s="33">
        <f>((16*F8)+(34*F9))/50</f>
        <v>21.54</v>
      </c>
      <c r="O9" s="34">
        <f>((16*G8)+(34*G9))/50</f>
        <v>0.33079999999999998</v>
      </c>
      <c r="P9" s="34">
        <f>((16*H8)+(34*H9))/50</f>
        <v>2.6440000000000002E-2</v>
      </c>
      <c r="Q9" s="35">
        <f>(O9*10)*100*100*50*L9/1000000</f>
        <v>1.7459623999999996</v>
      </c>
      <c r="R9" s="35">
        <f>(P9*10)*100*100*50*L9/1000000</f>
        <v>0.13955032000000001</v>
      </c>
      <c r="S9" s="35"/>
      <c r="V9" s="32" t="s">
        <v>56</v>
      </c>
      <c r="W9" s="34">
        <f>AVERAGE(K17,K25,K41,K49)</f>
        <v>1.5719497781378085</v>
      </c>
      <c r="X9" s="34">
        <f>AVERAGE(L17,L25,L41,L49)</f>
        <v>1.3718694142112708</v>
      </c>
      <c r="Y9" s="34">
        <f t="shared" si="0"/>
        <v>4.7365061625678315E-2</v>
      </c>
      <c r="AA9" s="33">
        <f t="shared" si="1"/>
        <v>7.1630000000000003</v>
      </c>
      <c r="AB9" s="33">
        <f t="shared" si="2"/>
        <v>3.5948049089391945</v>
      </c>
      <c r="AD9" s="34">
        <f>AVERAGE(M17,M25,M41,M49)</f>
        <v>1.4478906960347426</v>
      </c>
    </row>
    <row r="10" spans="1:30" x14ac:dyDescent="0.25">
      <c r="J10" s="32" t="s">
        <v>57</v>
      </c>
      <c r="K10" s="34">
        <f>C9</f>
        <v>1.59</v>
      </c>
      <c r="L10" s="34">
        <f>D9</f>
        <v>1.1100000000000001</v>
      </c>
      <c r="M10" s="34">
        <f>E9</f>
        <v>1.3363570452491786</v>
      </c>
      <c r="N10" s="33">
        <f>F9</f>
        <v>16.899999999999999</v>
      </c>
      <c r="O10" s="34">
        <f>G9</f>
        <v>0.27</v>
      </c>
      <c r="P10" s="34">
        <f>H9</f>
        <v>2.1000000000000001E-2</v>
      </c>
      <c r="Q10" s="35">
        <f>(O10*10)*100*100*50*L10/1000000</f>
        <v>1.4985000000000002</v>
      </c>
      <c r="R10" s="35">
        <f t="shared" ref="R10" si="5">(P10*10)*100*100*50*L10/1000000</f>
        <v>0.11655000000000004</v>
      </c>
      <c r="S10" s="35"/>
      <c r="V10" s="32" t="s">
        <v>57</v>
      </c>
      <c r="W10" s="34">
        <f>AVERAGE(K18,K26,K42,K50)</f>
        <v>1.4244414078274432</v>
      </c>
      <c r="X10" s="34">
        <f>AVERAGE(L18,L26,L42,L50)</f>
        <v>1.3989143165798161</v>
      </c>
      <c r="Y10" s="34">
        <f t="shared" si="0"/>
        <v>7.8556475430063485E-2</v>
      </c>
      <c r="AA10" s="33">
        <f t="shared" si="1"/>
        <v>0.95950000000000002</v>
      </c>
      <c r="AB10" s="33">
        <f t="shared" si="2"/>
        <v>0.58884088116683386</v>
      </c>
      <c r="AD10" s="34">
        <f>AVERAGE(M18,M26,M42,M50)</f>
        <v>1.4457674247628549</v>
      </c>
    </row>
    <row r="11" spans="1:30" x14ac:dyDescent="0.25">
      <c r="A11" s="32" t="s">
        <v>174</v>
      </c>
      <c r="K11" s="34"/>
      <c r="L11" s="34"/>
      <c r="M11" s="34"/>
      <c r="N11" s="33"/>
      <c r="O11" s="34"/>
      <c r="P11" s="34"/>
      <c r="Q11" s="35"/>
      <c r="R11" s="35"/>
      <c r="S11" s="35"/>
      <c r="V11" s="32" t="s">
        <v>58</v>
      </c>
      <c r="W11" s="34">
        <f>AVERAGE(K19,K27,K43,K51)</f>
        <v>1.385</v>
      </c>
      <c r="X11" s="34">
        <f>AVERAGE(L19,L27,L43,L51)</f>
        <v>1.38</v>
      </c>
      <c r="Y11" s="34">
        <f t="shared" si="0"/>
        <v>9.1104335791443655E-2</v>
      </c>
      <c r="AA11" s="33">
        <f t="shared" si="1"/>
        <v>0.2</v>
      </c>
      <c r="AB11" s="33">
        <f t="shared" si="2"/>
        <v>0.2</v>
      </c>
      <c r="AD11" s="34">
        <f>AVERAGE(M19,M27,M43,M51)</f>
        <v>1.4331986779930224</v>
      </c>
    </row>
    <row r="12" spans="1:30" x14ac:dyDescent="0.25">
      <c r="A12" s="32" t="s">
        <v>163</v>
      </c>
      <c r="B12" s="32" t="s">
        <v>149</v>
      </c>
      <c r="C12" s="32">
        <v>1.44</v>
      </c>
      <c r="D12" s="32">
        <v>0.85</v>
      </c>
      <c r="E12" s="34">
        <v>1.0873353992255717</v>
      </c>
      <c r="F12" s="32">
        <v>21.7</v>
      </c>
      <c r="G12" s="32">
        <v>2.68</v>
      </c>
      <c r="H12" s="32">
        <v>0.16200000000000001</v>
      </c>
      <c r="N12" s="33"/>
      <c r="O12" s="34"/>
      <c r="P12" s="34"/>
    </row>
    <row r="13" spans="1:30" x14ac:dyDescent="0.25">
      <c r="A13" s="32" t="s">
        <v>164</v>
      </c>
      <c r="B13" s="32" t="s">
        <v>151</v>
      </c>
      <c r="C13" s="32">
        <v>1.33</v>
      </c>
      <c r="D13" s="32">
        <v>0.83</v>
      </c>
      <c r="E13" s="34">
        <v>1.0140091170182457</v>
      </c>
      <c r="F13" s="32">
        <v>18.5</v>
      </c>
      <c r="G13" s="32">
        <v>1.1399999999999999</v>
      </c>
      <c r="H13" s="32">
        <v>7.1999999999999995E-2</v>
      </c>
      <c r="J13" s="32" t="s">
        <v>52</v>
      </c>
      <c r="K13" s="34">
        <f>C12</f>
        <v>1.44</v>
      </c>
      <c r="L13" s="34">
        <f>D12</f>
        <v>0.85</v>
      </c>
      <c r="M13" s="34">
        <f>E12</f>
        <v>1.0873353992255717</v>
      </c>
      <c r="N13" s="33">
        <f t="shared" ref="N13:N15" si="6">F12</f>
        <v>21.7</v>
      </c>
      <c r="O13" s="34">
        <f>G12</f>
        <v>2.68</v>
      </c>
      <c r="P13" s="34">
        <f>H12</f>
        <v>0.16200000000000001</v>
      </c>
      <c r="Q13" s="35">
        <f>(O13*10)*100*100*10*L13/1000000</f>
        <v>2.278</v>
      </c>
      <c r="R13" s="35">
        <f>(P13*10)*100*100*10*L13/1000000</f>
        <v>0.13769999999999999</v>
      </c>
      <c r="S13" s="35" t="s">
        <v>240</v>
      </c>
      <c r="T13" s="35">
        <f>SUM(Q13:Q17)</f>
        <v>7.521085600000001</v>
      </c>
      <c r="W13" s="32" t="s">
        <v>239</v>
      </c>
      <c r="X13" s="32" t="s">
        <v>239</v>
      </c>
    </row>
    <row r="14" spans="1:30" x14ac:dyDescent="0.25">
      <c r="A14" s="32" t="s">
        <v>165</v>
      </c>
      <c r="B14" s="32" t="s">
        <v>153</v>
      </c>
      <c r="C14" s="32">
        <v>1.51</v>
      </c>
      <c r="D14" s="32">
        <v>1.41</v>
      </c>
      <c r="E14" s="34">
        <v>1.4656674790789421</v>
      </c>
      <c r="F14" s="32">
        <v>3.5</v>
      </c>
      <c r="G14" s="32">
        <v>0.61</v>
      </c>
      <c r="H14" s="32">
        <v>4.9000000000000002E-2</v>
      </c>
      <c r="J14" s="32" t="s">
        <v>53</v>
      </c>
      <c r="K14" s="34">
        <f>C13</f>
        <v>1.33</v>
      </c>
      <c r="L14" s="34">
        <f>D13</f>
        <v>0.83</v>
      </c>
      <c r="M14" s="34">
        <f>E13</f>
        <v>1.0140091170182457</v>
      </c>
      <c r="N14" s="33">
        <f t="shared" si="6"/>
        <v>18.5</v>
      </c>
      <c r="O14" s="34">
        <f>G13</f>
        <v>1.1399999999999999</v>
      </c>
      <c r="P14" s="34">
        <f>H13</f>
        <v>7.1999999999999995E-2</v>
      </c>
      <c r="Q14" s="35">
        <f t="shared" ref="Q14" si="7">(O14*10)*100*100*10*L14/1000000</f>
        <v>0.94619999999999982</v>
      </c>
      <c r="R14" s="35">
        <f t="shared" ref="R14:R15" si="8">(P14*10)*100*100*10*L14/1000000</f>
        <v>5.9760000000000001E-2</v>
      </c>
      <c r="S14" s="35" t="s">
        <v>241</v>
      </c>
      <c r="T14" s="35">
        <f>SUM(R13:R17)</f>
        <v>0.59297520000000004</v>
      </c>
      <c r="W14" s="32" t="s">
        <v>141</v>
      </c>
      <c r="X14" s="32" t="s">
        <v>224</v>
      </c>
    </row>
    <row r="15" spans="1:30" x14ac:dyDescent="0.25">
      <c r="A15" s="32" t="s">
        <v>166</v>
      </c>
      <c r="B15" s="32" t="s">
        <v>155</v>
      </c>
      <c r="C15" s="32">
        <v>1.36</v>
      </c>
      <c r="D15" s="32">
        <v>1.35</v>
      </c>
      <c r="E15" s="34">
        <v>1.3544468877593698</v>
      </c>
      <c r="F15" s="32">
        <v>0.3</v>
      </c>
      <c r="G15" s="32">
        <v>0.28000000000000003</v>
      </c>
      <c r="H15" s="32">
        <v>3.1E-2</v>
      </c>
      <c r="J15" s="32" t="s">
        <v>54</v>
      </c>
      <c r="K15" s="34">
        <f>C14</f>
        <v>1.51</v>
      </c>
      <c r="L15" s="34">
        <f>D14</f>
        <v>1.41</v>
      </c>
      <c r="M15" s="34">
        <f>E14</f>
        <v>1.4656674790789421</v>
      </c>
      <c r="N15" s="33">
        <f t="shared" si="6"/>
        <v>3.5</v>
      </c>
      <c r="O15" s="34">
        <f>G14</f>
        <v>0.61</v>
      </c>
      <c r="P15" s="34">
        <f>H14</f>
        <v>4.9000000000000002E-2</v>
      </c>
      <c r="Q15" s="35">
        <f>(O15*10)*100*100*10*L15/1000000</f>
        <v>0.86009999999999998</v>
      </c>
      <c r="R15" s="35">
        <f t="shared" si="8"/>
        <v>6.9089999999999999E-2</v>
      </c>
      <c r="S15" s="35" t="s">
        <v>227</v>
      </c>
      <c r="T15" s="35">
        <f>T13/T14</f>
        <v>12.683642756054555</v>
      </c>
      <c r="V15" s="32" t="s">
        <v>52</v>
      </c>
      <c r="W15" s="34">
        <f t="shared" ref="W15:X21" si="9">AVERAGE(O13,O21,O37,O45)</f>
        <v>4.7527500000000007</v>
      </c>
      <c r="X15" s="34">
        <f t="shared" si="9"/>
        <v>0.34740000000000004</v>
      </c>
    </row>
    <row r="16" spans="1:30" x14ac:dyDescent="0.25">
      <c r="A16" s="32" t="s">
        <v>167</v>
      </c>
      <c r="B16" s="32" t="s">
        <v>168</v>
      </c>
      <c r="C16" s="32">
        <v>1.21</v>
      </c>
      <c r="D16" s="32">
        <v>1.21</v>
      </c>
      <c r="E16" s="34">
        <v>1.208976897689769</v>
      </c>
      <c r="F16" s="32">
        <v>0</v>
      </c>
      <c r="G16" s="32">
        <v>0.2</v>
      </c>
      <c r="H16" s="32">
        <v>2.1000000000000001E-2</v>
      </c>
      <c r="J16" s="32" t="s">
        <v>55</v>
      </c>
      <c r="K16" s="34">
        <f>C14</f>
        <v>1.51</v>
      </c>
      <c r="L16" s="34">
        <f>D14</f>
        <v>1.41</v>
      </c>
      <c r="M16" s="34">
        <f>E14</f>
        <v>1.4656674790789421</v>
      </c>
      <c r="N16" s="33">
        <f>F14</f>
        <v>3.5</v>
      </c>
      <c r="O16" s="34">
        <f>G14</f>
        <v>0.61</v>
      </c>
      <c r="P16" s="34">
        <f>H14</f>
        <v>4.9000000000000002E-2</v>
      </c>
      <c r="Q16" s="35">
        <f>(O16*10)*100*100*20*L16/1000000</f>
        <v>1.7202</v>
      </c>
      <c r="R16" s="35">
        <f>(P16*10)*100*100*20*L16/1000000</f>
        <v>0.13818</v>
      </c>
      <c r="S16" s="35"/>
      <c r="V16" s="32" t="s">
        <v>53</v>
      </c>
      <c r="W16" s="34">
        <f t="shared" si="9"/>
        <v>1.18825</v>
      </c>
      <c r="X16" s="34">
        <f t="shared" si="9"/>
        <v>9.182499999999999E-2</v>
      </c>
    </row>
    <row r="17" spans="1:24" x14ac:dyDescent="0.25">
      <c r="A17" s="32" t="s">
        <v>169</v>
      </c>
      <c r="B17" s="32" t="s">
        <v>170</v>
      </c>
      <c r="C17" s="32">
        <v>1.1499999999999999</v>
      </c>
      <c r="D17" s="32">
        <v>1.1499999999999999</v>
      </c>
      <c r="E17" s="34">
        <v>1.1529411764705884</v>
      </c>
      <c r="F17" s="32">
        <v>0</v>
      </c>
      <c r="G17" s="32">
        <v>0.15</v>
      </c>
      <c r="H17" s="32">
        <v>1.6E-2</v>
      </c>
      <c r="J17" s="32" t="s">
        <v>56</v>
      </c>
      <c r="K17" s="34">
        <f>((38*C15)+(12*C16))/50</f>
        <v>1.3240000000000001</v>
      </c>
      <c r="L17" s="34">
        <f>((38*D15)+(12*D16))/50</f>
        <v>1.3164000000000002</v>
      </c>
      <c r="M17" s="34">
        <f>((38*E15)+(12*E16))/50</f>
        <v>1.3195340901426655</v>
      </c>
      <c r="N17" s="33">
        <f>((38*F15)+(12*F16))/50</f>
        <v>0.22800000000000001</v>
      </c>
      <c r="O17" s="34">
        <f>((38*G15)+(12*G16))/50</f>
        <v>0.26080000000000003</v>
      </c>
      <c r="P17" s="34">
        <f>((38*H15)+(12*H16))/50</f>
        <v>2.86E-2</v>
      </c>
      <c r="Q17" s="35">
        <f>(O17*10)*100*100*50*L17/1000000</f>
        <v>1.716585600000001</v>
      </c>
      <c r="R17" s="35">
        <f>(P17*10)*100*100*50*L17/1000000</f>
        <v>0.18824520000000003</v>
      </c>
      <c r="S17" s="35"/>
      <c r="V17" s="32" t="s">
        <v>54</v>
      </c>
      <c r="W17" s="34">
        <f t="shared" si="9"/>
        <v>0.69724999999999993</v>
      </c>
      <c r="X17" s="34">
        <f t="shared" si="9"/>
        <v>5.7724999999999999E-2</v>
      </c>
    </row>
    <row r="18" spans="1:24" x14ac:dyDescent="0.25">
      <c r="A18" s="32" t="s">
        <v>171</v>
      </c>
      <c r="B18" s="32" t="s">
        <v>172</v>
      </c>
      <c r="C18" s="32" t="s">
        <v>173</v>
      </c>
      <c r="D18" s="32" t="s">
        <v>173</v>
      </c>
      <c r="F18" s="32" t="s">
        <v>173</v>
      </c>
      <c r="G18" s="32">
        <v>0.99</v>
      </c>
      <c r="H18" s="32">
        <v>1.6E-2</v>
      </c>
      <c r="J18" s="32" t="s">
        <v>57</v>
      </c>
      <c r="K18" s="34">
        <f>((37*C16)+(13*C17))/50</f>
        <v>1.1943999999999999</v>
      </c>
      <c r="L18" s="34">
        <f>((37*D16)+(13*D17))/50</f>
        <v>1.1943999999999999</v>
      </c>
      <c r="M18" s="34">
        <f>((37*E16)+(13*E17))/50</f>
        <v>1.1944076101727821</v>
      </c>
      <c r="N18" s="33">
        <f>((37*F16)+(13*F17))/50</f>
        <v>0</v>
      </c>
      <c r="O18" s="34">
        <f>((37*G16)+(13*G17))/50</f>
        <v>0.187</v>
      </c>
      <c r="P18" s="34">
        <f>((37*H16)+(13*H17))/50</f>
        <v>1.9700000000000002E-2</v>
      </c>
      <c r="Q18" s="35">
        <f>(O18*10)*100*100*50*L18/1000000</f>
        <v>1.1167640000000001</v>
      </c>
      <c r="R18" s="35">
        <f t="shared" ref="R18:R19" si="10">(P18*10)*100*100*50*L18/1000000</f>
        <v>0.1176484</v>
      </c>
      <c r="S18" s="35"/>
      <c r="V18" s="32" t="s">
        <v>55</v>
      </c>
      <c r="W18" s="34">
        <f t="shared" si="9"/>
        <v>0.43362500000000004</v>
      </c>
      <c r="X18" s="34">
        <f t="shared" si="9"/>
        <v>3.8012500000000005E-2</v>
      </c>
    </row>
    <row r="19" spans="1:24" x14ac:dyDescent="0.25">
      <c r="J19" s="32" t="s">
        <v>58</v>
      </c>
      <c r="K19" s="34">
        <f>C17</f>
        <v>1.1499999999999999</v>
      </c>
      <c r="L19" s="34">
        <f>D17</f>
        <v>1.1499999999999999</v>
      </c>
      <c r="M19" s="34">
        <f>E17</f>
        <v>1.1529411764705884</v>
      </c>
      <c r="N19" s="33">
        <f>F17</f>
        <v>0</v>
      </c>
      <c r="O19" s="34">
        <f>G17</f>
        <v>0.15</v>
      </c>
      <c r="P19" s="34">
        <f>H17</f>
        <v>1.6E-2</v>
      </c>
      <c r="Q19" s="35">
        <f>(O19*10)*100*100*50*L19/1000000</f>
        <v>0.86249999999999993</v>
      </c>
      <c r="R19" s="35">
        <f t="shared" si="10"/>
        <v>9.1999999999999998E-2</v>
      </c>
      <c r="S19" s="35"/>
      <c r="V19" s="32" t="s">
        <v>56</v>
      </c>
      <c r="W19" s="34">
        <f t="shared" si="9"/>
        <v>0.22620000000000004</v>
      </c>
      <c r="X19" s="34">
        <f t="shared" si="9"/>
        <v>2.393E-2</v>
      </c>
    </row>
    <row r="20" spans="1:24" x14ac:dyDescent="0.25">
      <c r="A20" s="32" t="s">
        <v>175</v>
      </c>
      <c r="N20" s="33"/>
      <c r="O20" s="34"/>
      <c r="P20" s="34"/>
      <c r="V20" s="32" t="s">
        <v>57</v>
      </c>
      <c r="W20" s="34">
        <f t="shared" si="9"/>
        <v>0.14765</v>
      </c>
      <c r="X20" s="34">
        <f t="shared" si="9"/>
        <v>1.6135000000000004E-2</v>
      </c>
    </row>
    <row r="21" spans="1:24" x14ac:dyDescent="0.25">
      <c r="A21" s="32" t="s">
        <v>176</v>
      </c>
      <c r="B21" s="32" t="s">
        <v>149</v>
      </c>
      <c r="C21" s="32">
        <v>1.1599999999999999</v>
      </c>
      <c r="D21" s="32">
        <v>0.78</v>
      </c>
      <c r="E21" s="34">
        <v>0.91180929061946059</v>
      </c>
      <c r="F21" s="32">
        <v>14.5</v>
      </c>
      <c r="G21" s="32">
        <v>3.69</v>
      </c>
      <c r="H21" s="32">
        <v>0.27500000000000002</v>
      </c>
      <c r="J21" s="32" t="s">
        <v>52</v>
      </c>
      <c r="K21" s="34">
        <f>C21</f>
        <v>1.1599999999999999</v>
      </c>
      <c r="L21" s="34">
        <f>D21</f>
        <v>0.78</v>
      </c>
      <c r="M21" s="34">
        <f>E21</f>
        <v>0.91180929061946059</v>
      </c>
      <c r="N21" s="33">
        <f>F21</f>
        <v>14.5</v>
      </c>
      <c r="O21" s="34">
        <f>G21</f>
        <v>3.69</v>
      </c>
      <c r="P21" s="34">
        <f>H21</f>
        <v>0.27500000000000002</v>
      </c>
      <c r="Q21" s="35">
        <f>(O21*10)*100*100*10*L21/1000000</f>
        <v>2.8782000000000001</v>
      </c>
      <c r="R21" s="35">
        <f>(P21*10)*100*100*10*L21/1000000</f>
        <v>0.2145</v>
      </c>
      <c r="S21" s="35" t="s">
        <v>240</v>
      </c>
      <c r="T21" s="35">
        <f>SUM(Q21:Q25)</f>
        <v>6.247854600000001</v>
      </c>
      <c r="V21" s="32" t="s">
        <v>58</v>
      </c>
      <c r="W21" s="34">
        <f t="shared" si="9"/>
        <v>0.13</v>
      </c>
      <c r="X21" s="34">
        <f t="shared" si="9"/>
        <v>1.4499999999999999E-2</v>
      </c>
    </row>
    <row r="22" spans="1:24" x14ac:dyDescent="0.25">
      <c r="A22" s="32" t="s">
        <v>177</v>
      </c>
      <c r="B22" s="32" t="s">
        <v>151</v>
      </c>
      <c r="C22" s="32">
        <v>1.86</v>
      </c>
      <c r="D22" s="32">
        <v>1</v>
      </c>
      <c r="E22" s="34">
        <v>1.5009057625044935</v>
      </c>
      <c r="F22" s="32">
        <v>33.5</v>
      </c>
      <c r="G22" s="32">
        <v>0.66</v>
      </c>
      <c r="H22" s="32">
        <v>5.1999999999999998E-2</v>
      </c>
      <c r="J22" s="32" t="s">
        <v>53</v>
      </c>
      <c r="K22" s="34">
        <f>((1*C21)+(9*C22))/10</f>
        <v>1.7900000000000003</v>
      </c>
      <c r="L22" s="34">
        <f>((1*D21)+(9*D22))/10</f>
        <v>0.97799999999999998</v>
      </c>
      <c r="M22" s="34">
        <f>((1*E21)+(9*E22))/10</f>
        <v>1.4419961153159901</v>
      </c>
      <c r="N22" s="33">
        <f>((1*F21)+(9*F22))/10</f>
        <v>31.6</v>
      </c>
      <c r="O22" s="34">
        <f>((1*G21)+(9*G22))/10</f>
        <v>0.96300000000000008</v>
      </c>
      <c r="P22" s="34">
        <f>((1*H21)+(9*H22))/10</f>
        <v>7.4300000000000005E-2</v>
      </c>
      <c r="Q22" s="35">
        <f t="shared" ref="Q22" si="11">(O22*10)*100*100*10*L22/1000000</f>
        <v>0.94181400000000015</v>
      </c>
      <c r="R22" s="35">
        <f t="shared" ref="R22:R23" si="12">(P22*10)*100*100*10*L22/1000000</f>
        <v>7.2665400000000005E-2</v>
      </c>
      <c r="S22" s="35" t="s">
        <v>241</v>
      </c>
      <c r="T22" s="35">
        <f>SUM(R21:R25)</f>
        <v>0.52137412999999999</v>
      </c>
    </row>
    <row r="23" spans="1:24" x14ac:dyDescent="0.25">
      <c r="A23" s="32" t="s">
        <v>178</v>
      </c>
      <c r="B23" s="32" t="s">
        <v>153</v>
      </c>
      <c r="C23" s="32">
        <v>1.68</v>
      </c>
      <c r="D23" s="32">
        <v>0.87</v>
      </c>
      <c r="E23" s="34">
        <v>1.2681008562158136</v>
      </c>
      <c r="F23" s="32">
        <v>31.5</v>
      </c>
      <c r="G23" s="32">
        <v>0.4</v>
      </c>
      <c r="H23" s="32">
        <v>3.5000000000000003E-2</v>
      </c>
      <c r="J23" s="32" t="s">
        <v>54</v>
      </c>
      <c r="K23" s="34">
        <f>((5*C22)+(5*C23))/10</f>
        <v>1.7700000000000002</v>
      </c>
      <c r="L23" s="34">
        <f>((5*D22)+(5*D23))/10</f>
        <v>0.93499999999999994</v>
      </c>
      <c r="M23" s="34">
        <f>((5*E22)+(5*E23))/10</f>
        <v>1.3845033093601535</v>
      </c>
      <c r="N23" s="33">
        <f>((5*F22)+(5*F23))/10</f>
        <v>32.5</v>
      </c>
      <c r="O23" s="34">
        <f>((5*G22)+(5*G23))/10</f>
        <v>0.53</v>
      </c>
      <c r="P23" s="34">
        <f>((5*H22)+(5*H23))/10</f>
        <v>4.3500000000000004E-2</v>
      </c>
      <c r="Q23" s="35">
        <f>(O23*10)*100*100*10*L23/1000000</f>
        <v>0.49555000000000005</v>
      </c>
      <c r="R23" s="35">
        <f t="shared" si="12"/>
        <v>4.0672500000000007E-2</v>
      </c>
      <c r="S23" s="35" t="s">
        <v>227</v>
      </c>
      <c r="T23" s="35">
        <f>T21/T22</f>
        <v>11.98343807353848</v>
      </c>
      <c r="V23" s="32" t="s">
        <v>237</v>
      </c>
      <c r="W23" s="34">
        <f>SUM(W15:W19)</f>
        <v>7.2980750000000016</v>
      </c>
      <c r="X23" s="34">
        <f>SUM(X15:X19)</f>
        <v>0.55889250000000001</v>
      </c>
    </row>
    <row r="24" spans="1:24" x14ac:dyDescent="0.25">
      <c r="A24" s="32" t="s">
        <v>179</v>
      </c>
      <c r="B24" s="32" t="s">
        <v>155</v>
      </c>
      <c r="C24" s="32">
        <v>1.64</v>
      </c>
      <c r="D24" s="32">
        <v>1.24</v>
      </c>
      <c r="E24" s="34">
        <v>1.4650273587371039</v>
      </c>
      <c r="F24" s="32">
        <v>15.6</v>
      </c>
      <c r="G24" s="32">
        <v>0.26</v>
      </c>
      <c r="H24" s="32">
        <v>2.5999999999999999E-2</v>
      </c>
      <c r="J24" s="32" t="s">
        <v>55</v>
      </c>
      <c r="K24" s="34">
        <f>((9*C23)+(11*C24))/20</f>
        <v>1.6579999999999999</v>
      </c>
      <c r="L24" s="34">
        <f>((9*D23)+(11*D24))/20</f>
        <v>1.0734999999999999</v>
      </c>
      <c r="M24" s="34">
        <f>((9*E23)+(11*E24))/20</f>
        <v>1.3764104326025233</v>
      </c>
      <c r="N24" s="33">
        <f>((9*F23)+(11*F24))/20</f>
        <v>22.755000000000003</v>
      </c>
      <c r="O24" s="34">
        <f>((9*G23)+(11*G24))/20</f>
        <v>0.32300000000000006</v>
      </c>
      <c r="P24" s="34">
        <f>((9*H23)+(11*H24))/20</f>
        <v>3.005E-2</v>
      </c>
      <c r="Q24" s="35">
        <f>(O24*10)*100*100*20*L24/1000000</f>
        <v>0.69348100000000013</v>
      </c>
      <c r="R24" s="35">
        <f>(P24*10)*100*100*20*L24/1000000</f>
        <v>6.4517349999999987E-2</v>
      </c>
      <c r="S24" s="35"/>
      <c r="V24" s="32" t="s">
        <v>238</v>
      </c>
      <c r="W24" s="35">
        <f>W23/X23</f>
        <v>13.058101513260603</v>
      </c>
    </row>
    <row r="25" spans="1:24" x14ac:dyDescent="0.25">
      <c r="A25" s="32" t="s">
        <v>180</v>
      </c>
      <c r="B25" s="32" t="s">
        <v>168</v>
      </c>
      <c r="C25" s="32">
        <v>1.57</v>
      </c>
      <c r="D25" s="32">
        <v>1.5</v>
      </c>
      <c r="E25" s="34">
        <v>1.5270523603884163</v>
      </c>
      <c r="F25" s="32">
        <v>2.9</v>
      </c>
      <c r="G25" s="32">
        <v>0.14000000000000001</v>
      </c>
      <c r="H25" s="32">
        <v>1.4999999999999999E-2</v>
      </c>
      <c r="J25" s="32" t="s">
        <v>56</v>
      </c>
      <c r="K25" s="34">
        <f>((14*C24)+(36*C25))/50</f>
        <v>1.5896000000000001</v>
      </c>
      <c r="L25" s="34">
        <f>((14*D24)+(36*D25))/50</f>
        <v>1.4272</v>
      </c>
      <c r="M25" s="34">
        <f>((14*E24)+(36*E25))/50</f>
        <v>1.5096853599260489</v>
      </c>
      <c r="N25" s="33">
        <f>((14*F24)+(36*F25))/50</f>
        <v>6.4560000000000004</v>
      </c>
      <c r="O25" s="34">
        <f>((14*G24)+(36*G25))/50</f>
        <v>0.17360000000000003</v>
      </c>
      <c r="P25" s="34">
        <f>((14*H24)+(36*H25))/50</f>
        <v>1.8079999999999999E-2</v>
      </c>
      <c r="Q25" s="35">
        <f>(O25*10)*100*100*50*L25/1000000</f>
        <v>1.2388096000000004</v>
      </c>
      <c r="R25" s="35">
        <f>(P25*10)*100*100*50*L25/1000000</f>
        <v>0.12901887999999997</v>
      </c>
      <c r="S25" s="35"/>
    </row>
    <row r="26" spans="1:24" x14ac:dyDescent="0.25">
      <c r="A26" s="32" t="s">
        <v>181</v>
      </c>
      <c r="B26" s="32" t="s">
        <v>182</v>
      </c>
      <c r="C26" s="32">
        <v>1.35</v>
      </c>
      <c r="D26" s="32">
        <v>1.33</v>
      </c>
      <c r="E26" s="34">
        <v>1.5592136341247256</v>
      </c>
      <c r="F26" s="32">
        <v>0.8</v>
      </c>
      <c r="G26" s="32">
        <v>0.14000000000000001</v>
      </c>
      <c r="H26" s="32">
        <v>1.2999999999999999E-2</v>
      </c>
      <c r="J26" s="32" t="s">
        <v>57</v>
      </c>
      <c r="K26" s="34">
        <f>((15*C25)+(35*C26))/50</f>
        <v>1.4159999999999999</v>
      </c>
      <c r="L26" s="34">
        <f>((15*D25)+(35*D26))/50</f>
        <v>1.3810000000000002</v>
      </c>
      <c r="M26" s="34">
        <f>((15*E25)+(35*E26))/50</f>
        <v>1.5495652520038328</v>
      </c>
      <c r="N26" s="33">
        <f>((15*F25)+(35*F26))/50</f>
        <v>1.43</v>
      </c>
      <c r="O26" s="34">
        <f>((15*G25)+(35*G26))/50</f>
        <v>0.14000000000000001</v>
      </c>
      <c r="P26" s="34">
        <f>((15*H25)+(35*H26))/50</f>
        <v>1.3599999999999999E-2</v>
      </c>
      <c r="Q26" s="35">
        <f>(O26*10)*100*100*50*L26/1000000</f>
        <v>0.96670000000000011</v>
      </c>
      <c r="R26" s="35">
        <f t="shared" ref="R26:R27" si="13">(P26*10)*100*100*50*L26/1000000</f>
        <v>9.3908000000000005E-2</v>
      </c>
      <c r="S26" s="35"/>
    </row>
    <row r="27" spans="1:24" x14ac:dyDescent="0.25">
      <c r="A27" s="32" t="s">
        <v>183</v>
      </c>
      <c r="B27" s="32" t="s">
        <v>184</v>
      </c>
      <c r="C27" s="32" t="s">
        <v>185</v>
      </c>
      <c r="D27" s="32" t="s">
        <v>185</v>
      </c>
      <c r="E27" s="34">
        <v>1.3432212434776365</v>
      </c>
      <c r="F27" s="32" t="s">
        <v>185</v>
      </c>
      <c r="G27" s="32">
        <v>7.0000000000000007E-2</v>
      </c>
      <c r="H27" s="32" t="s">
        <v>234</v>
      </c>
      <c r="J27" s="32" t="s">
        <v>58</v>
      </c>
      <c r="K27" s="34">
        <f>C26</f>
        <v>1.35</v>
      </c>
      <c r="L27" s="34">
        <f>D26</f>
        <v>1.33</v>
      </c>
      <c r="M27" s="34">
        <f>E26</f>
        <v>1.5592136341247256</v>
      </c>
      <c r="N27" s="33">
        <f>F26</f>
        <v>0.8</v>
      </c>
      <c r="O27" s="34">
        <f>G26</f>
        <v>0.14000000000000001</v>
      </c>
      <c r="P27" s="34">
        <f>H26</f>
        <v>1.2999999999999999E-2</v>
      </c>
      <c r="Q27" s="35">
        <f>(O27*10)*100*100*50*L27/1000000</f>
        <v>0.93100000000000005</v>
      </c>
      <c r="R27" s="35">
        <f t="shared" si="13"/>
        <v>8.6449999999999999E-2</v>
      </c>
      <c r="S27" s="35"/>
    </row>
    <row r="28" spans="1:24" x14ac:dyDescent="0.25">
      <c r="N28" s="33"/>
      <c r="O28" s="34"/>
      <c r="P28" s="34"/>
    </row>
    <row r="29" spans="1:24" x14ac:dyDescent="0.25">
      <c r="A29" s="32" t="s">
        <v>186</v>
      </c>
      <c r="N29" s="33"/>
      <c r="O29" s="34"/>
      <c r="P29" s="34"/>
    </row>
    <row r="30" spans="1:24" x14ac:dyDescent="0.25">
      <c r="A30" s="32" t="s">
        <v>187</v>
      </c>
      <c r="B30" s="32" t="s">
        <v>149</v>
      </c>
      <c r="C30" s="32">
        <v>1.26</v>
      </c>
      <c r="D30" s="32">
        <v>0.86</v>
      </c>
      <c r="E30" s="34">
        <v>1.012589486021769</v>
      </c>
      <c r="F30" s="32">
        <v>15.2</v>
      </c>
      <c r="G30" s="32">
        <v>6.95</v>
      </c>
      <c r="H30" s="32">
        <v>0.55000000000000004</v>
      </c>
      <c r="J30" s="32" t="s">
        <v>52</v>
      </c>
      <c r="K30" s="34">
        <f>((7*C30)+(3*C31))/10</f>
        <v>1.296</v>
      </c>
      <c r="L30" s="34">
        <f>((7*D30)+(3*D31))/10</f>
        <v>0.87799999999999989</v>
      </c>
      <c r="M30" s="34">
        <f>((7*E30)+(3*E31))/10</f>
        <v>1.0434863783375132</v>
      </c>
      <c r="N30" s="33">
        <f>((7*F30)+(3*F31))/10</f>
        <v>15.919999999999998</v>
      </c>
      <c r="O30" s="34">
        <f>((7*G30)+(3*G31))/10</f>
        <v>5.54</v>
      </c>
      <c r="P30" s="34">
        <f>((7*H30)+(3*H31))/10</f>
        <v>0.44200000000000006</v>
      </c>
      <c r="Q30" s="35">
        <f>(O30*10)*100*100*10*L30/1000000</f>
        <v>4.8641199999999989</v>
      </c>
      <c r="R30" s="35">
        <f>(P30*10)*100*100*10*L30/1000000</f>
        <v>0.38807599999999998</v>
      </c>
      <c r="S30" s="35" t="s">
        <v>240</v>
      </c>
      <c r="T30" s="35">
        <f>SUM(Q30:Q34)</f>
        <v>8.6002999999999972</v>
      </c>
    </row>
    <row r="31" spans="1:24" x14ac:dyDescent="0.25">
      <c r="A31" s="32" t="s">
        <v>188</v>
      </c>
      <c r="B31" s="32" t="s">
        <v>151</v>
      </c>
      <c r="C31" s="32">
        <v>1.38</v>
      </c>
      <c r="D31" s="32">
        <v>0.92</v>
      </c>
      <c r="E31" s="34">
        <v>1.1155791270742494</v>
      </c>
      <c r="F31" s="32">
        <v>17.600000000000001</v>
      </c>
      <c r="G31" s="32">
        <v>2.25</v>
      </c>
      <c r="H31" s="32">
        <v>0.19</v>
      </c>
      <c r="J31" s="32" t="s">
        <v>53</v>
      </c>
      <c r="K31" s="34">
        <f>((4*C31)+(6*C32))/10</f>
        <v>1.4339999999999999</v>
      </c>
      <c r="L31" s="34">
        <f>((4*D31)+(6*D32))/10</f>
        <v>1.0699999999999998</v>
      </c>
      <c r="M31" s="34">
        <f>((4*E31)+(6*E32))/10</f>
        <v>1.2402962716913646</v>
      </c>
      <c r="N31" s="33">
        <f t="shared" ref="N31:N32" si="14">((4*F31)+(6*F32))/10</f>
        <v>14.059999999999999</v>
      </c>
      <c r="O31" s="34">
        <f>((4*G31)+(6*G32))/10</f>
        <v>1.6259999999999999</v>
      </c>
      <c r="P31" s="34">
        <f>((4*H31)+(6*H32))/10</f>
        <v>0.13600000000000001</v>
      </c>
      <c r="Q31" s="35">
        <f t="shared" ref="Q31" si="15">(O31*10)*100*100*10*L31/1000000</f>
        <v>1.7398199999999995</v>
      </c>
      <c r="R31" s="35">
        <f t="shared" ref="R31:R32" si="16">(P31*10)*100*100*10*L31/1000000</f>
        <v>0.14551999999999998</v>
      </c>
      <c r="S31" s="35" t="s">
        <v>241</v>
      </c>
      <c r="T31" s="35">
        <f>SUM(R30:R34)</f>
        <v>0.69023599999999996</v>
      </c>
    </row>
    <row r="32" spans="1:24" x14ac:dyDescent="0.25">
      <c r="A32" s="32" t="s">
        <v>189</v>
      </c>
      <c r="B32" s="32" t="s">
        <v>153</v>
      </c>
      <c r="C32" s="32">
        <v>1.47</v>
      </c>
      <c r="D32" s="32">
        <v>1.17</v>
      </c>
      <c r="E32" s="34">
        <v>1.3234410347694414</v>
      </c>
      <c r="F32" s="32">
        <v>11.7</v>
      </c>
      <c r="G32" s="32">
        <v>1.21</v>
      </c>
      <c r="H32" s="32">
        <v>0.1</v>
      </c>
      <c r="J32" s="32" t="s">
        <v>54</v>
      </c>
      <c r="K32" s="34">
        <f>((4*C32)+(6*C33))/10</f>
        <v>1.4759999999999998</v>
      </c>
      <c r="L32" s="34">
        <f>((4*D32)+(6*D33))/10</f>
        <v>1.1099999999999999</v>
      </c>
      <c r="M32" s="34">
        <f>((4*E32)+(6*E33))/10</f>
        <v>1.2902893984821728</v>
      </c>
      <c r="N32" s="33">
        <f t="shared" si="14"/>
        <v>13.919999999999998</v>
      </c>
      <c r="O32" s="34">
        <f>((4*G32)+(6*G33))/10</f>
        <v>0.79600000000000004</v>
      </c>
      <c r="P32" s="34">
        <f>((4*H32)+(6*H33))/10</f>
        <v>6.4000000000000001E-2</v>
      </c>
      <c r="Q32" s="35">
        <f>(O32*10)*100*100*10*L32/1000000</f>
        <v>0.88356000000000001</v>
      </c>
      <c r="R32" s="35">
        <f t="shared" si="16"/>
        <v>7.1039999999999992E-2</v>
      </c>
      <c r="S32" s="35" t="s">
        <v>227</v>
      </c>
      <c r="T32" s="35">
        <f>T30/T31</f>
        <v>12.459941237489783</v>
      </c>
    </row>
    <row r="33" spans="1:20" x14ac:dyDescent="0.25">
      <c r="A33" s="32" t="s">
        <v>190</v>
      </c>
      <c r="B33" s="32" t="s">
        <v>155</v>
      </c>
      <c r="C33" s="32">
        <v>1.48</v>
      </c>
      <c r="D33" s="32">
        <v>1.07</v>
      </c>
      <c r="E33" s="34">
        <v>1.2681883076239939</v>
      </c>
      <c r="F33" s="32">
        <v>15.4</v>
      </c>
      <c r="G33" s="32">
        <v>0.52</v>
      </c>
      <c r="H33" s="32">
        <v>0.04</v>
      </c>
      <c r="J33" s="32" t="s">
        <v>55</v>
      </c>
      <c r="K33" s="34">
        <f>C33</f>
        <v>1.48</v>
      </c>
      <c r="L33" s="34">
        <f>D33</f>
        <v>1.07</v>
      </c>
      <c r="M33" s="34">
        <f>E33</f>
        <v>1.2681883076239939</v>
      </c>
      <c r="N33" s="33">
        <f>F33</f>
        <v>15.4</v>
      </c>
      <c r="O33" s="34">
        <f>G33</f>
        <v>0.52</v>
      </c>
      <c r="P33" s="34">
        <f>H33</f>
        <v>0.04</v>
      </c>
      <c r="Q33" s="35">
        <f>(O33*10)*100*100*20*L33/1000000</f>
        <v>1.1128</v>
      </c>
      <c r="R33" s="35">
        <f>(P33*10)*100*100*20*L33/1000000</f>
        <v>8.5599999999999996E-2</v>
      </c>
      <c r="S33" s="35"/>
    </row>
    <row r="34" spans="1:20" x14ac:dyDescent="0.25">
      <c r="A34" s="32" t="s">
        <v>191</v>
      </c>
      <c r="B34" s="32" t="s">
        <v>192</v>
      </c>
      <c r="C34" s="32" t="s">
        <v>185</v>
      </c>
      <c r="D34" s="32" t="s">
        <v>185</v>
      </c>
      <c r="F34" s="32" t="s">
        <v>185</v>
      </c>
      <c r="K34" s="34"/>
      <c r="L34" s="34"/>
      <c r="M34" s="34"/>
      <c r="N34" s="33"/>
      <c r="O34" s="34"/>
      <c r="P34" s="34"/>
      <c r="Q34" s="35"/>
      <c r="R34" s="35"/>
      <c r="S34" s="35"/>
    </row>
    <row r="35" spans="1:20" x14ac:dyDescent="0.25">
      <c r="K35" s="34"/>
      <c r="L35" s="34"/>
      <c r="M35" s="34"/>
      <c r="N35" s="33"/>
      <c r="O35" s="34"/>
      <c r="P35" s="34"/>
      <c r="Q35" s="35"/>
      <c r="R35" s="35"/>
      <c r="S35" s="35"/>
    </row>
    <row r="36" spans="1:20" x14ac:dyDescent="0.25">
      <c r="A36" s="32" t="s">
        <v>193</v>
      </c>
      <c r="K36" s="34"/>
      <c r="L36" s="34"/>
      <c r="M36" s="34"/>
      <c r="N36" s="33"/>
      <c r="O36" s="34"/>
      <c r="P36" s="34"/>
      <c r="Q36" s="35"/>
      <c r="R36" s="35"/>
      <c r="S36" s="35"/>
    </row>
    <row r="37" spans="1:20" x14ac:dyDescent="0.25">
      <c r="A37" s="32" t="s">
        <v>194</v>
      </c>
      <c r="B37" s="32" t="s">
        <v>195</v>
      </c>
      <c r="C37" s="32">
        <v>0.5</v>
      </c>
      <c r="D37" s="32">
        <v>0.48</v>
      </c>
      <c r="E37" s="34">
        <v>0.48410606377367554</v>
      </c>
      <c r="F37" s="32">
        <v>0.8</v>
      </c>
      <c r="G37" s="32">
        <v>10.9</v>
      </c>
      <c r="H37" s="32">
        <v>0.81899999999999995</v>
      </c>
      <c r="J37" s="32" t="s">
        <v>52</v>
      </c>
      <c r="K37" s="34">
        <f>((4*C37)+(6*C38))/10</f>
        <v>0.98599999999999999</v>
      </c>
      <c r="L37" s="34">
        <f>((4*D37)+(6*D38))/10</f>
        <v>0.7619999999999999</v>
      </c>
      <c r="M37" s="34">
        <f>((4*E37)+(6*E38))/10</f>
        <v>0.84661303927360565</v>
      </c>
      <c r="N37" s="33">
        <f>((4*F37)+(6*F38))/10</f>
        <v>7.82</v>
      </c>
      <c r="O37" s="34">
        <f>((4*G37)+(6*G38))/10</f>
        <v>6.1779999999999999</v>
      </c>
      <c r="P37" s="34">
        <f>((4*H37)+(6*H38))/10</f>
        <v>0.48360000000000003</v>
      </c>
      <c r="Q37" s="35">
        <f>(O37*10)*100*100*10*L37/1000000</f>
        <v>4.707635999999999</v>
      </c>
      <c r="R37" s="35">
        <f>(P37*10)*100*100*10*L37/1000000</f>
        <v>0.36850319999999998</v>
      </c>
      <c r="S37" s="35" t="s">
        <v>240</v>
      </c>
      <c r="T37" s="35">
        <f>SUM(Q37:Q41)</f>
        <v>9.7375199999999982</v>
      </c>
    </row>
    <row r="38" spans="1:20" x14ac:dyDescent="0.25">
      <c r="A38" s="42" t="s">
        <v>206</v>
      </c>
      <c r="B38" s="32" t="s">
        <v>149</v>
      </c>
      <c r="C38" s="32">
        <v>1.31</v>
      </c>
      <c r="D38" s="32">
        <v>0.95</v>
      </c>
      <c r="E38" s="34">
        <v>1.0882843562735591</v>
      </c>
      <c r="F38" s="32">
        <v>12.5</v>
      </c>
      <c r="G38" s="32">
        <v>3.03</v>
      </c>
      <c r="H38" s="32">
        <v>0.26</v>
      </c>
      <c r="J38" s="32" t="s">
        <v>53</v>
      </c>
      <c r="K38" s="34">
        <f>C39</f>
        <v>1.62</v>
      </c>
      <c r="L38" s="34">
        <f>D39</f>
        <v>1.23</v>
      </c>
      <c r="M38" s="34">
        <f>E39</f>
        <v>1.4254766542596664</v>
      </c>
      <c r="N38" s="33">
        <f>F39</f>
        <v>13.7</v>
      </c>
      <c r="O38" s="34">
        <f>G39</f>
        <v>0.84</v>
      </c>
      <c r="P38" s="34">
        <f>H39</f>
        <v>6.7000000000000004E-2</v>
      </c>
      <c r="Q38" s="35">
        <f t="shared" ref="Q38" si="17">(O38*10)*100*100*10*L38/1000000</f>
        <v>1.0331999999999999</v>
      </c>
      <c r="R38" s="35">
        <f t="shared" ref="R38:R39" si="18">(P38*10)*100*100*10*L38/1000000</f>
        <v>8.2409999999999997E-2</v>
      </c>
      <c r="S38" s="35" t="s">
        <v>241</v>
      </c>
      <c r="T38" s="35">
        <f>SUM(R37:R41)</f>
        <v>0.80476239999999999</v>
      </c>
    </row>
    <row r="39" spans="1:20" x14ac:dyDescent="0.25">
      <c r="A39" s="43" t="s">
        <v>207</v>
      </c>
      <c r="B39" s="32" t="s">
        <v>153</v>
      </c>
      <c r="C39" s="32">
        <v>1.62</v>
      </c>
      <c r="D39" s="32">
        <v>1.23</v>
      </c>
      <c r="E39" s="34">
        <v>1.4254766542596664</v>
      </c>
      <c r="F39" s="32">
        <v>13.7</v>
      </c>
      <c r="G39" s="32">
        <v>0.84</v>
      </c>
      <c r="H39" s="32">
        <v>6.7000000000000004E-2</v>
      </c>
      <c r="J39" s="32" t="s">
        <v>54</v>
      </c>
      <c r="K39" s="34">
        <f>C39</f>
        <v>1.62</v>
      </c>
      <c r="L39" s="34">
        <f>D39</f>
        <v>1.23</v>
      </c>
      <c r="M39" s="34">
        <f>E39</f>
        <v>1.4254766542596664</v>
      </c>
      <c r="N39" s="33">
        <f>F39</f>
        <v>13.7</v>
      </c>
      <c r="O39" s="34">
        <f>G39</f>
        <v>0.84</v>
      </c>
      <c r="P39" s="34">
        <f>H39</f>
        <v>6.7000000000000004E-2</v>
      </c>
      <c r="Q39" s="35">
        <f>(O39*10)*100*100*10*L39/1000000</f>
        <v>1.0331999999999999</v>
      </c>
      <c r="R39" s="35">
        <f t="shared" si="18"/>
        <v>8.2409999999999997E-2</v>
      </c>
      <c r="S39" s="35" t="s">
        <v>227</v>
      </c>
      <c r="T39" s="35">
        <f>T37/T38</f>
        <v>12.099869477003397</v>
      </c>
    </row>
    <row r="40" spans="1:20" x14ac:dyDescent="0.25">
      <c r="A40" s="32" t="s">
        <v>196</v>
      </c>
      <c r="B40" s="32" t="s">
        <v>155</v>
      </c>
      <c r="C40" s="32">
        <v>1.77</v>
      </c>
      <c r="D40" s="32">
        <v>1.27</v>
      </c>
      <c r="E40" s="34">
        <v>1.4147816534024942</v>
      </c>
      <c r="F40" s="32">
        <v>17.2</v>
      </c>
      <c r="G40" s="32">
        <v>0.27</v>
      </c>
      <c r="H40" s="32">
        <v>2.5999999999999999E-2</v>
      </c>
      <c r="J40" s="32" t="s">
        <v>55</v>
      </c>
      <c r="K40" s="34">
        <f>((8*C39)+(12*C40))/20</f>
        <v>1.7100000000000002</v>
      </c>
      <c r="L40" s="34">
        <f>((8*D39)+(12*D40))/20</f>
        <v>1.254</v>
      </c>
      <c r="M40" s="34">
        <f>((8*E39)+(12*E40))/20</f>
        <v>1.419059653745363</v>
      </c>
      <c r="N40" s="33">
        <f>((8*F39)+(12*F40))/20</f>
        <v>15.8</v>
      </c>
      <c r="O40" s="34">
        <f>((8*G39)+(12*G40))/20</f>
        <v>0.49800000000000005</v>
      </c>
      <c r="P40" s="34">
        <f>((8*H39)+(12*H40))/20</f>
        <v>4.2400000000000007E-2</v>
      </c>
      <c r="Q40" s="35">
        <f>(O40*10)*100*100*20*L40/1000000</f>
        <v>1.2489840000000003</v>
      </c>
      <c r="R40" s="35">
        <f>(P40*10)*100*100*20*L40/1000000</f>
        <v>0.10633920000000001</v>
      </c>
      <c r="S40" s="35"/>
    </row>
    <row r="41" spans="1:20" x14ac:dyDescent="0.25">
      <c r="A41" s="32" t="s">
        <v>197</v>
      </c>
      <c r="B41" s="32" t="s">
        <v>192</v>
      </c>
      <c r="C41" s="32" t="s">
        <v>173</v>
      </c>
      <c r="D41" s="32" t="s">
        <v>173</v>
      </c>
      <c r="E41" s="34">
        <v>1.5160231909881421</v>
      </c>
      <c r="F41" s="32">
        <v>100</v>
      </c>
      <c r="G41" s="32" t="s">
        <v>173</v>
      </c>
      <c r="H41" s="32" t="s">
        <v>173</v>
      </c>
      <c r="J41" s="32" t="s">
        <v>56</v>
      </c>
      <c r="K41" s="34">
        <f>C40</f>
        <v>1.77</v>
      </c>
      <c r="L41" s="34">
        <f>D40</f>
        <v>1.27</v>
      </c>
      <c r="M41" s="34">
        <f>E40</f>
        <v>1.4147816534024942</v>
      </c>
      <c r="N41" s="33">
        <f>F40</f>
        <v>17.2</v>
      </c>
      <c r="O41" s="34">
        <f>G40</f>
        <v>0.27</v>
      </c>
      <c r="P41" s="34">
        <f>H40</f>
        <v>2.5999999999999999E-2</v>
      </c>
      <c r="Q41" s="35">
        <f>(O41*10)*100*100*50*L41/1000000</f>
        <v>1.7144999999999999</v>
      </c>
      <c r="R41" s="35">
        <f>(P41*10)*100*100*50*L41/1000000</f>
        <v>0.1651</v>
      </c>
      <c r="S41" s="35"/>
    </row>
    <row r="42" spans="1:20" x14ac:dyDescent="0.25">
      <c r="A42" s="32" t="s">
        <v>198</v>
      </c>
      <c r="B42" s="32" t="s">
        <v>199</v>
      </c>
      <c r="C42" s="32">
        <v>1.57</v>
      </c>
      <c r="D42" s="32">
        <v>1.57</v>
      </c>
      <c r="E42" s="34">
        <v>1.5544249753408663</v>
      </c>
      <c r="F42" s="32">
        <v>0</v>
      </c>
      <c r="G42" s="32">
        <v>0.1</v>
      </c>
      <c r="H42" s="32">
        <v>1.0999999999999999E-2</v>
      </c>
      <c r="J42" s="32" t="s">
        <v>57</v>
      </c>
      <c r="K42" s="34">
        <f>C42</f>
        <v>1.57</v>
      </c>
      <c r="L42" s="34">
        <f>D42</f>
        <v>1.57</v>
      </c>
      <c r="M42" s="34">
        <f>E42</f>
        <v>1.5544249753408663</v>
      </c>
      <c r="N42" s="33">
        <f>F42</f>
        <v>0</v>
      </c>
      <c r="O42" s="34">
        <f>G42</f>
        <v>0.1</v>
      </c>
      <c r="P42" s="34">
        <f>H42</f>
        <v>1.0999999999999999E-2</v>
      </c>
      <c r="Q42" s="35">
        <f>(O42*10)*100*100*50*L42/1000000</f>
        <v>0.78500000000000003</v>
      </c>
      <c r="R42" s="35">
        <f t="shared" ref="R42:R43" si="19">(P42*10)*100*100*50*L42/1000000</f>
        <v>8.6349999999999982E-2</v>
      </c>
      <c r="S42" s="35"/>
    </row>
    <row r="43" spans="1:20" x14ac:dyDescent="0.25">
      <c r="E43" s="34">
        <v>1.5716728971962617</v>
      </c>
      <c r="J43" s="32" t="s">
        <v>58</v>
      </c>
      <c r="K43" s="34">
        <f>C42</f>
        <v>1.57</v>
      </c>
      <c r="L43" s="34">
        <f>D42</f>
        <v>1.57</v>
      </c>
      <c r="M43" s="34">
        <f>E42</f>
        <v>1.5544249753408663</v>
      </c>
      <c r="N43" s="33">
        <f>F42</f>
        <v>0</v>
      </c>
      <c r="O43" s="34">
        <f>G42</f>
        <v>0.1</v>
      </c>
      <c r="P43" s="34">
        <f>H42</f>
        <v>1.0999999999999999E-2</v>
      </c>
      <c r="Q43" s="35">
        <f>(O43*10)*100*100*50*L43/1000000</f>
        <v>0.78500000000000003</v>
      </c>
      <c r="R43" s="35">
        <f t="shared" si="19"/>
        <v>8.6349999999999982E-2</v>
      </c>
      <c r="S43" s="35"/>
    </row>
    <row r="44" spans="1:20" x14ac:dyDescent="0.25">
      <c r="A44" s="32" t="s">
        <v>205</v>
      </c>
      <c r="N44" s="33"/>
      <c r="O44" s="34"/>
      <c r="P44" s="34"/>
    </row>
    <row r="45" spans="1:20" x14ac:dyDescent="0.25">
      <c r="A45" s="32" t="s">
        <v>200</v>
      </c>
      <c r="B45" s="32" t="s">
        <v>149</v>
      </c>
      <c r="C45" s="32">
        <v>1.08</v>
      </c>
      <c r="D45" s="32">
        <v>0.95</v>
      </c>
      <c r="E45" s="34">
        <v>0.99755478441739676</v>
      </c>
      <c r="F45" s="32">
        <v>4.5999999999999996</v>
      </c>
      <c r="G45" s="32">
        <v>6.98</v>
      </c>
      <c r="H45" s="32">
        <v>0.504</v>
      </c>
      <c r="J45" s="32" t="s">
        <v>52</v>
      </c>
      <c r="K45" s="34">
        <f>((9*C45)+(1*C46))/10</f>
        <v>1.1339999999999999</v>
      </c>
      <c r="L45" s="34">
        <f>((9*D45)+(1*D46))/10</f>
        <v>0.93899999999999983</v>
      </c>
      <c r="M45" s="34">
        <f>((9*E45)+(1*E46))/10</f>
        <v>1.0139292669469329</v>
      </c>
      <c r="N45" s="33">
        <f>((9*F45)+(1*F46))/10</f>
        <v>6.92</v>
      </c>
      <c r="O45" s="34">
        <f>((9*G45)+(1*G46))/10</f>
        <v>6.463000000000001</v>
      </c>
      <c r="P45" s="34">
        <f>((9*H45)+(1*H46))/10</f>
        <v>0.46899999999999997</v>
      </c>
      <c r="Q45" s="35">
        <f>(O45*10)*100*100*10*L45/1000000</f>
        <v>6.0687569999999997</v>
      </c>
      <c r="R45" s="35">
        <f>(P45*10)*100*100*10*L45/1000000</f>
        <v>0.44039099999999987</v>
      </c>
      <c r="S45" s="35" t="s">
        <v>240</v>
      </c>
      <c r="T45" s="35">
        <f>SUM(Q45:Q49)</f>
        <v>10.870504912158776</v>
      </c>
    </row>
    <row r="46" spans="1:20" x14ac:dyDescent="0.25">
      <c r="A46" s="42" t="s">
        <v>208</v>
      </c>
      <c r="B46" s="32" t="s">
        <v>151</v>
      </c>
      <c r="C46" s="32">
        <v>1.62</v>
      </c>
      <c r="D46" s="32">
        <v>0.84</v>
      </c>
      <c r="E46" s="34">
        <v>1.1612996097127584</v>
      </c>
      <c r="F46" s="32">
        <v>27.8</v>
      </c>
      <c r="G46" s="32">
        <v>1.81</v>
      </c>
      <c r="H46" s="32">
        <v>0.154</v>
      </c>
      <c r="J46" s="32" t="s">
        <v>53</v>
      </c>
      <c r="K46" s="34">
        <f>C46</f>
        <v>1.62</v>
      </c>
      <c r="L46" s="34">
        <f>D46</f>
        <v>0.84</v>
      </c>
      <c r="M46" s="34">
        <f>E46</f>
        <v>1.1612996097127584</v>
      </c>
      <c r="N46" s="33">
        <f>F46</f>
        <v>27.8</v>
      </c>
      <c r="O46" s="34">
        <f>G46</f>
        <v>1.81</v>
      </c>
      <c r="P46" s="34">
        <f>H46</f>
        <v>0.154</v>
      </c>
      <c r="Q46" s="35">
        <f t="shared" ref="Q46" si="20">(O46*10)*100*100*10*L46/1000000</f>
        <v>1.5204000000000002</v>
      </c>
      <c r="R46" s="35">
        <f t="shared" ref="R46:R47" si="21">(P46*10)*100*100*10*L46/1000000</f>
        <v>0.12936</v>
      </c>
      <c r="S46" s="35" t="s">
        <v>241</v>
      </c>
      <c r="T46" s="35">
        <f>SUM(R45:R49)</f>
        <v>0.90952470606855351</v>
      </c>
    </row>
    <row r="47" spans="1:20" x14ac:dyDescent="0.25">
      <c r="A47" s="32" t="s">
        <v>201</v>
      </c>
      <c r="B47" s="32" t="s">
        <v>153</v>
      </c>
      <c r="C47" s="32">
        <v>1.48</v>
      </c>
      <c r="D47" s="32">
        <v>1.32</v>
      </c>
      <c r="E47" s="34">
        <v>1.395059481944634</v>
      </c>
      <c r="F47" s="32">
        <v>5.7</v>
      </c>
      <c r="G47" s="32">
        <v>0.38</v>
      </c>
      <c r="H47" s="32">
        <v>3.5999999999999997E-2</v>
      </c>
      <c r="J47" s="32" t="s">
        <v>54</v>
      </c>
      <c r="K47" s="34">
        <f>((3*C46)+(7*C47))/10</f>
        <v>1.5219999999999998</v>
      </c>
      <c r="L47" s="34">
        <f>((3*D46)+(7*D47))/10</f>
        <v>1.1759999999999999</v>
      </c>
      <c r="M47" s="34">
        <f>((3*E46)+(7*E47))/10</f>
        <v>1.3249315202750716</v>
      </c>
      <c r="N47" s="33">
        <f>((3*F46)+(7*F47))/10</f>
        <v>12.330000000000002</v>
      </c>
      <c r="O47" s="34">
        <f>((3*G46)+(7*G47))/10</f>
        <v>0.80899999999999994</v>
      </c>
      <c r="P47" s="34">
        <f>((3*H46)+(7*H47))/10</f>
        <v>7.1399999999999991E-2</v>
      </c>
      <c r="Q47" s="35">
        <f>(O47*10)*100*100*10*L47/1000000</f>
        <v>0.95138400000000001</v>
      </c>
      <c r="R47" s="35">
        <f t="shared" si="21"/>
        <v>8.3966399999999983E-2</v>
      </c>
      <c r="S47" s="35" t="s">
        <v>227</v>
      </c>
      <c r="T47" s="35">
        <f>T45/T46</f>
        <v>11.951852258249083</v>
      </c>
    </row>
    <row r="48" spans="1:20" x14ac:dyDescent="0.25">
      <c r="A48" s="32" t="s">
        <v>202</v>
      </c>
      <c r="B48" s="32" t="s">
        <v>155</v>
      </c>
      <c r="C48" s="32">
        <v>1.65</v>
      </c>
      <c r="D48" s="32">
        <v>1.51</v>
      </c>
      <c r="E48" s="34">
        <v>1.592227472583928</v>
      </c>
      <c r="F48" s="32">
        <v>5.2</v>
      </c>
      <c r="G48" s="32">
        <v>0.21</v>
      </c>
      <c r="H48" s="32">
        <v>2.4E-2</v>
      </c>
      <c r="J48" s="32" t="s">
        <v>55</v>
      </c>
      <c r="K48" s="34">
        <f>((11*C47)+(9*C48))/20</f>
        <v>1.5565000000000002</v>
      </c>
      <c r="L48" s="34">
        <f>((11*D47)+(9*D48))/20</f>
        <v>1.4055</v>
      </c>
      <c r="M48" s="34">
        <f>((11*E47)+(9*E48))/20</f>
        <v>1.4837850777323163</v>
      </c>
      <c r="N48" s="33">
        <f>((11*F47)+(9*F48))/20</f>
        <v>5.4749999999999996</v>
      </c>
      <c r="O48" s="34">
        <f>((11*G47)+(9*G48))/20</f>
        <v>0.30349999999999999</v>
      </c>
      <c r="P48" s="34">
        <f>((11*H47)+(9*H48))/20</f>
        <v>3.0599999999999999E-2</v>
      </c>
      <c r="Q48" s="35">
        <f>(O48*10)*100*100*20*L48/1000000</f>
        <v>0.85313850000000002</v>
      </c>
      <c r="R48" s="35">
        <f>(P48*10)*100*100*20*L48/1000000</f>
        <v>8.6016599999999985E-2</v>
      </c>
      <c r="S48" s="35"/>
    </row>
    <row r="49" spans="1:19" x14ac:dyDescent="0.25">
      <c r="A49" s="32" t="s">
        <v>203</v>
      </c>
      <c r="B49" s="32" t="s">
        <v>168</v>
      </c>
      <c r="C49" s="34">
        <v>1.5545814844817372</v>
      </c>
      <c r="D49" s="34">
        <v>1.434745118427257</v>
      </c>
      <c r="E49" s="34">
        <v>1.4991737394252487</v>
      </c>
      <c r="F49" s="32">
        <v>4.3</v>
      </c>
      <c r="G49" s="32">
        <v>0.19</v>
      </c>
      <c r="H49" s="32">
        <v>2.1999999999999999E-2</v>
      </c>
      <c r="J49" s="32" t="s">
        <v>56</v>
      </c>
      <c r="K49" s="34">
        <f>((26*C48)+(24*C49))/50</f>
        <v>1.604199112551234</v>
      </c>
      <c r="L49" s="34">
        <f>((26*D48)+(24*D49))/50</f>
        <v>1.4738776568450833</v>
      </c>
      <c r="M49" s="34">
        <f>((26*E48)+(24*E49))/50</f>
        <v>1.5475616806677619</v>
      </c>
      <c r="N49" s="33">
        <f>((26*F48)+(24*F49))/50</f>
        <v>4.7679999999999998</v>
      </c>
      <c r="O49" s="34">
        <f>((26*G48)+(24*G49))/50</f>
        <v>0.20039999999999999</v>
      </c>
      <c r="P49" s="34">
        <f>((26*H48)+(24*H49))/50</f>
        <v>2.3040000000000001E-2</v>
      </c>
      <c r="Q49" s="35">
        <f>(O49*10)*100*100*50*L49/1000000</f>
        <v>1.4768254121587736</v>
      </c>
      <c r="R49" s="35">
        <f>(P49*10)*100*100*50*L49/1000000</f>
        <v>0.16979070606855365</v>
      </c>
      <c r="S49" s="35"/>
    </row>
    <row r="50" spans="1:19" x14ac:dyDescent="0.25">
      <c r="A50" s="32" t="s">
        <v>204</v>
      </c>
      <c r="B50" s="32" t="s">
        <v>199</v>
      </c>
      <c r="C50" s="32">
        <v>1.47</v>
      </c>
      <c r="D50" s="32">
        <v>1.47</v>
      </c>
      <c r="E50" s="34">
        <v>1.4662149260359094</v>
      </c>
      <c r="F50" s="32">
        <v>0</v>
      </c>
      <c r="G50" s="32">
        <v>0.13</v>
      </c>
      <c r="H50" s="32">
        <v>1.7999999999999999E-2</v>
      </c>
      <c r="J50" s="32" t="s">
        <v>57</v>
      </c>
      <c r="K50" s="34">
        <f>((28*C49)+(22*C50))/50</f>
        <v>1.517365631309773</v>
      </c>
      <c r="L50" s="34">
        <f>((28*D49)+(22*D50))/50</f>
        <v>1.4502572663192637</v>
      </c>
      <c r="M50" s="34">
        <f>((28*E49)+(22*E50))/50</f>
        <v>1.4846718615339392</v>
      </c>
      <c r="N50" s="33">
        <f>((28*F49)+(22*F50))/50</f>
        <v>2.4079999999999999</v>
      </c>
      <c r="O50" s="34">
        <f>((28*G49)+(22*G50))/50</f>
        <v>0.1636</v>
      </c>
      <c r="P50" s="34">
        <f>((28*H49)+(22*H50))/50</f>
        <v>2.0240000000000001E-2</v>
      </c>
      <c r="Q50" s="35">
        <f>(O50*10)*100*100*50*L50/1000000</f>
        <v>1.1863104438491578</v>
      </c>
      <c r="R50" s="35">
        <f t="shared" ref="R50:R51" si="22">(P50*10)*100*100*50*L50/1000000</f>
        <v>0.14676603535150948</v>
      </c>
      <c r="S50" s="35"/>
    </row>
    <row r="51" spans="1:19" x14ac:dyDescent="0.25">
      <c r="J51" s="32" t="s">
        <v>58</v>
      </c>
      <c r="K51" s="34">
        <f>C50</f>
        <v>1.47</v>
      </c>
      <c r="L51" s="34">
        <f>D50</f>
        <v>1.47</v>
      </c>
      <c r="M51" s="34">
        <f>E50</f>
        <v>1.4662149260359094</v>
      </c>
      <c r="N51" s="33">
        <f>F50</f>
        <v>0</v>
      </c>
      <c r="O51" s="34">
        <f t="shared" ref="O51:P51" si="23">G50</f>
        <v>0.13</v>
      </c>
      <c r="P51" s="34">
        <f t="shared" si="23"/>
        <v>1.7999999999999999E-2</v>
      </c>
      <c r="Q51" s="35">
        <f>(O51*10)*100*100*50*L51/1000000</f>
        <v>0.95550000000000002</v>
      </c>
      <c r="R51" s="35">
        <f t="shared" si="22"/>
        <v>0.1323</v>
      </c>
      <c r="S51" s="35"/>
    </row>
    <row r="54" spans="1:19" x14ac:dyDescent="0.25">
      <c r="F54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Sampling scheme</vt:lpstr>
      <vt:lpstr>Carbon</vt:lpstr>
      <vt:lpstr>Stone sizes</vt:lpstr>
      <vt:lpstr>Stone density</vt:lpstr>
      <vt:lpstr>Pit bulk density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siadmin</dc:creator>
  <cp:lastModifiedBy>Turner</cp:lastModifiedBy>
  <dcterms:created xsi:type="dcterms:W3CDTF">2016-03-10T02:47:02Z</dcterms:created>
  <dcterms:modified xsi:type="dcterms:W3CDTF">2016-03-10T22:54:29Z</dcterms:modified>
</cp:coreProperties>
</file>