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13_ncr:1_{9B1FEFAE-8BD2-D449-94EF-23AECF595F6A}" xr6:coauthVersionLast="47" xr6:coauthVersionMax="47" xr10:uidLastSave="{00000000-0000-0000-0000-000000000000}"/>
  <workbookProtection workbookAlgorithmName="SHA-512" workbookHashValue="gWdXypl4pwvsiA7EeuTqs3+43KDAGd/jlaJJtOqkYW8cK4pty6XmYeMV2VNsb9eq3kIWS0ffTO18khoBz4d6gQ==" workbookSaltValue="QORbMvnA3UoOCCest8JNJA==" workbookSpinCount="100000" lockStructure="1"/>
  <bookViews>
    <workbookView xWindow="0" yWindow="500" windowWidth="28800" windowHeight="15840" activeTab="1"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Q12" i="3"/>
  <c r="F12" i="3"/>
  <c r="L15" i="10" l="1"/>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s="1"/>
  <c r="H18" i="3" l="1"/>
  <c r="J18" i="3"/>
  <c r="J13" i="3"/>
  <c r="H14" i="3"/>
  <c r="J14" i="3"/>
  <c r="H19" i="3"/>
  <c r="J19" i="3"/>
  <c r="H15" i="3"/>
  <c r="J15" i="3"/>
  <c r="H16" i="3"/>
  <c r="J16" i="3" s="1"/>
  <c r="H17" i="3"/>
  <c r="J17" i="3" s="1"/>
  <c r="H13" i="3"/>
  <c r="Q39" i="5"/>
  <c r="H39" i="5"/>
  <c r="O30" i="3" l="1"/>
  <c r="Q30" i="3" s="1"/>
  <c r="J8" i="3"/>
  <c r="D68" i="3"/>
  <c r="D69" i="3"/>
  <c r="D70" i="3"/>
  <c r="D71" i="3"/>
  <c r="F71" i="3" s="1"/>
  <c r="F11" i="4"/>
  <c r="Q18" i="3" l="1"/>
  <c r="Q23" i="3"/>
  <c r="F68" i="3" l="1"/>
  <c r="A66" i="1"/>
  <c r="A38" i="1"/>
  <c r="A37" i="1"/>
  <c r="A48" i="1"/>
  <c r="A85" i="1"/>
  <c r="A19" i="1"/>
  <c r="A81" i="1"/>
  <c r="A28" i="1"/>
  <c r="A49" i="1"/>
  <c r="A88" i="1"/>
  <c r="A55" i="1"/>
  <c r="A67" i="1"/>
  <c r="A30" i="1"/>
  <c r="A102" i="1"/>
  <c r="A64" i="1"/>
  <c r="A96" i="1"/>
  <c r="A32" i="1"/>
  <c r="A70" i="1"/>
  <c r="A63" i="1"/>
  <c r="A41" i="1"/>
  <c r="A89" i="1"/>
  <c r="A80" i="1"/>
  <c r="A78" i="1"/>
  <c r="A79" i="1"/>
  <c r="A22" i="1"/>
  <c r="A26" i="1"/>
  <c r="A90" i="1"/>
  <c r="A23" i="1"/>
  <c r="A35" i="1"/>
  <c r="A46" i="1"/>
  <c r="A53" i="1"/>
  <c r="A82" i="1"/>
  <c r="A29" i="1"/>
  <c r="A86" i="1"/>
  <c r="A101" i="1"/>
  <c r="A87" i="1"/>
  <c r="A84" i="1"/>
  <c r="A100" i="1"/>
  <c r="A27" i="1"/>
  <c r="A50" i="1"/>
  <c r="A52" i="1"/>
  <c r="A99" i="1"/>
  <c r="A59" i="1"/>
  <c r="A76" i="1"/>
  <c r="A58" i="1"/>
  <c r="A69" i="1"/>
  <c r="A68" i="1"/>
  <c r="A42" i="1"/>
  <c r="A51" i="1"/>
  <c r="A104" i="1"/>
  <c r="A60" i="1"/>
  <c r="A56" i="1"/>
  <c r="A47" i="1"/>
  <c r="A21" i="1"/>
  <c r="A91" i="1"/>
  <c r="A36" i="1"/>
  <c r="A92" i="1"/>
  <c r="A103" i="1"/>
  <c r="A43" i="1"/>
  <c r="A34" i="1"/>
  <c r="A94" i="1"/>
  <c r="A39" i="1"/>
  <c r="A74" i="1"/>
  <c r="A83" i="1"/>
  <c r="A72" i="1"/>
  <c r="A57" i="1"/>
  <c r="A71" i="1"/>
  <c r="A54" i="1"/>
  <c r="A25" i="1"/>
  <c r="A20" i="1"/>
  <c r="A40" i="1"/>
  <c r="A98" i="1"/>
  <c r="A75" i="1"/>
  <c r="A73" i="1"/>
  <c r="A77" i="1"/>
  <c r="A62" i="1"/>
  <c r="A61" i="1"/>
  <c r="A44" i="1"/>
  <c r="A31" i="1"/>
  <c r="A45" i="1"/>
  <c r="A97" i="1"/>
  <c r="A24" i="1"/>
  <c r="A33" i="1"/>
  <c r="A95" i="1"/>
  <c r="A93"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F2" i="7" s="1"/>
  <c r="H29" i="7"/>
  <c r="H28" i="7" s="1"/>
  <c r="B1" i="7"/>
  <c r="L9" i="10" l="1"/>
  <c r="K43" i="9" l="1"/>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1" i="3" s="1"/>
  <c r="F65" i="3"/>
  <c r="Q8" i="3"/>
  <c r="AD8" i="3" l="1"/>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tc={544B825C-37CF-45D5-B0F4-596D85937986}</author>
    <author>tc={8C50DDF0-3E01-DC43-BED3-A0A88416DDA8}</author>
    <author>tc={FF56CDF6-A6CE-5A47-BA6B-481D9AC265E1}</author>
    <author>tc={957F969D-8BED-9C4D-85DD-8EBDFB692517}</author>
    <author>tc={180B41B2-72DA-4749-B5D3-CAF629118648}</author>
    <author>tc={82E292EA-CF25-4828-825B-49F433B5D490}</author>
    <author>tc={2A588B4A-F784-4CB7-9E7A-DC7CB6E4E8E5}</author>
  </authors>
  <commentList>
    <comment ref="C75" authorId="0" shapeId="0" xr:uid="{544B825C-37CF-45D5-B0F4-596D85937986}">
      <text>
        <t>[Threaded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text>
    </comment>
    <comment ref="C77" authorId="1" shapeId="0" xr:uid="{8C50DDF0-3E01-DC43-BED3-A0A88416DDA8}">
      <text>
        <t>[Threaded comment]
Your version of Excel allows you to read this threaded comment; however, any edits to it will get removed if the file is opened in a newer version of Excel. Learn more: https://go.microsoft.com/fwlink/?linkid=870924
Comment:
    Where is the mating connector for this PN?</t>
      </text>
    </comment>
    <comment ref="E77" authorId="2" shapeId="0" xr:uid="{FF56CDF6-A6CE-5A47-BA6B-481D9AC265E1}">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text>
    </comment>
    <comment ref="F77" authorId="3" shapeId="0" xr:uid="{957F969D-8BED-9C4D-85DD-8EBDFB692517}">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text>
    </comment>
    <comment ref="C78" authorId="4" shapeId="0" xr:uid="{180B41B2-72DA-4749-B5D3-CAF629118648}">
      <text>
        <t>[Threaded comment]
Your version of Excel allows you to read this threaded comment; however, any edits to it will get removed if the file is opened in a newer version of Excel. Learn more: https://go.microsoft.com/fwlink/?linkid=870924
Comment:
    Where is the mating connector for this PN?</t>
      </text>
    </comment>
    <comment ref="E78" authorId="5" shapeId="0" xr:uid="{82E292EA-CF25-4828-825B-49F433B5D490}">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text>
    </comment>
    <comment ref="F78" authorId="6" shapeId="0" xr:uid="{2A588B4A-F784-4CB7-9E7A-DC7CB6E4E8E5}">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tc={FDB95D21-CA66-4D10-9BEE-6BE06AAD7D4B}</author>
    <author>tc={90E429D8-DE1B-4F90-94F5-E09A6CC8F86F}</author>
    <author>tc={CB8BDC8F-C853-4CC9-94BB-03A9B834DB06}</author>
  </authors>
  <commentList>
    <comment ref="A2" authorId="0" shapeId="0" xr:uid="{FDB95D21-CA66-4D10-9BEE-6BE06AAD7D4B}">
      <text>
        <t>[Threaded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text>
    </comment>
    <comment ref="M2" authorId="1" shapeId="0" xr:uid="{90E429D8-DE1B-4F90-94F5-E09A6CC8F86F}">
      <text>
        <t>[Threaded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text>
    </comment>
    <comment ref="J51" authorId="2" shapeId="0" xr:uid="{CB8BDC8F-C853-4CC9-94BB-03A9B834DB06}">
      <text>
        <t>[Threaded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tc={9F78C09D-5497-4B6E-A5E9-ABA6150C8FA2}</author>
    <author>tc={39E74DD6-260B-4E51-96B8-CC54B577B786}</author>
    <author>tc={9891A3C7-4A47-45A2-BEC4-83677DF2FABC}</author>
    <author>tc={1E289076-805A-4B75-B572-75CAE61A5789}</author>
    <author>tc={AFC123A8-5645-4F93-A69C-0F68239752DD}</author>
    <author>tc={5D778989-94C2-4C6E-A557-9152C9BD905B}</author>
  </authors>
  <commentList>
    <comment ref="D9" authorId="0" shapeId="0" xr:uid="{9F78C09D-5497-4B6E-A5E9-ABA6150C8FA2}">
      <text>
        <t>[Threaded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text>
    </comment>
    <comment ref="U9" authorId="1" shapeId="0" xr:uid="{39E74DD6-260B-4E51-96B8-CC54B577B786}">
      <text>
        <t>[Threaded comment]
Your version of Excel allows you to read this threaded comment; however, any edits to it will get removed if the file is opened in a newer version of Excel. Learn more: https://go.microsoft.com/fwlink/?linkid=870924
Comment:
    incomplete</t>
      </text>
    </comment>
    <comment ref="O13" authorId="2" shapeId="0" xr:uid="{9891A3C7-4A47-45A2-BEC4-83677DF2FABC}">
      <text>
        <t>[Threaded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text>
    </comment>
    <comment ref="O17" authorId="3" shapeId="0" xr:uid="{1E289076-805A-4B75-B572-75CAE61A5789}">
      <text>
        <t>[Threaded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text>
    </comment>
    <comment ref="A33" authorId="4"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text>
    </comment>
    <comment ref="AK33" authorId="5" shapeId="0" xr:uid="{5D778989-94C2-4C6E-A557-9152C9BD905B}">
      <text>
        <t>[Threaded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tc={53B26EE5-BD3F-46A6-AC2E-343DFA9BF2C3}</author>
  </authors>
  <commentList>
    <comment ref="J12" authorId="0" shapeId="0" xr:uid="{53B26EE5-BD3F-46A6-AC2E-343DFA9BF2C3}">
      <text>
        <t>[Threaded comment]
Your version of Excel allows you to read this threaded comment; however, any edits to it will get removed if the file is opened in a newer version of Excel. Learn more: https://go.microsoft.com/fwlink/?linkid=870924
Comment:
    This does not meet EV.7.2.2.c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tc={F0F0F153-7543-4F30-91B3-69284C10FBE8}</author>
    <author>tc={8F7E58BE-04F3-4D65-A78A-2FC5D63A6ABE}</author>
  </authors>
  <commentList>
    <comment ref="A13" authorId="0" shapeId="0" xr:uid="{F0F0F153-7543-4F30-91B3-69284C10FBE8}">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 ref="J13" authorId="1" shapeId="0" xr:uid="{8F7E58BE-04F3-4D65-A78A-2FC5D63A6ABE}">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tc={3EBDB676-7D2C-43EC-8DBD-1B58CD019224}</author>
  </authors>
  <commentList>
    <comment ref="M47" authorId="0" shapeId="0" xr:uid="{3EBDB676-7D2C-43EC-8DBD-1B58CD019224}">
      <text>
        <t>[Threaded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tc={A98F5AFF-7E67-4274-A5E0-A6E1E4BDE076}</author>
  </authors>
  <commentList>
    <comment ref="F9" authorId="0" shapeId="0" xr:uid="{A98F5AFF-7E67-4274-A5E0-A6E1E4BDE076}">
      <text>
        <t>[Threaded comment]
Your version of Excel allows you to read this threaded comment; however, any edits to it will get removed if the file is opened in a newer version of Excel. Learn more: https://go.microsoft.com/fwlink/?linkid=870924
Comment:
    APPS sensor signals cannot cross.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tc={4026C89C-90F0-43A4-96C7-5CF3FE64B927}</author>
  </authors>
  <commentList>
    <comment ref="A9" authorId="0" shapeId="0" xr:uid="{4026C89C-90F0-43A4-96C7-5CF3FE64B927}">
      <text>
        <t>[Threaded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<sst xmlns="http://schemas.openxmlformats.org/spreadsheetml/2006/main" count="801" uniqueCount="516">
  <si>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</si>
  <si>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</si>
  <si>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</si>
  <si>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</si>
  <si>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</si>
  <si>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</si>
  <si>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</si>
  <si>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</si>
  <si>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</si>
  <si>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</si>
  <si>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</si>
  <si>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</si>
  <si>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</si>
  <si>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</si>
  <si>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Max TS Voltage</t>
  </si>
  <si>
    <t>V</t>
  </si>
  <si>
    <t>Accumulator Fuse</t>
  </si>
  <si>
    <t>A</t>
  </si>
  <si>
    <t>Additional Comments</t>
  </si>
  <si>
    <t>Template Revision History</t>
  </si>
  <si>
    <t>Version</t>
  </si>
  <si>
    <t>Date</t>
  </si>
  <si>
    <t>Comment</t>
  </si>
  <si>
    <t>2.0</t>
  </si>
  <si>
    <t>Multiple updates and bug fixes.</t>
  </si>
  <si>
    <t>Battery Cell</t>
  </si>
  <si>
    <t>Make</t>
  </si>
  <si>
    <t>Model</t>
  </si>
  <si>
    <t>Nominal Capacity</t>
  </si>
  <si>
    <t>Ahr</t>
  </si>
  <si>
    <t>Maximum Voltage</t>
  </si>
  <si>
    <t>Nominal Voltage</t>
  </si>
  <si>
    <t>Minimum Voltage</t>
  </si>
  <si>
    <t>Max output current</t>
  </si>
  <si>
    <t>Max continuous current</t>
  </si>
  <si>
    <t>Max Cell temp</t>
  </si>
  <si>
    <t>C</t>
  </si>
  <si>
    <t>Cell Chemistry</t>
  </si>
  <si>
    <t>Datasheet</t>
  </si>
  <si>
    <t>SDS</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</si>
  <si>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</si>
  <si>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</si>
  <si>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</si>
  <si>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</si>
  <si>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</si>
  <si>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</si>
  <si>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</si>
  <si>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</si>
  <si>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</si>
  <si>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EV.6.2.1
EV.6.2.5
EV.7.3
EV.7.6.4
EV.7.3.2</t>
  </si>
  <si>
    <t>Fuses</t>
  </si>
  <si>
    <t>Voltage 
[V]</t>
  </si>
  <si>
    <t>AC/DC</t>
  </si>
  <si>
    <t>Current 
[A]</t>
  </si>
  <si>
    <t>Interrupt 
[A]</t>
  </si>
  <si>
    <t>EV.6.2.1
EV.7.6</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</si>
  <si>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</si>
  <si>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</si>
  <si>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</si>
  <si>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</si>
  <si>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</si>
  <si>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</si>
  <si>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</si>
  <si>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</si>
  <si>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</si>
  <si>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</si>
  <si>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EV.6.2.1
EV.6.4
EV.6.6</t>
  </si>
  <si>
    <t>Connectors</t>
  </si>
  <si>
    <r>
      <t>Wire Size 
[mm</t>
    </r>
    <r>
      <rPr>
        <vertAlign val="superscript"/>
        <sz val="11"/>
        <color theme="1"/>
        <rFont val="Verdana"/>
        <family val="2"/>
        <scheme val="minor"/>
      </rPr>
      <t>2</t>
    </r>
    <r>
      <rPr>
        <sz val="11"/>
        <color theme="1"/>
        <rFont val="Verdana"/>
        <family val="2"/>
        <scheme val="minor"/>
      </rPr>
      <t>]</t>
    </r>
  </si>
  <si>
    <t>EV.6.2.1
EV.6.10
EV.7.3.4</t>
  </si>
  <si>
    <t>Insulating Materials</t>
  </si>
  <si>
    <t>Thickness
[mm]</t>
  </si>
  <si>
    <t>Dielectric strength 
[V/mm]</t>
  </si>
  <si>
    <t>Voltage Rating 
[V]</t>
  </si>
  <si>
    <t>Flammability Rating</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</si>
  <si>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</si>
  <si>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</si>
  <si>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</si>
  <si>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</si>
  <si>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</si>
  <si>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</si>
  <si>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</si>
  <si>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</si>
  <si>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</si>
  <si>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</si>
  <si>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</si>
  <si>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</si>
  <si>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</si>
  <si>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</si>
  <si>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</si>
  <si>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</si>
  <si>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</si>
  <si>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</si>
  <si>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</si>
  <si>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</si>
  <si>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</si>
  <si>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</si>
  <si>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</si>
  <si>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</si>
  <si>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</si>
  <si>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</si>
  <si>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</si>
  <si>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</si>
  <si>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</si>
  <si>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</si>
  <si>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</si>
  <si>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</si>
  <si>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</si>
  <si>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</si>
  <si>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</si>
  <si>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</si>
  <si>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</si>
  <si>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</si>
  <si>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</si>
  <si>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</si>
  <si>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Segment-to-Segment Connection</t>
  </si>
  <si>
    <t>Maximum TS Voltage</t>
  </si>
  <si>
    <t>Nominal TS Voltage</t>
  </si>
  <si>
    <t>Total Cells</t>
  </si>
  <si>
    <t>Segment Data</t>
  </si>
  <si>
    <t>BMS</t>
  </si>
  <si>
    <t>Maintenance Plugs</t>
  </si>
  <si>
    <t>Cell Connection Order</t>
  </si>
  <si>
    <t>BMS Type</t>
  </si>
  <si>
    <t>Connector</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</si>
  <si>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</si>
  <si>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</si>
  <si>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</si>
  <si>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</si>
  <si>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</si>
  <si>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</si>
  <si>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</si>
  <si>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</si>
  <si>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</si>
  <si>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</si>
  <si>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</si>
  <si>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</si>
  <si>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Temperature Rating</t>
  </si>
  <si>
    <t>Galvanic Isolation TS to GLV</t>
  </si>
  <si>
    <t>Segment Fuse Ampacity</t>
  </si>
  <si>
    <t>On top of cells</t>
  </si>
  <si>
    <t>Galvanic Isolation between segments</t>
  </si>
  <si>
    <t>AIR</t>
  </si>
  <si>
    <t>Galvanic Isolation device</t>
  </si>
  <si>
    <t>Make/Model</t>
  </si>
  <si>
    <t>Gavlanic Isolation device datasheet</t>
  </si>
  <si>
    <t>Contact Voltage Rating</t>
  </si>
  <si>
    <t xml:space="preserve"> Separating AIR and Fuse from cells</t>
  </si>
  <si>
    <t>Voltage Sense Leads</t>
  </si>
  <si>
    <t>Max switching current</t>
  </si>
  <si>
    <t>Max Sense Lead Length</t>
  </si>
  <si>
    <t>cm</t>
  </si>
  <si>
    <t>Main Fuse</t>
  </si>
  <si>
    <t>Overcurrent Location</t>
  </si>
  <si>
    <t>Overcurrent Other Location</t>
  </si>
  <si>
    <t>Main fuse ampacity</t>
  </si>
  <si>
    <t>Overcurrent Voltage Rating</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</si>
  <si>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</si>
  <si>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</si>
  <si>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</si>
  <si>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</si>
  <si>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</si>
  <si>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</si>
  <si>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</si>
  <si>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</si>
  <si>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</si>
  <si>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</si>
  <si>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</si>
  <si>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</si>
  <si>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</si>
  <si>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</si>
  <si>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</si>
  <si>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</si>
  <si>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</si>
  <si>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</si>
  <si>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</si>
  <si>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</si>
  <si>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</si>
  <si>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</si>
  <si>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</si>
  <si>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</si>
  <si>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</si>
  <si>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</si>
  <si>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</si>
  <si>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</si>
  <si>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</si>
  <si>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</si>
  <si>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</si>
  <si>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</si>
  <si>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</si>
  <si>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</si>
  <si>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</si>
  <si>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</si>
  <si>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</si>
  <si>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</si>
  <si>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</si>
  <si>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</si>
  <si>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</si>
  <si>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</si>
  <si>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</si>
  <si>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</si>
  <si>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</si>
  <si>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</si>
  <si>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</si>
  <si>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</si>
  <si>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</si>
  <si>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</si>
  <si>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</si>
  <si>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</si>
  <si>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</si>
  <si>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</si>
  <si>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</si>
  <si>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</si>
  <si>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</si>
  <si>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</si>
  <si>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</si>
  <si>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</si>
  <si>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</si>
  <si>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</si>
  <si>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</si>
  <si>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</si>
  <si>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</si>
  <si>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</si>
  <si>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</si>
  <si>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</si>
  <si>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</si>
  <si>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EV.6.8.4</t>
  </si>
  <si>
    <t># parallel</t>
  </si>
  <si>
    <t># series</t>
  </si>
  <si>
    <t>Resistance</t>
  </si>
  <si>
    <t>Ohms</t>
  </si>
  <si>
    <t>Cont power</t>
  </si>
  <si>
    <t>W</t>
  </si>
  <si>
    <t>power @15 sec</t>
  </si>
  <si>
    <t>Voltage</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</si>
  <si>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</si>
  <si>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</si>
  <si>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</si>
  <si>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</si>
  <si>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</si>
  <si>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</si>
  <si>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</si>
  <si>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</si>
  <si>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</si>
  <si>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</si>
  <si>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</si>
  <si>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</si>
  <si>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</si>
  <si>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</si>
  <si>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</si>
  <si>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</si>
  <si>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</si>
  <si>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</si>
  <si>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</si>
  <si>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</si>
  <si>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</si>
  <si>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</si>
  <si>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</si>
  <si>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</si>
  <si>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</si>
  <si>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</si>
  <si>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</si>
  <si>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</si>
  <si>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</si>
  <si>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</si>
  <si>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</si>
  <si>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</si>
  <si>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</si>
  <si>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</si>
  <si>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</si>
  <si>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</si>
  <si>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</si>
  <si>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</si>
  <si>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</si>
  <si>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</si>
  <si>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</si>
  <si>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</si>
  <si>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</si>
  <si>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</si>
  <si>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</si>
  <si>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</si>
  <si>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</si>
  <si>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</si>
  <si>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</si>
  <si>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</si>
  <si>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</si>
  <si>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</si>
  <si>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</si>
  <si>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</si>
  <si>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</si>
  <si>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</si>
  <si>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</si>
  <si>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</si>
  <si>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</si>
  <si>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</si>
  <si>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</si>
  <si>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</si>
  <si>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</si>
  <si>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</si>
  <si>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</si>
  <si>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</si>
  <si>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</si>
  <si>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</si>
  <si>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</si>
  <si>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</si>
  <si>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</si>
  <si>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</si>
  <si>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</si>
  <si>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</si>
  <si>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</si>
  <si>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</si>
  <si>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</si>
  <si>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</si>
  <si>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</si>
  <si>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</si>
  <si>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</si>
  <si>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</si>
  <si>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</si>
  <si>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</si>
  <si>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</si>
  <si>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</si>
  <si>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</si>
  <si>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</si>
  <si>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</si>
  <si>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</si>
  <si>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EV.8.1
EV.8.2</t>
  </si>
  <si>
    <t>TSAL Schematic Shows</t>
  </si>
  <si>
    <t>TSAL controlled by &gt;60V present in TS</t>
  </si>
  <si>
    <t>TSAL powered by GLV</t>
  </si>
  <si>
    <t>TSAL flashes red when HV present and solid green when not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</si>
  <si>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</si>
  <si>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</si>
  <si>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</si>
  <si>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</si>
  <si>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</si>
  <si>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</si>
  <si>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</si>
  <si>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</si>
  <si>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</si>
  <si>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</si>
  <si>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</si>
  <si>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</si>
  <si>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</si>
  <si>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</si>
  <si>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</si>
  <si>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</si>
  <si>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</si>
  <si>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Energy Meter Download Picture Shows</t>
  </si>
  <si>
    <t>Energy Meter Download Connector</t>
  </si>
  <si>
    <t>All wires &gt; 150mm have a fuse within the first 150mm from the source</t>
  </si>
  <si>
    <t>Picture of Energy Meter download connector on car to prove compliance with EV.4.2.2</t>
  </si>
  <si>
    <t>Fuse and AIR are separated from cells</t>
  </si>
  <si>
    <t>Sense Lead Overcurrent Protection Device</t>
  </si>
  <si>
    <t>Main fuse voltage</t>
  </si>
  <si>
    <t>Outboard Wheel Motor Interlocks</t>
  </si>
  <si>
    <t>EV.5.1.3</t>
  </si>
  <si>
    <t>Normal State</t>
  </si>
  <si>
    <t>Updated for 2023 season.</t>
  </si>
  <si>
    <t>Updated for 2022 season.</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</si>
  <si>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</si>
  <si>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</si>
  <si>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</si>
  <si>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</si>
  <si>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</si>
  <si>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</si>
  <si>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</si>
  <si>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https://www.champcable.com/wp-content/uploads/2018/08/212.-SAE-EXRAD-150-HVFX-XLE-Shielded-Battery-Cable.pdf</t>
  </si>
  <si>
    <t>Champlain cable</t>
  </si>
  <si>
    <t>EXRAD-HVX6X</t>
  </si>
  <si>
    <t>Fuseholder to AIRS</t>
  </si>
  <si>
    <t>AIRs to connector exiting accumulator</t>
  </si>
  <si>
    <t>Accumulator to HVD</t>
  </si>
  <si>
    <t>HVD to motor controller</t>
  </si>
  <si>
    <t>Motor controller to motor</t>
  </si>
  <si>
    <t>Pack to fuseholder</t>
  </si>
  <si>
    <t>Eaton</t>
  </si>
  <si>
    <t>BK/PCS</t>
  </si>
  <si>
    <t>Fuse holder for voltage sense overcurrent protection</t>
  </si>
  <si>
    <t>https://www.eaton.com/content/dam/eaton/products/electronic-components/resources/data-sheet/eaton-pcs-fuse-holder-data-sheet.pdf</t>
  </si>
  <si>
    <t>Eaton - Electronic Division</t>
  </si>
  <si>
    <t>BK/PCC-3/4-R</t>
  </si>
  <si>
    <t>DC</t>
  </si>
  <si>
    <t>https://www.eaton.com/content/dam/eaton/products/electronic-components/resources/data-sheet/eaton-pc-tron-subminiature-radial-leaded-fuses-data-sheet.pdf</t>
  </si>
  <si>
    <t>Mersen Semiconductor</t>
  </si>
  <si>
    <t>A50QS75-4Y</t>
  </si>
  <si>
    <t>https://www.grainger.com/ec/pdf/6XPF4_1.pdf</t>
  </si>
  <si>
    <t>Main Fuse in accumulator</t>
  </si>
  <si>
    <t>Bel Fuse Inc</t>
  </si>
  <si>
    <t>0ADAP6000-RE</t>
  </si>
  <si>
    <t>https://www.belfuse.com/resources/datasheets/circuitprotection/ds-cp-0adax-series.pdf</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</si>
  <si>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</si>
  <si>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</si>
  <si>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</si>
  <si>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</si>
  <si>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</si>
  <si>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</si>
  <si>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Cell Tep Fusing, and general circuit card fusing</t>
  </si>
  <si>
    <t>Ohmite</t>
  </si>
  <si>
    <t>B20J750E</t>
  </si>
  <si>
    <t>None</t>
  </si>
  <si>
    <t>https://www.ohmite.com/assets/docs/res_200.pdf?r=false</t>
  </si>
  <si>
    <t>TE</t>
  </si>
  <si>
    <t>RR03J1K5TB</t>
  </si>
  <si>
    <t>https://www.te.com/usa-en/product-8-1879354-9.datasheet.pdf</t>
  </si>
  <si>
    <t>15 in series</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</si>
  <si>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</si>
  <si>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</si>
  <si>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</si>
  <si>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</si>
  <si>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</si>
  <si>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</si>
  <si>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</si>
  <si>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</si>
  <si>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</si>
  <si>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</si>
  <si>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</si>
  <si>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</si>
  <si>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</si>
  <si>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</si>
  <si>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</si>
  <si>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</si>
  <si>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</si>
  <si>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Molex</t>
  </si>
  <si>
    <t>334724001</t>
  </si>
  <si>
    <t>https://www.molex.com/webdocs/datasheets/pdf/en-us/0334724001_CRIMP_HOUSINGS.pdf</t>
  </si>
  <si>
    <t>amperage based on terminal value</t>
  </si>
  <si>
    <t>BLK</t>
  </si>
  <si>
    <t>RED</t>
  </si>
  <si>
    <t xml:space="preserve">Murata </t>
  </si>
  <si>
    <t>VTC6 18650</t>
  </si>
  <si>
    <t>Li-Ion</t>
  </si>
  <si>
    <t>https://www.imrbatteries.com/content/sony_us18650vtc6-2.pdf</t>
  </si>
  <si>
    <t>https://www.murata.com/-/media/webrenewal/products/batteries/cylindrical/pdf-sds/us18650vtc6-sds.ashx?la=en-US&amp;cvid=20210215080000000000</t>
  </si>
  <si>
    <t xml:space="preserve">38% Lithium Nickel Cobalt Oxide / 18% Graphite </t>
  </si>
  <si>
    <t>Amphenol</t>
  </si>
  <si>
    <t>UPCR012ALS1</t>
  </si>
  <si>
    <t>https://www.farnell.com/datasheets/2013715.pdf</t>
  </si>
  <si>
    <t>All HV receptacles</t>
  </si>
  <si>
    <t>Between accumulator and Checkbox, Checkbox and motor controller</t>
  </si>
  <si>
    <t>TE Connectivity</t>
  </si>
  <si>
    <t>DTM06-12SA</t>
  </si>
  <si>
    <t>.35-25</t>
  </si>
  <si>
    <t>https://www.te.com/usa-en/product-DTM06-12SA.datasheet.pdf</t>
  </si>
  <si>
    <t>Check Box</t>
  </si>
  <si>
    <t>DT04-6P-CL09</t>
  </si>
  <si>
    <t>https://www.te.com/usa-en/product-DT04-6P-CL09.datasheet.pdf</t>
  </si>
  <si>
    <t>Accumulator LV power supply</t>
  </si>
  <si>
    <t>DT06-6S</t>
  </si>
  <si>
    <t>https://www.te.com/usa-en/product-DT06-6S.datasheet.pdf</t>
  </si>
  <si>
    <t>DTM04-12PA-L012</t>
  </si>
  <si>
    <t>https://www.te.com/usa-en/product-DTM04-12PA-L012.datasheet.pdf</t>
  </si>
  <si>
    <t>DuPont</t>
  </si>
  <si>
    <t>845</t>
  </si>
  <si>
    <t>V-0</t>
  </si>
  <si>
    <t>https://www.dupont.com/content/dam/dupont/amer/us/en/safety/public/documents/en/DPT16_21668_Nomex_410_Tech_Data_Sheet_me03_REFERENCE.pdf</t>
  </si>
  <si>
    <t>Backup material</t>
  </si>
  <si>
    <t>Nomex 410</t>
  </si>
  <si>
    <t>Series</t>
  </si>
  <si>
    <t>Orion</t>
  </si>
  <si>
    <t>Eaton - Electronic Division BK/PCC-3/4-R</t>
  </si>
  <si>
    <t>Internal to BMS(secondary) and outside of BMS (primary)</t>
  </si>
  <si>
    <t>On cell terminal</t>
  </si>
  <si>
    <t>Centralized</t>
  </si>
  <si>
    <t>Purchased</t>
  </si>
  <si>
    <t>BMS 2</t>
  </si>
  <si>
    <t>Gigavac GV241BAB</t>
  </si>
  <si>
    <t>Mersen Semiconductor A50QS75-4Y</t>
  </si>
  <si>
    <t>DuPont 845</t>
  </si>
  <si>
    <t>Energus Fusible Link</t>
  </si>
  <si>
    <t>Ohmite B20J750E</t>
  </si>
  <si>
    <t>Time</t>
  </si>
  <si>
    <t>Gigavac P115-BDA</t>
  </si>
  <si>
    <t>Gigavac PNC113</t>
  </si>
  <si>
    <t>TE RR03J1K5TB</t>
  </si>
  <si>
    <t>Time to charge to 98% based on 5 tao = 1.05 s
Time to charge to 98% based on 98% of maximum voltage = 0.939 s</t>
  </si>
  <si>
    <t>https://www.hec-drives.nl/BRUSA_DB_EN_NLG514.pdf</t>
  </si>
  <si>
    <t>Bender IR155-3203</t>
  </si>
  <si>
    <t>VCU</t>
  </si>
  <si>
    <t>MC</t>
  </si>
  <si>
    <t>Digital</t>
  </si>
  <si>
    <t>Yes</t>
  </si>
  <si>
    <t>Analog</t>
  </si>
  <si>
    <t>No</t>
  </si>
  <si>
    <t>Bamocar</t>
  </si>
  <si>
    <t>PG D3 700/400</t>
  </si>
  <si>
    <t>https://www.unitek-industrie-elektronik.de/images/pdf/BAMOCAR%20Digital/BAMOCAR-PG-D3-700-400_EN.pdf</t>
  </si>
  <si>
    <t>emrax</t>
  </si>
  <si>
    <t>228 HV</t>
  </si>
  <si>
    <t>https://emrax.com/wp-content/uploads/2017/01/emrax_228_technical_data_4.5.pdf</t>
  </si>
  <si>
    <t>LEM 398-HOYS100-S/SP33-1106-ND</t>
  </si>
  <si>
    <t>https://www.lem.com/sites/default/files/products_datasheets/has_50_600-s_e.pdf</t>
  </si>
  <si>
    <t>Not using outboard wheel motors</t>
  </si>
  <si>
    <t>Schurter</t>
  </si>
  <si>
    <t>https://us.schurter.com/en/datasheet/typ_SHT_6.3x32.pdf</t>
  </si>
  <si>
    <t>SDC</t>
  </si>
  <si>
    <t>8020.5011.G</t>
  </si>
  <si>
    <t>We will be using smart LEDs that can be configured to flash for the red light.</t>
  </si>
  <si>
    <t>Location and length of cables prevents mixing of connectors and ensures unique connections.</t>
  </si>
  <si>
    <t xml:space="preserve">APPS Part number: N24341600B </t>
  </si>
  <si>
    <t>SC Formula Electric</t>
  </si>
  <si>
    <t>University of Southern California</t>
  </si>
  <si>
    <t>ROX9J30K</t>
  </si>
  <si>
    <t>https://www.te.com/usa-en/product-6-2176416-7.datasheet.pdf</t>
  </si>
  <si>
    <t>TE ROX9J30K</t>
  </si>
  <si>
    <t>MINIMSDF000R</t>
  </si>
  <si>
    <t>Parallel then Series</t>
  </si>
  <si>
    <t>BU-P72930-2</t>
  </si>
  <si>
    <t>BU-P72930-0</t>
  </si>
  <si>
    <t>Mueller</t>
  </si>
  <si>
    <t>https://www.muellerelectric.com/product_files/986/DS-BU-P72930-@.pdf</t>
  </si>
  <si>
    <t>Elcon</t>
  </si>
  <si>
    <t>UHF HK-LF-540-12</t>
  </si>
  <si>
    <t>90-265</t>
  </si>
  <si>
    <t>170-680</t>
  </si>
  <si>
    <t>All HV plugs</t>
  </si>
  <si>
    <t>UPCR012ALS2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</si>
</sst>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6"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
      <sz val="10"/>
      <color rgb="FF000000"/>
      <name val="Tahoma"/>
      <family val="2"/>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000000"/>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46">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xf numFmtId="0" fontId="3" fillId="9" borderId="1" xfId="1" applyFill="1" applyProtection="1">
      <protection locked="0"/>
    </xf>
    <xf numFmtId="0" fontId="3" fillId="2" borderId="1" xfId="1" applyAlignment="1" applyProtection="1">
      <alignment horizontal="left" wrapText="1"/>
      <protection locked="0"/>
    </xf>
  </cellXfs>
  <cellStyles count="7">
    <cellStyle name="40% - Accent1" xfId="3" builtinId="31"/>
    <cellStyle name="Calculation" xfId="2" builtinId="22"/>
    <cellStyle name="Hyperlink" xfId="5" builtinId="8"/>
    <cellStyle name="Input" xfId="1" builtinId="20"/>
    <cellStyle name="Normal" xfId="0" builtinId="0"/>
    <cellStyle name="Output" xfId="6" builtinId="21"/>
    <cellStyle name="Percent" xfId="4" builtinId="5"/>
  </cellStyles>
  <dxfs count="22">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1</xdr:row>
      <xdr:rowOff>124408</xdr:rowOff>
    </xdr:from>
    <xdr:to>
      <xdr:col>22</xdr:col>
      <xdr:colOff>723123</xdr:colOff>
      <xdr:row>24</xdr:row>
      <xdr:rowOff>137081</xdr:rowOff>
    </xdr:to>
    <xdr:pic>
      <xdr:nvPicPr>
        <xdr:cNvPr id="5" name="Picture 4">
          <a:extLst>
            <a:ext uri="{FF2B5EF4-FFF2-40B4-BE49-F238E27FC236}">
              <a16:creationId xmlns:a16="http://schemas.microsoft.com/office/drawing/2014/main" id="{F194D916-097C-C098-9367-80E64F25F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01878" y="303245"/>
          <a:ext cx="8032102" cy="4125918"/>
        </a:xfrm>
        <a:prstGeom prst="rect">
          <a:avLst/>
        </a:prstGeom>
      </xdr:spPr>
    </xdr:pic>
    <xdr:clientData/>
  </xdr:twoCellAnchor>
  <xdr:twoCellAnchor editAs="oneCell">
    <xdr:from>
      <xdr:col>0</xdr:col>
      <xdr:colOff>101601</xdr:colOff>
      <xdr:row>1</xdr:row>
      <xdr:rowOff>101599</xdr:rowOff>
    </xdr:from>
    <xdr:to>
      <xdr:col>11</xdr:col>
      <xdr:colOff>2444</xdr:colOff>
      <xdr:row>19</xdr:row>
      <xdr:rowOff>16932</xdr:rowOff>
    </xdr:to>
    <xdr:pic>
      <xdr:nvPicPr>
        <xdr:cNvPr id="2" name="Picture 1">
          <a:extLst>
            <a:ext uri="{FF2B5EF4-FFF2-40B4-BE49-F238E27FC236}">
              <a16:creationId xmlns:a16="http://schemas.microsoft.com/office/drawing/2014/main" id="{125DEA4D-F9A4-01F5-4ED1-D8E84D81C02D}"/>
            </a:ext>
          </a:extLst>
        </xdr:cNvPr>
        <xdr:cNvPicPr>
          <a:picLocks noChangeAspect="1"/>
        </xdr:cNvPicPr>
      </xdr:nvPicPr>
      <xdr:blipFill>
        <a:blip xmlns:r="http://schemas.openxmlformats.org/officeDocument/2006/relationships" r:embed="rId2"/>
        <a:stretch>
          <a:fillRect/>
        </a:stretch>
      </xdr:blipFill>
      <xdr:spPr>
        <a:xfrm>
          <a:off x="101601" y="287866"/>
          <a:ext cx="8502976" cy="32681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xdr:spPr>
    </xdr:pic>
    <xdr:clientData/>
  </xdr:twoCellAnchor>
  <xdr:twoCellAnchor editAs="oneCell">
    <xdr:from>
      <xdr:col>0</xdr:col>
      <xdr:colOff>117233</xdr:colOff>
      <xdr:row>42</xdr:row>
      <xdr:rowOff>13819</xdr:rowOff>
    </xdr:from>
    <xdr:to>
      <xdr:col>2</xdr:col>
      <xdr:colOff>693616</xdr:colOff>
      <xdr:row>50</xdr:row>
      <xdr:rowOff>146575</xdr:rowOff>
    </xdr:to>
    <xdr:pic>
      <xdr:nvPicPr>
        <xdr:cNvPr id="7" name="Picture 6">
          <a:extLst>
            <a:ext uri="{FF2B5EF4-FFF2-40B4-BE49-F238E27FC236}">
              <a16:creationId xmlns:a16="http://schemas.microsoft.com/office/drawing/2014/main" id="{F6D4852B-421D-4E04-8EC8-D9C05A60F3A4}"/>
            </a:ext>
          </a:extLst>
        </xdr:cNvPr>
        <xdr:cNvPicPr>
          <a:picLocks noChangeAspect="1"/>
        </xdr:cNvPicPr>
      </xdr:nvPicPr>
      <xdr:blipFill>
        <a:blip xmlns:r="http://schemas.openxmlformats.org/officeDocument/2006/relationships" r:embed="rId3"/>
        <a:stretch>
          <a:fillRect/>
        </a:stretch>
      </xdr:blipFill>
      <xdr:spPr>
        <a:xfrm>
          <a:off x="117233" y="7389588"/>
          <a:ext cx="2041768" cy="1539525"/>
        </a:xfrm>
        <a:prstGeom prst="rect">
          <a:avLst/>
        </a:prstGeom>
      </xdr:spPr>
    </xdr:pic>
    <xdr:clientData/>
  </xdr:twoCellAnchor>
  <xdr:twoCellAnchor editAs="oneCell">
    <xdr:from>
      <xdr:col>3</xdr:col>
      <xdr:colOff>332154</xdr:colOff>
      <xdr:row>33</xdr:row>
      <xdr:rowOff>22253</xdr:rowOff>
    </xdr:from>
    <xdr:to>
      <xdr:col>7</xdr:col>
      <xdr:colOff>957385</xdr:colOff>
      <xdr:row>50</xdr:row>
      <xdr:rowOff>87925</xdr:rowOff>
    </xdr:to>
    <xdr:pic>
      <xdr:nvPicPr>
        <xdr:cNvPr id="10" name="Picture 9">
          <a:extLst>
            <a:ext uri="{FF2B5EF4-FFF2-40B4-BE49-F238E27FC236}">
              <a16:creationId xmlns:a16="http://schemas.microsoft.com/office/drawing/2014/main" id="{C691F1DB-EE48-1EF3-8D21-86BBDAC2FA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42" t="3887" r="4834" b="2601"/>
        <a:stretch/>
      </xdr:blipFill>
      <xdr:spPr>
        <a:xfrm>
          <a:off x="2530231" y="5815407"/>
          <a:ext cx="3683000" cy="3055056"/>
        </a:xfrm>
        <a:prstGeom prst="rect">
          <a:avLst/>
        </a:prstGeom>
      </xdr:spPr>
    </xdr:pic>
    <xdr:clientData/>
  </xdr:twoCellAnchor>
  <xdr:twoCellAnchor>
    <xdr:from>
      <xdr:col>2</xdr:col>
      <xdr:colOff>381000</xdr:colOff>
      <xdr:row>40</xdr:row>
      <xdr:rowOff>19538</xdr:rowOff>
    </xdr:from>
    <xdr:to>
      <xdr:col>4</xdr:col>
      <xdr:colOff>127000</xdr:colOff>
      <xdr:row>45</xdr:row>
      <xdr:rowOff>29307</xdr:rowOff>
    </xdr:to>
    <xdr:cxnSp macro="">
      <xdr:nvCxnSpPr>
        <xdr:cNvPr id="8" name="Straight Arrow Connector 7">
          <a:extLst>
            <a:ext uri="{FF2B5EF4-FFF2-40B4-BE49-F238E27FC236}">
              <a16:creationId xmlns:a16="http://schemas.microsoft.com/office/drawing/2014/main" id="{6B60725E-BD35-4CC5-922C-7C029C689AA8}"/>
            </a:ext>
          </a:extLst>
        </xdr:cNvPr>
        <xdr:cNvCxnSpPr/>
      </xdr:nvCxnSpPr>
      <xdr:spPr>
        <a:xfrm flipV="1">
          <a:off x="1846385" y="7043615"/>
          <a:ext cx="1211384" cy="889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1511144" y="7572150"/>
          <a:ext cx="2061812" cy="445076"/>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6396356" y="6665002"/>
          <a:ext cx="1912577" cy="563824"/>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28</xdr:col>
      <xdr:colOff>97692</xdr:colOff>
      <xdr:row>32</xdr:row>
      <xdr:rowOff>50185</xdr:rowOff>
    </xdr:from>
    <xdr:to>
      <xdr:col>34</xdr:col>
      <xdr:colOff>127001</xdr:colOff>
      <xdr:row>50</xdr:row>
      <xdr:rowOff>147153</xdr:rowOff>
    </xdr:to>
    <xdr:pic>
      <xdr:nvPicPr>
        <xdr:cNvPr id="27" name="Picture 26">
          <a:extLst>
            <a:ext uri="{FF2B5EF4-FFF2-40B4-BE49-F238E27FC236}">
              <a16:creationId xmlns:a16="http://schemas.microsoft.com/office/drawing/2014/main" id="{5A4D401A-5A7C-4837-6410-0E7D38CF723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02" t="3978" r="7114" b="2720"/>
        <a:stretch/>
      </xdr:blipFill>
      <xdr:spPr>
        <a:xfrm>
          <a:off x="22010077" y="5667493"/>
          <a:ext cx="4425462" cy="3262198"/>
        </a:xfrm>
        <a:prstGeom prst="rect">
          <a:avLst/>
        </a:prstGeom>
      </xdr:spPr>
    </xdr:pic>
    <xdr:clientData/>
  </xdr:twoCellAnchor>
  <xdr:twoCellAnchor editAs="oneCell">
    <xdr:from>
      <xdr:col>37</xdr:col>
      <xdr:colOff>234461</xdr:colOff>
      <xdr:row>32</xdr:row>
      <xdr:rowOff>68383</xdr:rowOff>
    </xdr:from>
    <xdr:to>
      <xdr:col>42</xdr:col>
      <xdr:colOff>516364</xdr:colOff>
      <xdr:row>50</xdr:row>
      <xdr:rowOff>166076</xdr:rowOff>
    </xdr:to>
    <xdr:pic>
      <xdr:nvPicPr>
        <xdr:cNvPr id="29" name="Picture 28">
          <a:extLst>
            <a:ext uri="{FF2B5EF4-FFF2-40B4-BE49-F238E27FC236}">
              <a16:creationId xmlns:a16="http://schemas.microsoft.com/office/drawing/2014/main" id="{D30CA8E3-D882-C647-BA4E-16D790A6D27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94" t="3550" r="3594" b="2012"/>
        <a:stretch/>
      </xdr:blipFill>
      <xdr:spPr>
        <a:xfrm>
          <a:off x="29161153" y="5685691"/>
          <a:ext cx="3945365" cy="3262923"/>
        </a:xfrm>
        <a:prstGeom prst="rect">
          <a:avLst/>
        </a:prstGeom>
      </xdr:spPr>
    </xdr:pic>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36</xdr:row>
      <xdr:rowOff>147488</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28365939" y="5757182"/>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a:t>
          </a:r>
          <a:endParaRPr lang="en-US" sz="1100"/>
        </a:p>
      </xdr:txBody>
    </xdr:sp>
    <xdr:clientData/>
  </xdr:twoCellAnchor>
  <xdr:twoCellAnchor>
    <xdr:from>
      <xdr:col>37</xdr:col>
      <xdr:colOff>370580</xdr:colOff>
      <xdr:row>34</xdr:row>
      <xdr:rowOff>143681</xdr:rowOff>
    </xdr:from>
    <xdr:to>
      <xdr:col>38</xdr:col>
      <xdr:colOff>361461</xdr:colOff>
      <xdr:row>36</xdr:row>
      <xdr:rowOff>0</xdr:rowOff>
    </xdr:to>
    <xdr:cxnSp macro="">
      <xdr:nvCxnSpPr>
        <xdr:cNvPr id="36" name="Straight Arrow Connector 35">
          <a:extLst>
            <a:ext uri="{FF2B5EF4-FFF2-40B4-BE49-F238E27FC236}">
              <a16:creationId xmlns:a16="http://schemas.microsoft.com/office/drawing/2014/main" id="{BF6C0B14-339F-46E3-89A7-0255AF2ECF16}"/>
            </a:ext>
          </a:extLst>
        </xdr:cNvPr>
        <xdr:cNvCxnSpPr>
          <a:stCxn id="35" idx="3"/>
        </xdr:cNvCxnSpPr>
      </xdr:nvCxnSpPr>
      <xdr:spPr>
        <a:xfrm>
          <a:off x="29297272" y="6112681"/>
          <a:ext cx="723574" cy="208011"/>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579120</xdr:colOff>
      <xdr:row>11</xdr:row>
      <xdr:rowOff>50800</xdr:rowOff>
    </xdr:from>
    <xdr:to>
      <xdr:col>7</xdr:col>
      <xdr:colOff>162560</xdr:colOff>
      <xdr:row>31</xdr:row>
      <xdr:rowOff>29084</xdr:rowOff>
    </xdr:to>
    <xdr:pic>
      <xdr:nvPicPr>
        <xdr:cNvPr id="3" name="Picture 2">
          <a:extLst>
            <a:ext uri="{FF2B5EF4-FFF2-40B4-BE49-F238E27FC236}">
              <a16:creationId xmlns:a16="http://schemas.microsoft.com/office/drawing/2014/main" id="{4797C7D4-ECBE-B49A-20AE-D11CB584655E}"/>
            </a:ext>
          </a:extLst>
        </xdr:cNvPr>
        <xdr:cNvPicPr>
          <a:picLocks noChangeAspect="1"/>
        </xdr:cNvPicPr>
      </xdr:nvPicPr>
      <xdr:blipFill>
        <a:blip xmlns:r="http://schemas.openxmlformats.org/officeDocument/2006/relationships" r:embed="rId1"/>
        <a:stretch>
          <a:fillRect/>
        </a:stretch>
      </xdr:blipFill>
      <xdr:spPr>
        <a:xfrm>
          <a:off x="579120" y="2062480"/>
          <a:ext cx="4988560" cy="3635884"/>
        </a:xfrm>
        <a:prstGeom prst="rect">
          <a:avLst/>
        </a:prstGeom>
      </xdr:spPr>
    </xdr:pic>
    <xdr:clientData/>
  </xdr:twoCellAnchor>
  <xdr:twoCellAnchor editAs="oneCell">
    <xdr:from>
      <xdr:col>9</xdr:col>
      <xdr:colOff>91439</xdr:colOff>
      <xdr:row>9</xdr:row>
      <xdr:rowOff>57573</xdr:rowOff>
    </xdr:from>
    <xdr:to>
      <xdr:col>16</xdr:col>
      <xdr:colOff>372533</xdr:colOff>
      <xdr:row>31</xdr:row>
      <xdr:rowOff>51835</xdr:rowOff>
    </xdr:to>
    <xdr:pic>
      <xdr:nvPicPr>
        <xdr:cNvPr id="4" name="Picture 3">
          <a:extLst>
            <a:ext uri="{FF2B5EF4-FFF2-40B4-BE49-F238E27FC236}">
              <a16:creationId xmlns:a16="http://schemas.microsoft.com/office/drawing/2014/main" id="{BD2AE188-38C0-4C4B-545B-014AC8C25B87}"/>
            </a:ext>
          </a:extLst>
        </xdr:cNvPr>
        <xdr:cNvPicPr>
          <a:picLocks noChangeAspect="1"/>
        </xdr:cNvPicPr>
      </xdr:nvPicPr>
      <xdr:blipFill>
        <a:blip xmlns:r="http://schemas.openxmlformats.org/officeDocument/2006/relationships" r:embed="rId2"/>
        <a:stretch>
          <a:fillRect/>
        </a:stretch>
      </xdr:blipFill>
      <xdr:spPr>
        <a:xfrm>
          <a:off x="7101839" y="1733973"/>
          <a:ext cx="5733627" cy="40921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xdr:spPr>
    </xdr:pic>
    <xdr:clientData/>
  </xdr:twoCellAnchor>
  <xdr:twoCellAnchor editAs="oneCell">
    <xdr:from>
      <xdr:col>0</xdr:col>
      <xdr:colOff>239486</xdr:colOff>
      <xdr:row>97</xdr:row>
      <xdr:rowOff>53382</xdr:rowOff>
    </xdr:from>
    <xdr:to>
      <xdr:col>12</xdr:col>
      <xdr:colOff>94800</xdr:colOff>
      <xdr:row>119</xdr:row>
      <xdr:rowOff>71771</xdr:rowOff>
    </xdr:to>
    <xdr:pic>
      <xdr:nvPicPr>
        <xdr:cNvPr id="3" name="Picture 2">
          <a:extLst>
            <a:ext uri="{FF2B5EF4-FFF2-40B4-BE49-F238E27FC236}">
              <a16:creationId xmlns:a16="http://schemas.microsoft.com/office/drawing/2014/main" id="{A2D6C92D-CC7F-D3F6-F11F-95CCD31A8813}"/>
            </a:ext>
          </a:extLst>
        </xdr:cNvPr>
        <xdr:cNvPicPr>
          <a:picLocks noChangeAspect="1"/>
        </xdr:cNvPicPr>
      </xdr:nvPicPr>
      <xdr:blipFill>
        <a:blip xmlns:r="http://schemas.openxmlformats.org/officeDocument/2006/relationships" r:embed="rId3"/>
        <a:stretch>
          <a:fillRect/>
        </a:stretch>
      </xdr:blipFill>
      <xdr:spPr>
        <a:xfrm>
          <a:off x="239486" y="16958896"/>
          <a:ext cx="8607428" cy="3850161"/>
        </a:xfrm>
        <a:prstGeom prst="rect">
          <a:avLst/>
        </a:prstGeom>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xdr:spPr>
    </xdr:pic>
    <xdr:clientData/>
  </xdr:twoCellAnchor>
  <xdr:twoCellAnchor editAs="oneCell">
    <xdr:from>
      <xdr:col>12</xdr:col>
      <xdr:colOff>52192</xdr:colOff>
      <xdr:row>49</xdr:row>
      <xdr:rowOff>41754</xdr:rowOff>
    </xdr:from>
    <xdr:to>
      <xdr:col>22</xdr:col>
      <xdr:colOff>693238</xdr:colOff>
      <xdr:row>68</xdr:row>
      <xdr:rowOff>102811</xdr:rowOff>
    </xdr:to>
    <xdr:pic>
      <xdr:nvPicPr>
        <xdr:cNvPr id="11" name="Picture 10">
          <a:extLst>
            <a:ext uri="{FF2B5EF4-FFF2-40B4-BE49-F238E27FC236}">
              <a16:creationId xmlns:a16="http://schemas.microsoft.com/office/drawing/2014/main" id="{94C044E5-5C4B-63C0-D9D4-8DC85EBD7F3F}"/>
            </a:ext>
          </a:extLst>
        </xdr:cNvPr>
        <xdr:cNvPicPr>
          <a:picLocks noChangeAspect="1"/>
        </xdr:cNvPicPr>
      </xdr:nvPicPr>
      <xdr:blipFill>
        <a:blip xmlns:r="http://schemas.openxmlformats.org/officeDocument/2006/relationships" r:embed="rId5"/>
        <a:stretch>
          <a:fillRect/>
        </a:stretch>
      </xdr:blipFill>
      <xdr:spPr>
        <a:xfrm>
          <a:off x="8820411" y="8747343"/>
          <a:ext cx="7947895" cy="34326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201720</xdr:colOff>
      <xdr:row>10</xdr:row>
      <xdr:rowOff>35560</xdr:rowOff>
    </xdr:from>
    <xdr:to>
      <xdr:col>8</xdr:col>
      <xdr:colOff>109644</xdr:colOff>
      <xdr:row>16</xdr:row>
      <xdr:rowOff>108586</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849920" y="1813560"/>
          <a:ext cx="1457324" cy="1139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a:t>
          </a:r>
        </a:p>
      </xdr:txBody>
    </xdr:sp>
    <xdr:clientData/>
  </xdr:twoCellAnchor>
</xdr:wsDr>
</file>

<file path=xl/persons/person.xml><?xml version="1.0" encoding="utf-8"?>
<personList xmlns="http://schemas.microsoft.com/office/spreadsheetml/2018/threadedcomments" xmlns:x="http://schemas.openxmlformats.org/spreadsheetml/2006/main">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5" dT="2024-02-29T19:18:28.01" personId="{D3A7A72A-2CCE-4B98-9287-E64EF1DA71E4}" id="{544B825C-37CF-45D5-B0F4-596D85937986}">
    <text>This is not a shrouded banana jack and will not be acceptable.</text>
  </threadedComment>
  <threadedComment ref="C77" dT="2024-02-29T19:20:04.84" personId="{D3A7A72A-2CCE-4B98-9287-E64EF1DA71E4}" id="{8C50DDF0-3E01-DC43-BED3-A0A88416DDA8}">
    <text>Where is the mating connector for this PN?</text>
  </threadedComment>
  <threadedComment ref="E77" dT="2024-02-29T19:19:33.78" personId="{D3A7A72A-2CCE-4B98-9287-E64EF1DA71E4}" id="{FF56CDF6-A6CE-5A47-BA6B-481D9AC265E1}">
    <text>This connector is only rated for 400A with 12mm pin, but your PN is the 9.1mm pin.</text>
  </threadedComment>
  <threadedComment ref="F77" dT="2024-02-29T19:20:19.94" personId="{D3A7A72A-2CCE-4B98-9287-E64EF1DA71E4}" id="{957F969D-8BED-9C4D-85DD-8EBDFB692517}">
    <text>This seems like very small wire to use for such a high current rating.</text>
  </threadedComment>
  <threadedComment ref="C78" dT="2024-02-29T19:20:04.84" personId="{D3A7A72A-2CCE-4B98-9287-E64EF1DA71E4}" id="{180B41B2-72DA-4749-B5D3-CAF629118648}">
    <text>Where is the mating connector for this PN?</text>
  </threadedComment>
  <threadedComment ref="E78" dT="2024-02-29T19:19:33.78" personId="{D3A7A72A-2CCE-4B98-9287-E64EF1DA71E4}" id="{82E292EA-CF25-4828-825B-49F433B5D490}">
    <text>This connector is only rated for 400A with 12mm pin, but your PN is the 9.1mm pin.</text>
  </threadedComment>
  <threadedComment ref="F78" dT="2024-02-29T19:20:19.94" personId="{D3A7A72A-2CCE-4B98-9287-E64EF1DA71E4}" id="{2A588B4A-F784-4CB7-9E7A-DC7CB6E4E8E5}">
    <text>This seems like very small wire to use for such a high current rating.</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4-02-29T19:24:49.32" personId="{D3A7A72A-2CCE-4B98-9287-E64EF1DA71E4}" id="{FDB95D21-CA66-4D10-9BEE-6BE06AAD7D4B}">
    <text>What gauge wire is being used for TSMP and EM positive sense lead?
Please callout the length of the wire between the 6 AWG and overcurrent device (fuse/resistor) for TSMP and energy meter sense branch circuits.</text>
  </threadedComment>
  <threadedComment ref="M2" dT="2024-02-29T19:23:21.98" personId="{D3A7A72A-2CCE-4B98-9287-E64EF1DA71E4}" id="{90E429D8-DE1B-4F90-94F5-E09A6CC8F86F}">
    <text>I don't see 14 or 20AWG wire in the datasheets.
Please callout length of unfused portions of branch circuits (distance from start of branch to overcurrent device).</text>
  </threadedComment>
  <threadedComment ref="J51" dT="2024-02-29T19:22:13.58" personId="{D3A7A72A-2CCE-4B98-9287-E64EF1DA71E4}" id="{CB8BDC8F-C853-4CC9-94BB-03A9B834DB06}">
    <text>How will the discharge circuit work with the HVD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4-02-29T19:26:27.49" personId="{D3A7A72A-2CCE-4B98-9287-E64EF1DA71E4}" id="{9F78C09D-5497-4B6E-A5E9-ABA6150C8FA2}">
    <text>How have you connected the cells in this fashion.  Enepaq modules have the cells in parallel, so I would expect your connection method to be parallel then series unless you are modifying the enepaq module.</text>
  </threadedComment>
  <threadedComment ref="U9" dT="2024-02-29T19:28:12.36" personId="{D3A7A72A-2CCE-4B98-9287-E64EF1DA71E4}" id="{39E74DD6-260B-4E51-96B8-CC54B577B786}">
    <text>incomplete</text>
  </threadedComment>
  <threadedComment ref="O13" dT="2024-02-29T19:27:14.58" personId="{D3A7A72A-2CCE-4B98-9287-E64EF1DA71E4}" id="{9891A3C7-4A47-45A2-BEC4-83677DF2FABC}">
    <text>The Orion BMS only has this level of isolation between cell groups in different connectors.  Is each segment on a different connector and your BMS has 8 connectors for cell voltages?</text>
  </threadedComment>
  <threadedComment ref="O17" dT="2024-02-29T19:27:49.06" personId="{D3A7A72A-2CCE-4B98-9287-E64EF1DA71E4}" id="{1E289076-805A-4B75-B572-75CAE61A5789}">
    <text>You may want to plan your design with a little bit of margin from the spec.  i.e. if you cut the wire 1 mm to long you will be in violation of the rules.</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K33" dT="2024-02-29T19:31:28.73" personId="{D3A7A72A-2CCE-4B98-9287-E64EF1DA71E4}" id="{5D778989-94C2-4C6E-A557-9152C9BD905B}">
    <text>Some walls are green, some are red.  Are only the red walls covered in Nomex?</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4-02-29T19:32:55.29" personId="{D3A7A72A-2CCE-4B98-9287-E64EF1DA71E4}" id="{53B26EE5-BD3F-46A6-AC2E-343DFA9BF2C3}">
    <text>This does not meet EV.7.2.2.c</text>
  </threadedComment>
</ThreadedComments>
</file>

<file path=xl/threadedComments/threadedComment5.xml><?xml version="1.0" encoding="utf-8"?>
<ThreadedComments xmlns="http://schemas.microsoft.com/office/spreadsheetml/2018/threadedcomments" xmlns:x="http://schemas.openxmlformats.org/spreadsheetml/2006/main">
  <threadedComment ref="A13" dT="2024-02-29T19:34:07.56" personId="{D3A7A72A-2CCE-4B98-9287-E64EF1DA71E4}" id="{F0F0F153-7543-4F30-91B3-69284C10FBE8}">
    <text>Schematic is too low resolution to read.</text>
  </threadedComment>
  <threadedComment ref="J13" dT="2024-02-29T19:35:07.73" personId="{D3A7A72A-2CCE-4B98-9287-E64EF1DA71E4}" id="{8F7E58BE-04F3-4D65-A78A-2FC5D63A6ABE}">
    <text>Schematic is too low resolution to read.</text>
  </threadedComment>
</ThreadedComments>
</file>

<file path=xl/threadedComments/threadedComment6.xml><?xml version="1.0" encoding="utf-8"?>
<ThreadedComments xmlns="http://schemas.microsoft.com/office/spreadsheetml/2018/threadedcomments" xmlns:x="http://schemas.openxmlformats.org/spreadsheetml/2006/main">
  <threadedComment ref="M47" dT="2024-02-29T19:47:30.48" personId="{D3A7A72A-2CCE-4B98-9287-E64EF1DA71E4}" id="{3EBDB676-7D2C-43EC-8DBD-1B58CD019224}">
    <text>R4 is only rated for 200V working voltage, but will have ~325V across it.
It looks to me like this circuit will probably turn on at around 70V, not the required 60V in the rules.</text>
  </threadedComment>
</ThreadedComments>
</file>

<file path=xl/threadedComments/threadedComment7.xml><?xml version="1.0" encoding="utf-8"?>
<ThreadedComments xmlns="http://schemas.microsoft.com/office/spreadsheetml/2018/threadedcomments" xmlns:x="http://schemas.openxmlformats.org/spreadsheetml/2006/main">
  <threadedComment ref="F9" dT="2024-02-29T19:47:51.02" personId="{D3A7A72A-2CCE-4B98-9287-E64EF1DA71E4}" id="{A98F5AFF-7E67-4274-A5E0-A6E1E4BDE076}">
    <text>APPS sensor signals cannot cross.</text>
  </threadedComment>
</ThreadedComments>
</file>

<file path=xl/threadedComments/threadedComment8.xml><?xml version="1.0" encoding="utf-8"?>
<ThreadedComments xmlns="http://schemas.microsoft.com/office/spreadsheetml/2018/threadedcomments" xmlns:x="http://schemas.openxmlformats.org/spreadsheetml/2006/main">
  <threadedComment ref="A9" dT="2024-02-29T19:48:38.59" personId="{D3A7A72A-2CCE-4B98-9287-E64EF1DA71E4}" id="{4026C89C-90F0-43A4-96C7-5CF3FE64B927}">
    <text>The energy meter download connector will need to be accessed multiple times during competition.  It cannot be inside a TS enclosure.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www.te.com/commerce/DocumentDelivery/DDEController?Action=srchrtrv&amp;DocNm=1462043-2&amp;DocType=Customer+Drawing&amp;DocLang=English" TargetMode="External"/><Relationship Id="rId26" Type="http://schemas.openxmlformats.org/officeDocument/2006/relationships/hyperlink" Target="https://www.farnell.com/datasheets/2013715.pdf" TargetMode="External"/><Relationship Id="rId39" Type="http://schemas.openxmlformats.org/officeDocument/2006/relationships/comments" Target="../comments1.xml"/><Relationship Id="rId21" Type="http://schemas.openxmlformats.org/officeDocument/2006/relationships/hyperlink" Target="https://www.sensata.com/sites/default/files/a/sensata-gigavac-pnc113-series-minitactor-contactors-datasheet.pdf" TargetMode="External"/><Relationship Id="rId34" Type="http://schemas.openxmlformats.org/officeDocument/2006/relationships/hyperlink" Target="https://www.muellerelectric.com/product_files/986/DS-BU-P72930-@.pdf" TargetMode="External"/><Relationship Id="rId7"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belfuse.com/resources/datasheets/circuitprotection/ds-CP-0ADG-series.pdf" TargetMode="External"/><Relationship Id="rId17" Type="http://schemas.openxmlformats.org/officeDocument/2006/relationships/hyperlink" Target="https://www.te.com/usa-en/product-8-1879354-9.datasheet.pdf" TargetMode="External"/><Relationship Id="rId25" Type="http://schemas.openxmlformats.org/officeDocument/2006/relationships/hyperlink" Target="https://www.murata.com/-/media/webrenewal/products/batteries/cylindrical/pdf-sds/us18650vtc6-sds.ashx?la=en-US&amp;cvid=20210215080000000000" TargetMode="External"/><Relationship Id="rId33" Type="http://schemas.openxmlformats.org/officeDocument/2006/relationships/hyperlink" Target="https://www.te.com/usa-en/product-6-2176416-7.datasheet.pdf" TargetMode="External"/><Relationship Id="rId38" Type="http://schemas.openxmlformats.org/officeDocument/2006/relationships/vmlDrawing" Target="../drawings/vmlDrawing1.vml"/><Relationship Id="rId2" Type="http://schemas.openxmlformats.org/officeDocument/2006/relationships/hyperlink" Target="https://www.champcable.com/wp-content/uploads/2018/08/212.-SAE-EXRAD-150-HVFX-XLE-Shielded-Battery-Cable.pdf" TargetMode="External"/><Relationship Id="rId16" Type="http://schemas.openxmlformats.org/officeDocument/2006/relationships/hyperlink" Target="https://www.te.com/commerce/DocumentDelivery/DDEController?Action=srchrtrv&amp;DocNm=1773195&amp;DocType=DS&amp;DocLang=English" TargetMode="External"/><Relationship Id="rId20" Type="http://schemas.openxmlformats.org/officeDocument/2006/relationships/hyperlink" Target="https://www.sensata.com/sites/default/files/a/sensata-gigavac-gv24-sereies-800v-contactors-datasheet.pdf" TargetMode="External"/><Relationship Id="rId29" Type="http://schemas.openxmlformats.org/officeDocument/2006/relationships/hyperlink" Target="https://www.te.com/usa-en/product-DT04-6P-CL09.datasheet.pdf" TargetMode="External"/><Relationship Id="rId1" Type="http://schemas.openxmlformats.org/officeDocument/2006/relationships/hyperlink" Target="https://www.energusps.com/page/technology"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belfuse.com/resources/datasheets/circuitprotection/ds-cp-0adax-series.pdf" TargetMode="External"/><Relationship Id="rId24" Type="http://schemas.openxmlformats.org/officeDocument/2006/relationships/hyperlink" Target="https://www.imrbatteries.com/content/sony_us18650vtc6-2.pdf" TargetMode="External"/><Relationship Id="rId32" Type="http://schemas.openxmlformats.org/officeDocument/2006/relationships/hyperlink" Target="https://us.schurter.com/en/datasheet/typ_SHT_6.3x32.pdf" TargetMode="External"/><Relationship Id="rId37" Type="http://schemas.openxmlformats.org/officeDocument/2006/relationships/printerSettings" Target="../printerSettings/printerSettings2.bin"/><Relationship Id="rId40" Type="http://schemas.microsoft.com/office/2017/10/relationships/threadedComment" Target="../threadedComments/threadedComment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ohmite.com/assets/docs/res_tdh50.pdf?r=false" TargetMode="External"/><Relationship Id="rId23" Type="http://schemas.openxmlformats.org/officeDocument/2006/relationships/hyperlink" Target="https://www.molex.com/webdocs/datasheets/pdf/en-us/0334724001_CRIMP_HOUSINGS.pdf" TargetMode="External"/><Relationship Id="rId28" Type="http://schemas.openxmlformats.org/officeDocument/2006/relationships/hyperlink" Target="https://www.te.com/usa-en/product-DTM04-12PA-L012.datasheet.pdf" TargetMode="External"/><Relationship Id="rId36" Type="http://schemas.openxmlformats.org/officeDocument/2006/relationships/hyperlink" Target="https://www.farnell.com/datasheets/2013715.pdf" TargetMode="External"/><Relationship Id="rId10" Type="http://schemas.openxmlformats.org/officeDocument/2006/relationships/hyperlink" Target="https://www.grainger.com/ec/pdf/6XPF4_1.pdf" TargetMode="External"/><Relationship Id="rId19" Type="http://schemas.openxmlformats.org/officeDocument/2006/relationships/hyperlink" Target="https://www.sensata.com/sites/default/files/a/sensata-gigavac-p115-series-minitactor-contactors-datasheet.pdf" TargetMode="External"/><Relationship Id="rId31" Type="http://schemas.openxmlformats.org/officeDocument/2006/relationships/hyperlink" Target="https://www.dupont.com/content/dam/dupont/amer/us/en/safety/public/documents/en/DPT16_21668_Nomex_410_Tech_Data_Sheet_me03_REFERENCE.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ohmite.com/assets/docs/res_200.pdf?r=false" TargetMode="External"/><Relationship Id="rId22" Type="http://schemas.openxmlformats.org/officeDocument/2006/relationships/hyperlink" Targe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TargetMode="External"/><Relationship Id="rId27" Type="http://schemas.openxmlformats.org/officeDocument/2006/relationships/hyperlink" Target="https://www.te.com/usa-en/product-DTM06-12SA.datasheet.pdf" TargetMode="External"/><Relationship Id="rId30" Type="http://schemas.openxmlformats.org/officeDocument/2006/relationships/hyperlink" Target="https://www.te.com/usa-en/product-DT06-6S.datasheet.pdf" TargetMode="External"/><Relationship Id="rId35" Type="http://schemas.openxmlformats.org/officeDocument/2006/relationships/hyperlink" Target="https://www.muellerelectric.com/product_files/986/DS-BU-P72930-@.pdf" TargetMode="External"/><Relationship Id="rId8" Type="http://schemas.openxmlformats.org/officeDocument/2006/relationships/hyperlink" Target="https://www.eaton.com/content/dam/eaton/products/electronic-components/resources/data-sheet/eaton-pcs-fuse-holder-data-sheet.pdf" TargetMode="External"/><Relationship Id="rId3" Type="http://schemas.openxmlformats.org/officeDocument/2006/relationships/hyperlink" Target="https://www.champcable.com/wp-content/uploads/2018/08/212.-SAE-EXRAD-150-HVFX-XLE-Shielded-Battery-Cabl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17/10/relationships/threadedComment" Target="../threadedComments/threadedComment8.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A18" zoomScaleNormal="100" workbookViewId="0">
      <selection activeCell="P18" sqref="P18"/>
    </sheetView>
  </sheetViews>
  <sheetFormatPr baseColWidth="10" defaultColWidth="8.7109375" defaultRowHeight="14" x14ac:dyDescent="0.15"/>
  <cols>
    <col min="1" max="1" width="8.7109375" style="2"/>
    <col min="2" max="2" width="9.28515625" style="2" bestFit="1" customWidth="1"/>
    <col min="3" max="16384" width="8.7109375" style="2"/>
  </cols>
  <sheetData>
    <row r="1" spans="1:16" x14ac:dyDescent="0.15">
      <c r="A1" s="40" t="s">
        <v>0</v>
      </c>
      <c r="B1" s="40"/>
      <c r="C1" s="40"/>
      <c r="D1" s="40"/>
      <c r="E1" s="40"/>
      <c r="F1" s="40"/>
      <c r="G1" s="40"/>
      <c r="H1" s="40"/>
      <c r="J1" s="40" t="s">
        <v>1</v>
      </c>
      <c r="K1" s="40"/>
      <c r="L1" s="40"/>
    </row>
    <row r="2" spans="1:16" x14ac:dyDescent="0.15">
      <c r="A2" s="42" t="s">
        <v>2</v>
      </c>
      <c r="B2" s="43"/>
      <c r="C2" s="43"/>
      <c r="D2" s="43"/>
      <c r="E2" s="43"/>
      <c r="F2" s="43"/>
      <c r="G2" s="43"/>
      <c r="H2" s="43"/>
      <c r="J2" s="41" t="s">
        <v>3</v>
      </c>
      <c r="K2" s="41"/>
      <c r="L2" s="13" t="str">
        <f ca="1">Datasheets!C1</f>
        <v>OK</v>
      </c>
    </row>
    <row r="3" spans="1:16" x14ac:dyDescent="0.15">
      <c r="A3" s="43"/>
      <c r="B3" s="43"/>
      <c r="C3" s="43"/>
      <c r="D3" s="43"/>
      <c r="E3" s="43"/>
      <c r="F3" s="43"/>
      <c r="G3" s="43"/>
      <c r="H3" s="43"/>
      <c r="J3" s="41" t="s">
        <v>4</v>
      </c>
      <c r="K3" s="41"/>
      <c r="L3" s="13" t="str">
        <f ca="1">'TS Schematics'!B1</f>
        <v>OK</v>
      </c>
    </row>
    <row r="4" spans="1:16" x14ac:dyDescent="0.15">
      <c r="A4" s="43"/>
      <c r="B4" s="43"/>
      <c r="C4" s="43"/>
      <c r="D4" s="43"/>
      <c r="E4" s="43"/>
      <c r="F4" s="43"/>
      <c r="G4" s="43"/>
      <c r="H4" s="43"/>
      <c r="J4" s="41" t="s">
        <v>5</v>
      </c>
      <c r="K4" s="41"/>
      <c r="L4" s="13" t="str">
        <f ca="1">Accumulator!B1</f>
        <v>BLANK</v>
      </c>
    </row>
    <row r="5" spans="1:16" x14ac:dyDescent="0.15">
      <c r="A5" s="43"/>
      <c r="B5" s="43"/>
      <c r="C5" s="43"/>
      <c r="D5" s="43"/>
      <c r="E5" s="43"/>
      <c r="F5" s="43"/>
      <c r="G5" s="43"/>
      <c r="H5" s="43"/>
      <c r="J5" s="41" t="s">
        <v>6</v>
      </c>
      <c r="K5" s="41"/>
      <c r="L5" s="13" t="str">
        <f ca="1">PrechargeDischarge!B1</f>
        <v>OK</v>
      </c>
    </row>
    <row r="6" spans="1:16" x14ac:dyDescent="0.15">
      <c r="A6" s="43"/>
      <c r="B6" s="43"/>
      <c r="C6" s="43"/>
      <c r="D6" s="43"/>
      <c r="E6" s="43"/>
      <c r="F6" s="43"/>
      <c r="G6" s="43"/>
      <c r="H6" s="43"/>
      <c r="J6" s="41" t="s">
        <v>7</v>
      </c>
      <c r="K6" s="41"/>
      <c r="L6" s="13" t="str">
        <f ca="1">Charging!B1</f>
        <v>BLANK</v>
      </c>
    </row>
    <row r="7" spans="1:16" x14ac:dyDescent="0.15">
      <c r="A7" s="43"/>
      <c r="B7" s="43"/>
      <c r="C7" s="43"/>
      <c r="D7" s="43"/>
      <c r="E7" s="43"/>
      <c r="F7" s="43"/>
      <c r="G7" s="43"/>
      <c r="H7" s="43"/>
      <c r="J7" s="41" t="s">
        <v>8</v>
      </c>
      <c r="K7" s="41"/>
      <c r="L7" s="13" t="str">
        <f ca="1">'Shutdown Circuit'!B1</f>
        <v>WARNING</v>
      </c>
    </row>
    <row r="8" spans="1:16" x14ac:dyDescent="0.15">
      <c r="A8" s="43"/>
      <c r="B8" s="43"/>
      <c r="C8" s="43"/>
      <c r="D8" s="43"/>
      <c r="E8" s="43"/>
      <c r="F8" s="43"/>
      <c r="G8" s="43"/>
      <c r="H8" s="43"/>
      <c r="J8" s="41" t="s">
        <v>9</v>
      </c>
      <c r="K8" s="41"/>
      <c r="L8" s="13" t="str">
        <f ca="1">'Torque Security'!$B$1</f>
        <v>OK</v>
      </c>
    </row>
    <row r="9" spans="1:16" x14ac:dyDescent="0.15">
      <c r="A9" s="43"/>
      <c r="B9" s="43"/>
      <c r="C9" s="43"/>
      <c r="D9" s="43"/>
      <c r="E9" s="43"/>
      <c r="F9" s="43"/>
      <c r="G9" s="43"/>
      <c r="H9" s="43"/>
      <c r="J9" s="41" t="s">
        <v>10</v>
      </c>
      <c r="K9" s="41"/>
      <c r="L9" s="13" t="str">
        <f ca="1">Other!B1</f>
        <v>OK</v>
      </c>
    </row>
    <row r="10" spans="1:16" x14ac:dyDescent="0.15">
      <c r="A10" s="43"/>
      <c r="B10" s="43"/>
      <c r="C10" s="43"/>
      <c r="D10" s="43"/>
      <c r="E10" s="43"/>
      <c r="F10" s="43"/>
      <c r="G10" s="43"/>
      <c r="H10" s="43"/>
    </row>
    <row r="11" spans="1:16" x14ac:dyDescent="0.15">
      <c r="A11" s="43"/>
      <c r="B11" s="43"/>
      <c r="C11" s="43"/>
      <c r="D11" s="43"/>
      <c r="E11" s="43"/>
      <c r="F11" s="43"/>
      <c r="G11" s="43"/>
      <c r="H11" s="43"/>
      <c r="J11" s="44" t="s">
        <v>11</v>
      </c>
      <c r="K11" s="44"/>
      <c r="L11" s="56" t="s">
        <v>499</v>
      </c>
      <c r="M11" s="56"/>
      <c r="N11" s="56"/>
      <c r="O11" s="56"/>
      <c r="P11" s="56"/>
    </row>
    <row r="12" spans="1:16" x14ac:dyDescent="0.15">
      <c r="A12" s="43"/>
      <c r="B12" s="43"/>
      <c r="C12" s="43"/>
      <c r="D12" s="43"/>
      <c r="E12" s="43"/>
      <c r="F12" s="43"/>
      <c r="G12" s="43"/>
      <c r="H12" s="43"/>
      <c r="J12" s="44" t="s">
        <v>12</v>
      </c>
      <c r="K12" s="44"/>
      <c r="L12" s="56" t="s">
        <v>500</v>
      </c>
      <c r="M12" s="56"/>
      <c r="N12" s="56"/>
      <c r="O12" s="56"/>
      <c r="P12" s="56"/>
    </row>
    <row r="13" spans="1:16" x14ac:dyDescent="0.15">
      <c r="A13" s="43"/>
      <c r="B13" s="43"/>
      <c r="C13" s="43"/>
      <c r="D13" s="43"/>
      <c r="E13" s="43"/>
      <c r="F13" s="43"/>
      <c r="G13" s="43"/>
      <c r="H13" s="43"/>
      <c r="J13" s="44" t="s">
        <v>13</v>
      </c>
      <c r="K13" s="44"/>
      <c r="L13" s="45">
        <v>2023</v>
      </c>
      <c r="M13" s="45"/>
      <c r="N13" s="45"/>
      <c r="O13" s="45"/>
      <c r="P13" s="45"/>
    </row>
    <row r="14" spans="1:16" x14ac:dyDescent="0.15">
      <c r="A14" s="43"/>
      <c r="B14" s="43"/>
      <c r="C14" s="43"/>
      <c r="D14" s="43"/>
      <c r="E14" s="43"/>
      <c r="F14" s="43"/>
      <c r="G14" s="43"/>
      <c r="H14" s="43"/>
    </row>
    <row r="15" spans="1:16" x14ac:dyDescent="0.15">
      <c r="A15" s="43"/>
      <c r="B15" s="43"/>
      <c r="C15" s="43"/>
      <c r="D15" s="43"/>
      <c r="E15" s="43"/>
      <c r="F15" s="43"/>
      <c r="G15" s="43"/>
      <c r="H15" s="43"/>
      <c r="J15" s="41" t="s">
        <v>14</v>
      </c>
      <c r="K15" s="41"/>
      <c r="L15" s="20">
        <f>MaxTSVoltage</f>
        <v>403.20000000000005</v>
      </c>
      <c r="M15" s="2" t="s">
        <v>15</v>
      </c>
    </row>
    <row r="16" spans="1:16" x14ac:dyDescent="0.15">
      <c r="A16" s="43"/>
      <c r="B16" s="43"/>
      <c r="C16" s="43"/>
      <c r="D16" s="43"/>
      <c r="E16" s="43"/>
      <c r="F16" s="43"/>
      <c r="G16" s="43"/>
      <c r="H16" s="43"/>
      <c r="J16" s="41" t="s">
        <v>16</v>
      </c>
      <c r="K16" s="41"/>
      <c r="L16" s="20">
        <f ca="1">Accumulator!U20</f>
        <v>75</v>
      </c>
      <c r="M16" s="2" t="s">
        <v>17</v>
      </c>
    </row>
    <row r="17" spans="1:16" x14ac:dyDescent="0.15">
      <c r="A17" s="43"/>
      <c r="B17" s="43"/>
      <c r="C17" s="43"/>
      <c r="D17" s="43"/>
      <c r="E17" s="43"/>
      <c r="F17" s="43"/>
      <c r="G17" s="43"/>
      <c r="H17" s="43"/>
    </row>
    <row r="19" spans="1:16" x14ac:dyDescent="0.15">
      <c r="A19" s="55" t="s">
        <v>18</v>
      </c>
      <c r="B19" s="55"/>
      <c r="C19" s="55"/>
      <c r="D19" s="55"/>
      <c r="E19" s="55"/>
      <c r="F19" s="55"/>
      <c r="G19" s="55"/>
      <c r="H19" s="55"/>
      <c r="I19" s="55"/>
      <c r="J19" s="55"/>
      <c r="K19" s="55"/>
      <c r="L19" s="55"/>
      <c r="M19" s="55"/>
      <c r="N19" s="55"/>
      <c r="O19" s="55"/>
      <c r="P19" s="55"/>
    </row>
    <row r="20" spans="1:16" x14ac:dyDescent="0.15">
      <c r="A20" s="46"/>
      <c r="B20" s="47"/>
      <c r="C20" s="47"/>
      <c r="D20" s="47"/>
      <c r="E20" s="47"/>
      <c r="F20" s="47"/>
      <c r="G20" s="47"/>
      <c r="H20" s="47"/>
      <c r="I20" s="47"/>
      <c r="J20" s="47"/>
      <c r="K20" s="47"/>
      <c r="L20" s="47"/>
      <c r="M20" s="47"/>
      <c r="N20" s="47"/>
      <c r="O20" s="47"/>
      <c r="P20" s="48"/>
    </row>
    <row r="21" spans="1:16" x14ac:dyDescent="0.15">
      <c r="A21" s="49"/>
      <c r="B21" s="50"/>
      <c r="C21" s="50"/>
      <c r="D21" s="50"/>
      <c r="E21" s="50"/>
      <c r="F21" s="50"/>
      <c r="G21" s="50"/>
      <c r="H21" s="50"/>
      <c r="I21" s="50"/>
      <c r="J21" s="50"/>
      <c r="K21" s="50"/>
      <c r="L21" s="50"/>
      <c r="M21" s="50"/>
      <c r="N21" s="50"/>
      <c r="O21" s="50"/>
      <c r="P21" s="51"/>
    </row>
    <row r="22" spans="1:16" x14ac:dyDescent="0.15">
      <c r="A22" s="49"/>
      <c r="B22" s="50"/>
      <c r="C22" s="50"/>
      <c r="D22" s="50"/>
      <c r="E22" s="50"/>
      <c r="F22" s="50"/>
      <c r="G22" s="50"/>
      <c r="H22" s="50"/>
      <c r="I22" s="50"/>
      <c r="J22" s="50"/>
      <c r="K22" s="50"/>
      <c r="L22" s="50"/>
      <c r="M22" s="50"/>
      <c r="N22" s="50"/>
      <c r="O22" s="50"/>
      <c r="P22" s="51"/>
    </row>
    <row r="23" spans="1:16" x14ac:dyDescent="0.15">
      <c r="A23" s="49"/>
      <c r="B23" s="50"/>
      <c r="C23" s="50"/>
      <c r="D23" s="50"/>
      <c r="E23" s="50"/>
      <c r="F23" s="50"/>
      <c r="G23" s="50"/>
      <c r="H23" s="50"/>
      <c r="I23" s="50"/>
      <c r="J23" s="50"/>
      <c r="K23" s="50"/>
      <c r="L23" s="50"/>
      <c r="M23" s="50"/>
      <c r="N23" s="50"/>
      <c r="O23" s="50"/>
      <c r="P23" s="51"/>
    </row>
    <row r="24" spans="1:16" x14ac:dyDescent="0.15">
      <c r="A24" s="49"/>
      <c r="B24" s="50"/>
      <c r="C24" s="50"/>
      <c r="D24" s="50"/>
      <c r="E24" s="50"/>
      <c r="F24" s="50"/>
      <c r="G24" s="50"/>
      <c r="H24" s="50"/>
      <c r="I24" s="50"/>
      <c r="J24" s="50"/>
      <c r="K24" s="50"/>
      <c r="L24" s="50"/>
      <c r="M24" s="50"/>
      <c r="N24" s="50"/>
      <c r="O24" s="50"/>
      <c r="P24" s="51"/>
    </row>
    <row r="25" spans="1:16" x14ac:dyDescent="0.15">
      <c r="A25" s="49"/>
      <c r="B25" s="50"/>
      <c r="C25" s="50"/>
      <c r="D25" s="50"/>
      <c r="E25" s="50"/>
      <c r="F25" s="50"/>
      <c r="G25" s="50"/>
      <c r="H25" s="50"/>
      <c r="I25" s="50"/>
      <c r="J25" s="50"/>
      <c r="K25" s="50"/>
      <c r="L25" s="50"/>
      <c r="M25" s="50"/>
      <c r="N25" s="50"/>
      <c r="O25" s="50"/>
      <c r="P25" s="51"/>
    </row>
    <row r="26" spans="1:16" x14ac:dyDescent="0.15">
      <c r="A26" s="49"/>
      <c r="B26" s="50"/>
      <c r="C26" s="50"/>
      <c r="D26" s="50"/>
      <c r="E26" s="50"/>
      <c r="F26" s="50"/>
      <c r="G26" s="50"/>
      <c r="H26" s="50"/>
      <c r="I26" s="50"/>
      <c r="J26" s="50"/>
      <c r="K26" s="50"/>
      <c r="L26" s="50"/>
      <c r="M26" s="50"/>
      <c r="N26" s="50"/>
      <c r="O26" s="50"/>
      <c r="P26" s="51"/>
    </row>
    <row r="27" spans="1:16" x14ac:dyDescent="0.15">
      <c r="A27" s="49"/>
      <c r="B27" s="50"/>
      <c r="C27" s="50"/>
      <c r="D27" s="50"/>
      <c r="E27" s="50"/>
      <c r="F27" s="50"/>
      <c r="G27" s="50"/>
      <c r="H27" s="50"/>
      <c r="I27" s="50"/>
      <c r="J27" s="50"/>
      <c r="K27" s="50"/>
      <c r="L27" s="50"/>
      <c r="M27" s="50"/>
      <c r="N27" s="50"/>
      <c r="O27" s="50"/>
      <c r="P27" s="51"/>
    </row>
    <row r="28" spans="1:16" x14ac:dyDescent="0.15">
      <c r="A28" s="49"/>
      <c r="B28" s="50"/>
      <c r="C28" s="50"/>
      <c r="D28" s="50"/>
      <c r="E28" s="50"/>
      <c r="F28" s="50"/>
      <c r="G28" s="50"/>
      <c r="H28" s="50"/>
      <c r="I28" s="50"/>
      <c r="J28" s="50"/>
      <c r="K28" s="50"/>
      <c r="L28" s="50"/>
      <c r="M28" s="50"/>
      <c r="N28" s="50"/>
      <c r="O28" s="50"/>
      <c r="P28" s="51"/>
    </row>
    <row r="29" spans="1:16" x14ac:dyDescent="0.15">
      <c r="A29" s="49"/>
      <c r="B29" s="50"/>
      <c r="C29" s="50"/>
      <c r="D29" s="50"/>
      <c r="E29" s="50"/>
      <c r="F29" s="50"/>
      <c r="G29" s="50"/>
      <c r="H29" s="50"/>
      <c r="I29" s="50"/>
      <c r="J29" s="50"/>
      <c r="K29" s="50"/>
      <c r="L29" s="50"/>
      <c r="M29" s="50"/>
      <c r="N29" s="50"/>
      <c r="O29" s="50"/>
      <c r="P29" s="51"/>
    </row>
    <row r="30" spans="1:16" x14ac:dyDescent="0.15">
      <c r="A30" s="49"/>
      <c r="B30" s="50"/>
      <c r="C30" s="50"/>
      <c r="D30" s="50"/>
      <c r="E30" s="50"/>
      <c r="F30" s="50"/>
      <c r="G30" s="50"/>
      <c r="H30" s="50"/>
      <c r="I30" s="50"/>
      <c r="J30" s="50"/>
      <c r="K30" s="50"/>
      <c r="L30" s="50"/>
      <c r="M30" s="50"/>
      <c r="N30" s="50"/>
      <c r="O30" s="50"/>
      <c r="P30" s="51"/>
    </row>
    <row r="31" spans="1:16" x14ac:dyDescent="0.15">
      <c r="A31" s="49"/>
      <c r="B31" s="50"/>
      <c r="C31" s="50"/>
      <c r="D31" s="50"/>
      <c r="E31" s="50"/>
      <c r="F31" s="50"/>
      <c r="G31" s="50"/>
      <c r="H31" s="50"/>
      <c r="I31" s="50"/>
      <c r="J31" s="50"/>
      <c r="K31" s="50"/>
      <c r="L31" s="50"/>
      <c r="M31" s="50"/>
      <c r="N31" s="50"/>
      <c r="O31" s="50"/>
      <c r="P31" s="51"/>
    </row>
    <row r="32" spans="1:16" x14ac:dyDescent="0.15">
      <c r="A32" s="49"/>
      <c r="B32" s="50"/>
      <c r="C32" s="50"/>
      <c r="D32" s="50"/>
      <c r="E32" s="50"/>
      <c r="F32" s="50"/>
      <c r="G32" s="50"/>
      <c r="H32" s="50"/>
      <c r="I32" s="50"/>
      <c r="J32" s="50"/>
      <c r="K32" s="50"/>
      <c r="L32" s="50"/>
      <c r="M32" s="50"/>
      <c r="N32" s="50"/>
      <c r="O32" s="50"/>
      <c r="P32" s="51"/>
    </row>
    <row r="33" spans="1:16" x14ac:dyDescent="0.15">
      <c r="A33" s="49"/>
      <c r="B33" s="50"/>
      <c r="C33" s="50"/>
      <c r="D33" s="50"/>
      <c r="E33" s="50"/>
      <c r="F33" s="50"/>
      <c r="G33" s="50"/>
      <c r="H33" s="50"/>
      <c r="I33" s="50"/>
      <c r="J33" s="50"/>
      <c r="K33" s="50"/>
      <c r="L33" s="50"/>
      <c r="M33" s="50"/>
      <c r="N33" s="50"/>
      <c r="O33" s="50"/>
      <c r="P33" s="51"/>
    </row>
    <row r="34" spans="1:16" x14ac:dyDescent="0.15">
      <c r="A34" s="49"/>
      <c r="B34" s="50"/>
      <c r="C34" s="50"/>
      <c r="D34" s="50"/>
      <c r="E34" s="50"/>
      <c r="F34" s="50"/>
      <c r="G34" s="50"/>
      <c r="H34" s="50"/>
      <c r="I34" s="50"/>
      <c r="J34" s="50"/>
      <c r="K34" s="50"/>
      <c r="L34" s="50"/>
      <c r="M34" s="50"/>
      <c r="N34" s="50"/>
      <c r="O34" s="50"/>
      <c r="P34" s="51"/>
    </row>
    <row r="35" spans="1:16" x14ac:dyDescent="0.15">
      <c r="A35" s="52"/>
      <c r="B35" s="53"/>
      <c r="C35" s="53"/>
      <c r="D35" s="53"/>
      <c r="E35" s="53"/>
      <c r="F35" s="53"/>
      <c r="G35" s="53"/>
      <c r="H35" s="53"/>
      <c r="I35" s="53"/>
      <c r="J35" s="53"/>
      <c r="K35" s="53"/>
      <c r="L35" s="53"/>
      <c r="M35" s="53"/>
      <c r="N35" s="53"/>
      <c r="O35" s="53"/>
      <c r="P35" s="54"/>
    </row>
    <row r="38" spans="1:16" x14ac:dyDescent="0.15">
      <c r="A38" s="40" t="s">
        <v>19</v>
      </c>
      <c r="B38" s="40"/>
      <c r="C38" s="40"/>
      <c r="D38" s="40"/>
      <c r="E38" s="40"/>
      <c r="F38" s="40"/>
      <c r="G38" s="40"/>
      <c r="H38" s="40"/>
    </row>
    <row r="39" spans="1:16" x14ac:dyDescent="0.15">
      <c r="A39" s="25" t="s">
        <v>20</v>
      </c>
      <c r="B39" s="25" t="s">
        <v>21</v>
      </c>
      <c r="C39" s="39" t="s">
        <v>22</v>
      </c>
      <c r="D39" s="39"/>
      <c r="E39" s="39"/>
      <c r="F39" s="39"/>
      <c r="G39" s="39"/>
      <c r="H39" s="39"/>
    </row>
    <row r="40" spans="1:16" x14ac:dyDescent="0.15">
      <c r="A40" s="35">
        <v>2.2000000000000002</v>
      </c>
      <c r="B40" s="36">
        <v>44868</v>
      </c>
      <c r="C40" s="57" t="s">
        <v>357</v>
      </c>
      <c r="D40" s="58"/>
      <c r="E40" s="58"/>
      <c r="F40" s="58"/>
      <c r="G40" s="58"/>
      <c r="H40" s="59"/>
    </row>
    <row r="41" spans="1:16" x14ac:dyDescent="0.15">
      <c r="A41" s="14">
        <v>2.1</v>
      </c>
      <c r="B41" s="15">
        <v>44491</v>
      </c>
      <c r="C41" s="38" t="s">
        <v>358</v>
      </c>
      <c r="D41" s="38"/>
      <c r="E41" s="38"/>
      <c r="F41" s="38"/>
      <c r="G41" s="38"/>
      <c r="H41" s="38"/>
    </row>
    <row r="42" spans="1:16" x14ac:dyDescent="0.15">
      <c r="A42" s="14" t="s">
        <v>23</v>
      </c>
      <c r="B42" s="15">
        <v>44162</v>
      </c>
      <c r="C42" s="38" t="s">
        <v>24</v>
      </c>
      <c r="D42" s="38"/>
      <c r="E42" s="38"/>
      <c r="F42" s="38"/>
      <c r="G42" s="38"/>
      <c r="H42" s="38"/>
    </row>
  </sheetData>
  <sheetProtection algorithmName="SHA-512" hashValue="/DEnUfb55kwpXk+nLVerY+zQZEwHq3aMtD26pc5hc++4mKWe8EoyGxPOMlNICAq2CBHphDpiggyrIg2YK/CzVg==" saltValue="1eC+GX5UrrGVrp1oiwgM6w=="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abSelected="1" topLeftCell="B1" zoomScaleNormal="100" workbookViewId="0">
      <pane ySplit="1" topLeftCell="A62" activePane="bottomLeft" state="frozen"/>
      <selection pane="bottomLeft" activeCell="K81" sqref="K81:O82"/>
    </sheetView>
  </sheetViews>
  <sheetFormatPr baseColWidth="10" defaultColWidth="8.7109375" defaultRowHeight="14" x14ac:dyDescent="0.15"/>
  <cols>
    <col min="1" max="1" width="15.7109375" style="2" hidden="1" customWidth="1"/>
    <col min="2" max="2" width="11.85546875" style="2" customWidth="1"/>
    <col min="3" max="4" width="8.7109375" style="2"/>
    <col min="5" max="6" width="8.7109375" style="2" customWidth="1"/>
    <col min="7" max="16384" width="8.7109375" style="2"/>
  </cols>
  <sheetData>
    <row r="1" spans="2:8" x14ac:dyDescent="0.15">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x14ac:dyDescent="0.15">
      <c r="B2" s="40" t="s">
        <v>25</v>
      </c>
      <c r="C2" s="40"/>
      <c r="D2" s="40"/>
      <c r="E2" s="40"/>
      <c r="F2" s="13" t="str">
        <f>IF(COUNTBLANK(D3:D14)&gt;0, IncompleteText, OKText)</f>
        <v>OK</v>
      </c>
    </row>
    <row r="3" spans="2:8" x14ac:dyDescent="0.15">
      <c r="B3" s="62" t="s">
        <v>26</v>
      </c>
      <c r="C3" s="62"/>
      <c r="D3" s="56" t="s">
        <v>428</v>
      </c>
      <c r="E3" s="56"/>
    </row>
    <row r="4" spans="2:8" x14ac:dyDescent="0.15">
      <c r="B4" s="62" t="s">
        <v>27</v>
      </c>
      <c r="C4" s="62"/>
      <c r="D4" s="56" t="s">
        <v>429</v>
      </c>
      <c r="E4" s="56"/>
    </row>
    <row r="5" spans="2:8" x14ac:dyDescent="0.15">
      <c r="B5" s="62" t="s">
        <v>28</v>
      </c>
      <c r="C5" s="62"/>
      <c r="D5" s="12">
        <v>3.12</v>
      </c>
      <c r="E5" t="s">
        <v>29</v>
      </c>
    </row>
    <row r="6" spans="2:8" x14ac:dyDescent="0.15">
      <c r="B6" s="62" t="s">
        <v>30</v>
      </c>
      <c r="C6" s="62"/>
      <c r="D6" s="12">
        <v>4.2</v>
      </c>
      <c r="E6" t="s">
        <v>15</v>
      </c>
    </row>
    <row r="7" spans="2:8" x14ac:dyDescent="0.15">
      <c r="B7" s="62" t="s">
        <v>31</v>
      </c>
      <c r="C7" s="62"/>
      <c r="D7" s="12">
        <v>3.6</v>
      </c>
      <c r="E7" t="s">
        <v>15</v>
      </c>
    </row>
    <row r="8" spans="2:8" x14ac:dyDescent="0.15">
      <c r="B8" s="62" t="s">
        <v>32</v>
      </c>
      <c r="C8" s="62"/>
      <c r="D8" s="12">
        <v>2</v>
      </c>
      <c r="E8" t="s">
        <v>15</v>
      </c>
    </row>
    <row r="9" spans="2:8" x14ac:dyDescent="0.15">
      <c r="B9" s="62" t="s">
        <v>33</v>
      </c>
      <c r="C9" s="62"/>
      <c r="D9" s="12">
        <v>46.4</v>
      </c>
      <c r="E9" t="s">
        <v>17</v>
      </c>
    </row>
    <row r="10" spans="2:8" x14ac:dyDescent="0.15">
      <c r="B10" s="62" t="s">
        <v>34</v>
      </c>
      <c r="C10" s="62"/>
      <c r="D10" s="12">
        <v>30</v>
      </c>
      <c r="E10" t="s">
        <v>17</v>
      </c>
    </row>
    <row r="11" spans="2:8" x14ac:dyDescent="0.15">
      <c r="B11" s="62" t="s">
        <v>35</v>
      </c>
      <c r="C11" s="62"/>
      <c r="D11" s="12">
        <v>80</v>
      </c>
      <c r="E11" t="s">
        <v>36</v>
      </c>
    </row>
    <row r="12" spans="2:8" x14ac:dyDescent="0.15">
      <c r="B12" s="62" t="s">
        <v>37</v>
      </c>
      <c r="C12" s="62"/>
      <c r="D12" s="56" t="s">
        <v>430</v>
      </c>
      <c r="E12" s="56"/>
    </row>
    <row r="13" spans="2:8" x14ac:dyDescent="0.15">
      <c r="B13" s="62" t="s">
        <v>38</v>
      </c>
      <c r="C13" s="63"/>
      <c r="D13" s="56" t="s">
        <v>431</v>
      </c>
      <c r="E13" s="56"/>
    </row>
    <row r="14" spans="2:8" x14ac:dyDescent="0.15">
      <c r="B14" s="62" t="s">
        <v>39</v>
      </c>
      <c r="C14" s="63"/>
      <c r="D14" s="56" t="s">
        <v>432</v>
      </c>
      <c r="E14" s="56"/>
    </row>
    <row r="15" spans="2:8" x14ac:dyDescent="0.15">
      <c r="B15" s="62" t="s">
        <v>18</v>
      </c>
      <c r="C15" s="63"/>
      <c r="D15" s="56" t="s">
        <v>433</v>
      </c>
      <c r="E15" s="56"/>
      <c r="F15" s="56"/>
      <c r="G15" s="56"/>
      <c r="H15" s="56"/>
    </row>
    <row r="16" spans="2:8" x14ac:dyDescent="0.15">
      <c r="D16" s="9"/>
    </row>
    <row r="17" spans="1:18" x14ac:dyDescent="0.15">
      <c r="B17" s="40" t="s">
        <v>40</v>
      </c>
      <c r="C17" s="40"/>
      <c r="D17" s="40"/>
      <c r="E17" s="40"/>
      <c r="F17" s="40"/>
      <c r="G17" s="40"/>
      <c r="H17" s="40"/>
      <c r="I17" s="40"/>
      <c r="J17" s="24"/>
      <c r="K17" s="13" t="str">
        <f>IF(COUNTIF(K19:K37, "="&amp;IncompleteText), IncompleteText, IF(COUNTIF(K19:K37, "="&amp;ErrorText), ErrorText, OKText))</f>
        <v>OK</v>
      </c>
    </row>
    <row r="18" spans="1:18" ht="29.25" customHeight="1" x14ac:dyDescent="0.15">
      <c r="B18" t="s">
        <v>41</v>
      </c>
      <c r="C18" s="18" t="s">
        <v>42</v>
      </c>
      <c r="D18" s="18" t="s">
        <v>43</v>
      </c>
      <c r="E18" s="18" t="s">
        <v>44</v>
      </c>
      <c r="F18" s="18" t="s">
        <v>45</v>
      </c>
      <c r="G18" s="18" t="s">
        <v>46</v>
      </c>
      <c r="H18" s="61" t="s">
        <v>38</v>
      </c>
      <c r="I18" s="61"/>
      <c r="J18" s="18" t="s">
        <v>47</v>
      </c>
      <c r="K18" s="26"/>
      <c r="L18" s="65" t="s">
        <v>18</v>
      </c>
      <c r="M18" s="65"/>
      <c r="N18" s="65"/>
      <c r="O18" s="65"/>
      <c r="P18" s="65"/>
      <c r="Q18" s="76" t="s">
        <v>48</v>
      </c>
      <c r="R18" s="77"/>
    </row>
    <row r="19" spans="1:18" x14ac:dyDescent="0.15">
      <c r="A19" s="2" t="str">
        <f ca="1">CONCATENATE(INDIRECT(CONCATENATE("B",ROW(A19))), " ", INDIRECT(CONCATENATE("C",ROW(A19))))</f>
        <v>Energus Busbar</v>
      </c>
      <c r="B19" s="3" t="s">
        <v>359</v>
      </c>
      <c r="C19" s="12" t="s">
        <v>360</v>
      </c>
      <c r="D19" s="3">
        <v>25</v>
      </c>
      <c r="E19" s="21">
        <v>3200</v>
      </c>
      <c r="F19" s="3">
        <v>200</v>
      </c>
      <c r="G19" s="3">
        <v>100</v>
      </c>
      <c r="H19" s="60" t="s">
        <v>361</v>
      </c>
      <c r="I19" s="56"/>
      <c r="J19" s="23" t="s">
        <v>362</v>
      </c>
      <c r="K19" s="13" t="str">
        <f>IF(COUNTBLANK(B19:J19)=9,IncompleteText,IF(AND(COUNTBLANK(B19:J19)=1, G19&gt;=90),OKText,ErrorText))</f>
        <v>OK</v>
      </c>
      <c r="L19" s="56" t="s">
        <v>363</v>
      </c>
      <c r="M19" s="56"/>
      <c r="N19" s="56"/>
      <c r="O19" s="56"/>
      <c r="P19" s="56"/>
      <c r="Q19" s="70" t="s">
        <v>49</v>
      </c>
      <c r="R19" s="71"/>
    </row>
    <row r="20" spans="1:18" x14ac:dyDescent="0.15">
      <c r="A20" s="2" t="str">
        <f t="shared" ref="A20:A83" ca="1" si="0">CONCATENATE(INDIRECT(CONCATENATE("B",ROW(A20))), " ", INDIRECT(CONCATENATE("C",ROW(A20))))</f>
        <v xml:space="preserve"> </v>
      </c>
      <c r="B20" s="3"/>
      <c r="C20" s="12"/>
      <c r="D20" s="3"/>
      <c r="E20" s="3"/>
      <c r="F20" s="3"/>
      <c r="G20" s="3"/>
      <c r="H20" s="56"/>
      <c r="I20" s="56"/>
      <c r="J20" s="23"/>
      <c r="K20" s="13" t="str">
        <f t="shared" ref="K20:K37" si="1">IF(COUNTBLANK(B20:J20)=9,"",IF(AND(COUNTBLANK(B20:J20)=1, G20&gt;=90),OKText,ErrorText))</f>
        <v/>
      </c>
      <c r="L20" s="56" t="s">
        <v>364</v>
      </c>
      <c r="M20" s="56"/>
      <c r="N20" s="56"/>
      <c r="O20" s="56"/>
      <c r="P20" s="56"/>
      <c r="Q20" s="72"/>
      <c r="R20" s="73"/>
    </row>
    <row r="21" spans="1:18" x14ac:dyDescent="0.15">
      <c r="A21" s="2" t="str">
        <f t="shared" ca="1" si="0"/>
        <v xml:space="preserve"> </v>
      </c>
      <c r="B21" s="3"/>
      <c r="C21" s="12"/>
      <c r="D21" s="3"/>
      <c r="E21" s="3"/>
      <c r="F21" s="3"/>
      <c r="G21" s="3"/>
      <c r="H21" s="56"/>
      <c r="I21" s="56"/>
      <c r="J21" s="23"/>
      <c r="K21" s="13" t="str">
        <f t="shared" si="1"/>
        <v/>
      </c>
      <c r="L21" s="56" t="s">
        <v>365</v>
      </c>
      <c r="M21" s="56"/>
      <c r="N21" s="56"/>
      <c r="O21" s="56"/>
      <c r="P21" s="56"/>
      <c r="Q21" s="72"/>
      <c r="R21" s="73"/>
    </row>
    <row r="22" spans="1:18" x14ac:dyDescent="0.15">
      <c r="A22" s="2" t="str">
        <f t="shared" ca="1" si="0"/>
        <v>Champlain cable EXRAD-HVX6X</v>
      </c>
      <c r="B22" s="3" t="s">
        <v>367</v>
      </c>
      <c r="C22" s="12" t="s">
        <v>368</v>
      </c>
      <c r="D22" s="3">
        <v>19.100000000000001</v>
      </c>
      <c r="E22" s="3">
        <v>1000</v>
      </c>
      <c r="F22" s="3">
        <v>155</v>
      </c>
      <c r="G22" s="3">
        <v>150</v>
      </c>
      <c r="H22" s="60" t="s">
        <v>366</v>
      </c>
      <c r="I22" s="56"/>
      <c r="J22" s="23" t="s">
        <v>369</v>
      </c>
      <c r="K22" s="13" t="str">
        <f t="shared" si="1"/>
        <v>OK</v>
      </c>
      <c r="L22" s="56"/>
      <c r="M22" s="56"/>
      <c r="N22" s="56"/>
      <c r="O22" s="56"/>
      <c r="P22" s="56"/>
      <c r="Q22" s="72"/>
      <c r="R22" s="73"/>
    </row>
    <row r="23" spans="1:18" x14ac:dyDescent="0.15">
      <c r="A23" s="2" t="str">
        <f t="shared" ca="1" si="0"/>
        <v>Champlain cable EXRAD-HVX6X</v>
      </c>
      <c r="B23" s="3" t="s">
        <v>367</v>
      </c>
      <c r="C23" s="12" t="s">
        <v>368</v>
      </c>
      <c r="D23" s="3">
        <v>19.100000000000001</v>
      </c>
      <c r="E23" s="3">
        <v>1000</v>
      </c>
      <c r="F23" s="3">
        <v>155</v>
      </c>
      <c r="G23" s="3">
        <v>150</v>
      </c>
      <c r="H23" s="60" t="s">
        <v>366</v>
      </c>
      <c r="I23" s="56"/>
      <c r="J23" s="23" t="s">
        <v>370</v>
      </c>
      <c r="K23" s="13" t="str">
        <f t="shared" si="1"/>
        <v>OK</v>
      </c>
      <c r="L23" s="56"/>
      <c r="M23" s="56"/>
      <c r="N23" s="56"/>
      <c r="O23" s="56"/>
      <c r="P23" s="56"/>
      <c r="Q23" s="72"/>
      <c r="R23" s="73"/>
    </row>
    <row r="24" spans="1:18" x14ac:dyDescent="0.15">
      <c r="A24" s="2" t="str">
        <f t="shared" ca="1" si="0"/>
        <v>Champlain cable EXRAD-HVX6X</v>
      </c>
      <c r="B24" s="3" t="s">
        <v>367</v>
      </c>
      <c r="C24" s="12" t="s">
        <v>368</v>
      </c>
      <c r="D24" s="3">
        <v>19.100000000000001</v>
      </c>
      <c r="E24" s="3">
        <v>1000</v>
      </c>
      <c r="F24" s="3">
        <v>155</v>
      </c>
      <c r="G24" s="3">
        <v>150</v>
      </c>
      <c r="H24" s="60" t="s">
        <v>366</v>
      </c>
      <c r="I24" s="56"/>
      <c r="J24" s="23" t="s">
        <v>371</v>
      </c>
      <c r="K24" s="13" t="str">
        <f t="shared" si="1"/>
        <v>OK</v>
      </c>
      <c r="L24" s="56"/>
      <c r="M24" s="56"/>
      <c r="N24" s="56"/>
      <c r="O24" s="56"/>
      <c r="P24" s="56"/>
      <c r="Q24" s="72"/>
      <c r="R24" s="73"/>
    </row>
    <row r="25" spans="1:18" x14ac:dyDescent="0.15">
      <c r="A25" s="2" t="str">
        <f t="shared" ca="1" si="0"/>
        <v>Champlain cable EXRAD-HVX6X</v>
      </c>
      <c r="B25" s="3" t="s">
        <v>367</v>
      </c>
      <c r="C25" s="12" t="s">
        <v>368</v>
      </c>
      <c r="D25" s="3">
        <v>19.100000000000001</v>
      </c>
      <c r="E25" s="3">
        <v>1000</v>
      </c>
      <c r="F25" s="3">
        <v>155</v>
      </c>
      <c r="G25" s="3">
        <v>150</v>
      </c>
      <c r="H25" s="60" t="s">
        <v>366</v>
      </c>
      <c r="I25" s="56"/>
      <c r="J25" s="23" t="s">
        <v>372</v>
      </c>
      <c r="K25" s="13" t="str">
        <f t="shared" si="1"/>
        <v>OK</v>
      </c>
      <c r="L25" s="56"/>
      <c r="M25" s="56"/>
      <c r="N25" s="56"/>
      <c r="O25" s="56"/>
      <c r="P25" s="56"/>
      <c r="Q25" s="72"/>
      <c r="R25" s="73"/>
    </row>
    <row r="26" spans="1:18" x14ac:dyDescent="0.15">
      <c r="A26" s="2" t="str">
        <f t="shared" ca="1" si="0"/>
        <v>Champlain cable EXRAD-HVX6X</v>
      </c>
      <c r="B26" s="3" t="s">
        <v>367</v>
      </c>
      <c r="C26" s="12" t="s">
        <v>368</v>
      </c>
      <c r="D26" s="3">
        <v>19.100000000000001</v>
      </c>
      <c r="E26" s="3">
        <v>1000</v>
      </c>
      <c r="F26" s="3">
        <v>155</v>
      </c>
      <c r="G26" s="3">
        <v>150</v>
      </c>
      <c r="H26" s="60" t="s">
        <v>366</v>
      </c>
      <c r="I26" s="56"/>
      <c r="J26" s="23" t="s">
        <v>373</v>
      </c>
      <c r="K26" s="13" t="str">
        <f t="shared" si="1"/>
        <v>OK</v>
      </c>
      <c r="L26" s="56"/>
      <c r="M26" s="56"/>
      <c r="N26" s="56"/>
      <c r="O26" s="56"/>
      <c r="P26" s="56"/>
      <c r="Q26" s="72"/>
      <c r="R26" s="73"/>
    </row>
    <row r="27" spans="1:18" x14ac:dyDescent="0.15">
      <c r="A27" s="2" t="str">
        <f t="shared" ca="1" si="0"/>
        <v>Champlain cable EXRAD-HVX6X</v>
      </c>
      <c r="B27" s="3" t="s">
        <v>367</v>
      </c>
      <c r="C27" s="12" t="s">
        <v>368</v>
      </c>
      <c r="D27" s="3">
        <v>19.100000000000001</v>
      </c>
      <c r="E27" s="3">
        <v>1000</v>
      </c>
      <c r="F27" s="3">
        <v>155</v>
      </c>
      <c r="G27" s="3">
        <v>150</v>
      </c>
      <c r="H27" s="60" t="s">
        <v>366</v>
      </c>
      <c r="I27" s="56"/>
      <c r="J27" s="23" t="s">
        <v>374</v>
      </c>
      <c r="K27" s="13" t="str">
        <f t="shared" si="1"/>
        <v>OK</v>
      </c>
      <c r="L27" s="56"/>
      <c r="M27" s="56"/>
      <c r="N27" s="56"/>
      <c r="O27" s="56"/>
      <c r="P27" s="56"/>
      <c r="Q27" s="72"/>
      <c r="R27" s="73"/>
    </row>
    <row r="28" spans="1:18" x14ac:dyDescent="0.15">
      <c r="A28" s="2" t="str">
        <f t="shared" ca="1" si="0"/>
        <v>Eaton BK/PCS</v>
      </c>
      <c r="B28" s="3" t="s">
        <v>375</v>
      </c>
      <c r="C28" s="12" t="s">
        <v>376</v>
      </c>
      <c r="D28" s="3">
        <v>0.20300000000000001</v>
      </c>
      <c r="E28" s="3">
        <v>250</v>
      </c>
      <c r="F28" s="3">
        <v>6.3</v>
      </c>
      <c r="G28" s="3">
        <v>200</v>
      </c>
      <c r="H28" s="60" t="s">
        <v>378</v>
      </c>
      <c r="I28" s="56"/>
      <c r="J28" s="23" t="s">
        <v>377</v>
      </c>
      <c r="K28" s="13" t="str">
        <f t="shared" si="1"/>
        <v>OK</v>
      </c>
      <c r="L28" s="56"/>
      <c r="M28" s="56"/>
      <c r="N28" s="56"/>
      <c r="O28" s="56"/>
      <c r="P28" s="56"/>
      <c r="Q28" s="72"/>
      <c r="R28" s="73"/>
    </row>
    <row r="29" spans="1:18" x14ac:dyDescent="0.15">
      <c r="A29" s="2" t="str">
        <f t="shared" ca="1" si="0"/>
        <v xml:space="preserve"> </v>
      </c>
      <c r="B29" s="3"/>
      <c r="C29" s="12"/>
      <c r="D29" s="3"/>
      <c r="E29" s="3"/>
      <c r="F29" s="3"/>
      <c r="G29" s="3"/>
      <c r="H29" s="56"/>
      <c r="I29" s="56"/>
      <c r="J29" s="23"/>
      <c r="K29" s="13" t="str">
        <f t="shared" si="1"/>
        <v/>
      </c>
      <c r="L29" s="56"/>
      <c r="M29" s="56"/>
      <c r="N29" s="56"/>
      <c r="O29" s="56"/>
      <c r="P29" s="56"/>
      <c r="Q29" s="72"/>
      <c r="R29" s="73"/>
    </row>
    <row r="30" spans="1:18" x14ac:dyDescent="0.15">
      <c r="A30" s="2" t="str">
        <f t="shared" ca="1" si="0"/>
        <v xml:space="preserve"> </v>
      </c>
      <c r="B30" s="3"/>
      <c r="C30" s="12"/>
      <c r="D30" s="3"/>
      <c r="E30" s="3"/>
      <c r="F30" s="3"/>
      <c r="G30" s="3"/>
      <c r="H30" s="56"/>
      <c r="I30" s="56"/>
      <c r="J30" s="23"/>
      <c r="K30" s="13" t="str">
        <f t="shared" si="1"/>
        <v/>
      </c>
      <c r="L30" s="56"/>
      <c r="M30" s="56"/>
      <c r="N30" s="56"/>
      <c r="O30" s="56"/>
      <c r="P30" s="56"/>
      <c r="Q30" s="72"/>
      <c r="R30" s="73"/>
    </row>
    <row r="31" spans="1:18" x14ac:dyDescent="0.15">
      <c r="A31" s="2" t="str">
        <f t="shared" ca="1" si="0"/>
        <v xml:space="preserve"> </v>
      </c>
      <c r="B31" s="3"/>
      <c r="C31" s="12"/>
      <c r="D31" s="3"/>
      <c r="E31" s="3"/>
      <c r="F31" s="3"/>
      <c r="G31" s="3"/>
      <c r="H31" s="56"/>
      <c r="I31" s="56"/>
      <c r="J31" s="23"/>
      <c r="K31" s="13" t="str">
        <f t="shared" si="1"/>
        <v/>
      </c>
      <c r="L31" s="56"/>
      <c r="M31" s="56"/>
      <c r="N31" s="56"/>
      <c r="O31" s="56"/>
      <c r="P31" s="56"/>
      <c r="Q31" s="72"/>
      <c r="R31" s="73"/>
    </row>
    <row r="32" spans="1:18" x14ac:dyDescent="0.15">
      <c r="A32" s="2" t="str">
        <f t="shared" ca="1" si="0"/>
        <v xml:space="preserve"> </v>
      </c>
      <c r="B32" s="3"/>
      <c r="C32" s="12"/>
      <c r="D32" s="3"/>
      <c r="E32" s="3"/>
      <c r="F32" s="3"/>
      <c r="G32" s="3"/>
      <c r="H32" s="56"/>
      <c r="I32" s="56"/>
      <c r="J32" s="23"/>
      <c r="K32" s="13" t="str">
        <f t="shared" si="1"/>
        <v/>
      </c>
      <c r="L32" s="56"/>
      <c r="M32" s="56"/>
      <c r="N32" s="56"/>
      <c r="O32" s="56"/>
      <c r="P32" s="56"/>
      <c r="Q32" s="72"/>
      <c r="R32" s="73"/>
    </row>
    <row r="33" spans="1:18" x14ac:dyDescent="0.15">
      <c r="A33" s="2" t="str">
        <f t="shared" ca="1" si="0"/>
        <v xml:space="preserve"> </v>
      </c>
      <c r="B33" s="3"/>
      <c r="C33" s="12"/>
      <c r="D33" s="3"/>
      <c r="E33" s="3"/>
      <c r="F33" s="3"/>
      <c r="G33" s="3"/>
      <c r="H33" s="56"/>
      <c r="I33" s="56"/>
      <c r="J33" s="23"/>
      <c r="K33" s="13" t="str">
        <f t="shared" si="1"/>
        <v/>
      </c>
      <c r="L33" s="56"/>
      <c r="M33" s="56"/>
      <c r="N33" s="56"/>
      <c r="O33" s="56"/>
      <c r="P33" s="56"/>
      <c r="Q33" s="72"/>
      <c r="R33" s="73"/>
    </row>
    <row r="34" spans="1:18" x14ac:dyDescent="0.15">
      <c r="A34" s="2" t="str">
        <f t="shared" ca="1" si="0"/>
        <v xml:space="preserve"> </v>
      </c>
      <c r="B34" s="3"/>
      <c r="C34" s="12"/>
      <c r="D34" s="3"/>
      <c r="E34" s="3"/>
      <c r="F34" s="3"/>
      <c r="G34" s="3"/>
      <c r="H34" s="56"/>
      <c r="I34" s="56"/>
      <c r="J34" s="23"/>
      <c r="K34" s="13" t="str">
        <f t="shared" si="1"/>
        <v/>
      </c>
      <c r="L34" s="56"/>
      <c r="M34" s="56"/>
      <c r="N34" s="56"/>
      <c r="O34" s="56"/>
      <c r="P34" s="56"/>
      <c r="Q34" s="72"/>
      <c r="R34" s="73"/>
    </row>
    <row r="35" spans="1:18" x14ac:dyDescent="0.15">
      <c r="A35" s="2" t="str">
        <f t="shared" ca="1" si="0"/>
        <v xml:space="preserve"> </v>
      </c>
      <c r="B35" s="3"/>
      <c r="C35" s="12"/>
      <c r="D35" s="3"/>
      <c r="E35" s="3"/>
      <c r="F35" s="3"/>
      <c r="G35" s="3"/>
      <c r="H35" s="56"/>
      <c r="I35" s="56"/>
      <c r="J35" s="23"/>
      <c r="K35" s="13" t="str">
        <f t="shared" si="1"/>
        <v/>
      </c>
      <c r="L35" s="56"/>
      <c r="M35" s="56"/>
      <c r="N35" s="56"/>
      <c r="O35" s="56"/>
      <c r="P35" s="56"/>
      <c r="Q35" s="72"/>
      <c r="R35" s="73"/>
    </row>
    <row r="36" spans="1:18" x14ac:dyDescent="0.15">
      <c r="A36" s="2" t="str">
        <f t="shared" ca="1" si="0"/>
        <v xml:space="preserve"> </v>
      </c>
      <c r="B36" s="3"/>
      <c r="C36" s="12"/>
      <c r="D36" s="3"/>
      <c r="E36" s="3"/>
      <c r="F36" s="3"/>
      <c r="G36" s="3"/>
      <c r="H36" s="56"/>
      <c r="I36" s="56"/>
      <c r="J36" s="23"/>
      <c r="K36" s="13" t="str">
        <f t="shared" si="1"/>
        <v/>
      </c>
      <c r="L36" s="56"/>
      <c r="M36" s="56"/>
      <c r="N36" s="56"/>
      <c r="O36" s="56"/>
      <c r="P36" s="56"/>
      <c r="Q36" s="72"/>
      <c r="R36" s="73"/>
    </row>
    <row r="37" spans="1:18" x14ac:dyDescent="0.15">
      <c r="A37" s="2" t="str">
        <f t="shared" ca="1" si="0"/>
        <v xml:space="preserve"> </v>
      </c>
      <c r="B37" s="3"/>
      <c r="C37" s="12"/>
      <c r="D37" s="3"/>
      <c r="E37" s="3"/>
      <c r="F37" s="3"/>
      <c r="G37" s="3"/>
      <c r="H37" s="56"/>
      <c r="I37" s="56"/>
      <c r="J37" s="23"/>
      <c r="K37" s="13" t="str">
        <f t="shared" si="1"/>
        <v/>
      </c>
      <c r="L37" s="56"/>
      <c r="M37" s="56"/>
      <c r="N37" s="56"/>
      <c r="O37" s="56"/>
      <c r="P37" s="56"/>
      <c r="Q37" s="74"/>
      <c r="R37" s="75"/>
    </row>
    <row r="38" spans="1:18" x14ac:dyDescent="0.15">
      <c r="A38" s="2" t="str">
        <f t="shared" ca="1" si="0"/>
        <v xml:space="preserve"> </v>
      </c>
    </row>
    <row r="39" spans="1:18" x14ac:dyDescent="0.15">
      <c r="A39" s="2" t="str">
        <f t="shared" ca="1" si="0"/>
        <v xml:space="preserve">Fuses </v>
      </c>
      <c r="B39" s="40" t="s">
        <v>50</v>
      </c>
      <c r="C39" s="40"/>
      <c r="D39" s="40"/>
      <c r="E39" s="40"/>
      <c r="F39" s="40"/>
      <c r="G39" s="40"/>
      <c r="H39" s="40"/>
      <c r="I39" s="40"/>
      <c r="J39" s="24"/>
      <c r="K39" s="13" t="str">
        <f>IF(COUNTIF(K41:K52, "="&amp;IncompleteText), IncompleteText, IF(COUNTIF(K41:K52, "="&amp;ErrorText), ErrorText, OKText))</f>
        <v>OK</v>
      </c>
    </row>
    <row r="40" spans="1:18" ht="30" x14ac:dyDescent="0.15">
      <c r="A40" s="2" t="str">
        <f t="shared" ca="1" si="0"/>
        <v>Manufacturer Part Number</v>
      </c>
      <c r="B40" t="s">
        <v>41</v>
      </c>
      <c r="C40" s="18" t="s">
        <v>42</v>
      </c>
      <c r="D40" s="18" t="s">
        <v>51</v>
      </c>
      <c r="E40" s="26" t="s">
        <v>52</v>
      </c>
      <c r="F40" s="18" t="s">
        <v>53</v>
      </c>
      <c r="G40" s="18" t="s">
        <v>54</v>
      </c>
      <c r="H40" s="61" t="s">
        <v>38</v>
      </c>
      <c r="I40" s="61"/>
      <c r="J40" s="18" t="s">
        <v>47</v>
      </c>
      <c r="K40" s="26"/>
      <c r="L40" s="65" t="s">
        <v>18</v>
      </c>
      <c r="M40" s="65"/>
      <c r="N40" s="65"/>
      <c r="O40" s="65"/>
      <c r="P40" s="65"/>
      <c r="Q40" s="76" t="s">
        <v>48</v>
      </c>
      <c r="R40" s="77"/>
    </row>
    <row r="41" spans="1:18" x14ac:dyDescent="0.15">
      <c r="A41" s="2" t="str">
        <f t="shared" ca="1" si="0"/>
        <v>Eaton - Electronic Division BK/PCC-3/4-R</v>
      </c>
      <c r="B41" s="3" t="s">
        <v>379</v>
      </c>
      <c r="C41" s="12" t="s">
        <v>380</v>
      </c>
      <c r="D41" s="3">
        <v>450</v>
      </c>
      <c r="E41" s="3" t="s">
        <v>381</v>
      </c>
      <c r="F41" s="3">
        <v>0.75</v>
      </c>
      <c r="G41" s="17">
        <v>5900</v>
      </c>
      <c r="H41" s="56" t="s">
        <v>382</v>
      </c>
      <c r="I41" s="56"/>
      <c r="J41" s="23" t="s">
        <v>396</v>
      </c>
      <c r="K41" s="13" t="str">
        <f>IF(COUNTBLANK(B41:J41)=9,IncompleteText,IF(COUNTBLANK(B41:J41)=1,OKText,ErrorText))</f>
        <v>OK</v>
      </c>
      <c r="L41" s="56"/>
      <c r="M41" s="56"/>
      <c r="N41" s="56"/>
      <c r="O41" s="56"/>
      <c r="P41" s="56"/>
      <c r="Q41" s="70" t="s">
        <v>55</v>
      </c>
      <c r="R41" s="71"/>
    </row>
    <row r="42" spans="1:18" x14ac:dyDescent="0.15">
      <c r="A42" s="2" t="str">
        <f t="shared" ca="1" si="0"/>
        <v>Mersen Semiconductor A50QS75-4Y</v>
      </c>
      <c r="B42" s="3" t="s">
        <v>383</v>
      </c>
      <c r="C42" s="12" t="s">
        <v>384</v>
      </c>
      <c r="D42" s="3">
        <v>500</v>
      </c>
      <c r="E42" s="3" t="s">
        <v>381</v>
      </c>
      <c r="F42" s="3">
        <v>75</v>
      </c>
      <c r="G42" s="3">
        <v>1200</v>
      </c>
      <c r="H42" s="56" t="s">
        <v>385</v>
      </c>
      <c r="I42" s="56"/>
      <c r="J42" s="23" t="s">
        <v>386</v>
      </c>
      <c r="K42" s="13" t="str">
        <f t="shared" ref="K42:K52" si="2">IF(COUNTBLANK(B42:J42)=9,"",IF(COUNTBLANK(B42:J42)=1,OKText,ErrorText))</f>
        <v>OK</v>
      </c>
      <c r="L42" s="56"/>
      <c r="M42" s="56"/>
      <c r="N42" s="56"/>
      <c r="O42" s="56"/>
      <c r="P42" s="56"/>
      <c r="Q42" s="72"/>
      <c r="R42" s="73"/>
    </row>
    <row r="43" spans="1:18" x14ac:dyDescent="0.15">
      <c r="A43" s="2" t="str">
        <f t="shared" ca="1" si="0"/>
        <v>Bel Fuse Inc 0ADAP6000-RE</v>
      </c>
      <c r="B43" s="3" t="s">
        <v>387</v>
      </c>
      <c r="C43" s="12" t="s">
        <v>388</v>
      </c>
      <c r="D43" s="3">
        <v>600</v>
      </c>
      <c r="E43" s="3" t="s">
        <v>381</v>
      </c>
      <c r="F43" s="3">
        <v>6</v>
      </c>
      <c r="G43" s="3">
        <v>12</v>
      </c>
      <c r="H43" s="56" t="s">
        <v>389</v>
      </c>
      <c r="I43" s="56"/>
      <c r="J43" s="23" t="s">
        <v>104</v>
      </c>
      <c r="K43" s="13" t="str">
        <f t="shared" si="2"/>
        <v>OK</v>
      </c>
      <c r="L43" s="56"/>
      <c r="M43" s="56"/>
      <c r="N43" s="56"/>
      <c r="O43" s="56"/>
      <c r="P43" s="56"/>
      <c r="Q43" s="72"/>
      <c r="R43" s="73"/>
    </row>
    <row r="44" spans="1:18" x14ac:dyDescent="0.15">
      <c r="A44" s="2" t="str">
        <f t="shared" ca="1" si="0"/>
        <v>Bel Fuse Inc 0ADGC9200-BE</v>
      </c>
      <c r="B44" s="3" t="s">
        <v>387</v>
      </c>
      <c r="C44" s="12" t="s">
        <v>390</v>
      </c>
      <c r="D44" s="3">
        <v>500</v>
      </c>
      <c r="E44" s="3" t="s">
        <v>381</v>
      </c>
      <c r="F44" s="3">
        <v>20</v>
      </c>
      <c r="G44" s="3">
        <v>1000</v>
      </c>
      <c r="H44" s="56" t="s">
        <v>391</v>
      </c>
      <c r="I44" s="56"/>
      <c r="J44" s="23" t="s">
        <v>392</v>
      </c>
      <c r="K44" s="13" t="str">
        <f t="shared" si="2"/>
        <v>OK</v>
      </c>
      <c r="L44" s="56"/>
      <c r="M44" s="56"/>
      <c r="N44" s="56"/>
      <c r="O44" s="56"/>
      <c r="P44" s="56"/>
      <c r="Q44" s="72"/>
      <c r="R44" s="73"/>
    </row>
    <row r="45" spans="1:18" x14ac:dyDescent="0.15">
      <c r="A45" s="2" t="str">
        <f t="shared" ca="1" si="0"/>
        <v>Energus Fusible Link</v>
      </c>
      <c r="B45" s="3" t="s">
        <v>359</v>
      </c>
      <c r="C45" s="12" t="s">
        <v>393</v>
      </c>
      <c r="D45" s="3">
        <v>12</v>
      </c>
      <c r="E45" s="3" t="s">
        <v>381</v>
      </c>
      <c r="F45" s="3">
        <v>45</v>
      </c>
      <c r="G45" s="3">
        <v>1000</v>
      </c>
      <c r="H45" s="56" t="s">
        <v>394</v>
      </c>
      <c r="I45" s="56"/>
      <c r="J45" s="23" t="s">
        <v>395</v>
      </c>
      <c r="K45" s="13" t="str">
        <f t="shared" si="2"/>
        <v>OK</v>
      </c>
      <c r="L45" s="56"/>
      <c r="M45" s="56"/>
      <c r="N45" s="56"/>
      <c r="O45" s="56"/>
      <c r="P45" s="56"/>
      <c r="Q45" s="72"/>
      <c r="R45" s="73"/>
    </row>
    <row r="46" spans="1:18" x14ac:dyDescent="0.15">
      <c r="A46" s="2" t="str">
        <f t="shared" ca="1" si="0"/>
        <v>Schurter 8020.5011.G</v>
      </c>
      <c r="B46" s="3" t="s">
        <v>492</v>
      </c>
      <c r="C46" s="12" t="s">
        <v>495</v>
      </c>
      <c r="D46" s="3">
        <v>400</v>
      </c>
      <c r="E46" s="3" t="s">
        <v>381</v>
      </c>
      <c r="F46" s="3">
        <v>1</v>
      </c>
      <c r="G46" s="3">
        <v>1500</v>
      </c>
      <c r="H46" s="56" t="s">
        <v>493</v>
      </c>
      <c r="I46" s="56"/>
      <c r="J46" s="23" t="s">
        <v>494</v>
      </c>
      <c r="K46" s="13" t="str">
        <f t="shared" si="2"/>
        <v>OK</v>
      </c>
      <c r="L46" s="56"/>
      <c r="M46" s="56"/>
      <c r="N46" s="56"/>
      <c r="O46" s="56"/>
      <c r="P46" s="56"/>
      <c r="Q46" s="72"/>
      <c r="R46" s="73"/>
    </row>
    <row r="47" spans="1:18" x14ac:dyDescent="0.15">
      <c r="A47" s="2" t="str">
        <f t="shared" ca="1" si="0"/>
        <v xml:space="preserve"> </v>
      </c>
      <c r="B47" s="3"/>
      <c r="C47" s="12"/>
      <c r="D47" s="3"/>
      <c r="E47" s="3"/>
      <c r="F47" s="3"/>
      <c r="G47" s="3"/>
      <c r="H47" s="56"/>
      <c r="I47" s="56"/>
      <c r="J47" s="23"/>
      <c r="K47" s="13" t="str">
        <f t="shared" si="2"/>
        <v/>
      </c>
      <c r="L47" s="56"/>
      <c r="M47" s="56"/>
      <c r="N47" s="56"/>
      <c r="O47" s="56"/>
      <c r="P47" s="56"/>
      <c r="Q47" s="72"/>
      <c r="R47" s="73"/>
    </row>
    <row r="48" spans="1:18" x14ac:dyDescent="0.15">
      <c r="A48" s="2" t="str">
        <f t="shared" ca="1" si="0"/>
        <v xml:space="preserve"> </v>
      </c>
      <c r="B48" s="3"/>
      <c r="C48" s="12"/>
      <c r="D48" s="3"/>
      <c r="E48" s="3"/>
      <c r="F48" s="3"/>
      <c r="G48" s="3"/>
      <c r="H48" s="56"/>
      <c r="I48" s="56"/>
      <c r="J48" s="23"/>
      <c r="K48" s="13" t="str">
        <f t="shared" si="2"/>
        <v/>
      </c>
      <c r="L48" s="56"/>
      <c r="M48" s="56"/>
      <c r="N48" s="56"/>
      <c r="O48" s="56"/>
      <c r="P48" s="56"/>
      <c r="Q48" s="72"/>
      <c r="R48" s="73"/>
    </row>
    <row r="49" spans="1:21" x14ac:dyDescent="0.15">
      <c r="A49" s="2" t="str">
        <f t="shared" ca="1" si="0"/>
        <v xml:space="preserve"> </v>
      </c>
      <c r="B49" s="3"/>
      <c r="C49" s="12"/>
      <c r="D49" s="3"/>
      <c r="E49" s="3"/>
      <c r="F49" s="3"/>
      <c r="G49" s="3"/>
      <c r="H49" s="56"/>
      <c r="I49" s="56"/>
      <c r="J49" s="23"/>
      <c r="K49" s="13" t="str">
        <f t="shared" si="2"/>
        <v/>
      </c>
      <c r="L49" s="56"/>
      <c r="M49" s="56"/>
      <c r="N49" s="56"/>
      <c r="O49" s="56"/>
      <c r="P49" s="56"/>
      <c r="Q49" s="72"/>
      <c r="R49" s="73"/>
    </row>
    <row r="50" spans="1:21" x14ac:dyDescent="0.15">
      <c r="A50" s="2" t="str">
        <f t="shared" ca="1" si="0"/>
        <v xml:space="preserve"> </v>
      </c>
      <c r="B50" s="3"/>
      <c r="C50" s="12"/>
      <c r="D50" s="3"/>
      <c r="E50" s="3"/>
      <c r="F50" s="3"/>
      <c r="G50" s="3"/>
      <c r="H50" s="56"/>
      <c r="I50" s="56"/>
      <c r="J50" s="23"/>
      <c r="K50" s="13" t="str">
        <f t="shared" si="2"/>
        <v/>
      </c>
      <c r="L50" s="56"/>
      <c r="M50" s="56"/>
      <c r="N50" s="56"/>
      <c r="O50" s="56"/>
      <c r="P50" s="56"/>
      <c r="Q50" s="72"/>
      <c r="R50" s="73"/>
    </row>
    <row r="51" spans="1:21" x14ac:dyDescent="0.15">
      <c r="A51" s="2" t="str">
        <f t="shared" ca="1" si="0"/>
        <v xml:space="preserve"> </v>
      </c>
      <c r="B51" s="3"/>
      <c r="C51" s="12"/>
      <c r="D51" s="3"/>
      <c r="E51" s="3"/>
      <c r="F51" s="3"/>
      <c r="G51" s="3"/>
      <c r="H51" s="56"/>
      <c r="I51" s="56"/>
      <c r="J51" s="23"/>
      <c r="K51" s="13" t="str">
        <f t="shared" si="2"/>
        <v/>
      </c>
      <c r="L51" s="56"/>
      <c r="M51" s="56"/>
      <c r="N51" s="56"/>
      <c r="O51" s="56"/>
      <c r="P51" s="56"/>
      <c r="Q51" s="72"/>
      <c r="R51" s="73"/>
    </row>
    <row r="52" spans="1:21" x14ac:dyDescent="0.15">
      <c r="A52" s="2" t="str">
        <f t="shared" ca="1" si="0"/>
        <v xml:space="preserve"> </v>
      </c>
      <c r="B52" s="3"/>
      <c r="C52" s="12"/>
      <c r="D52" s="3"/>
      <c r="E52" s="3"/>
      <c r="F52" s="3"/>
      <c r="G52" s="3"/>
      <c r="H52" s="56"/>
      <c r="I52" s="56"/>
      <c r="J52" s="23"/>
      <c r="K52" s="13" t="str">
        <f t="shared" si="2"/>
        <v/>
      </c>
      <c r="L52" s="56"/>
      <c r="M52" s="56"/>
      <c r="N52" s="56"/>
      <c r="O52" s="56"/>
      <c r="P52" s="56"/>
      <c r="Q52" s="74"/>
      <c r="R52" s="75"/>
    </row>
    <row r="53" spans="1:21" x14ac:dyDescent="0.15">
      <c r="A53" s="2" t="str">
        <f t="shared" ca="1" si="0"/>
        <v xml:space="preserve"> </v>
      </c>
    </row>
    <row r="54" spans="1:21" x14ac:dyDescent="0.15">
      <c r="A54" s="2" t="str">
        <f t="shared" ca="1" si="0"/>
        <v xml:space="preserve">Resistors </v>
      </c>
      <c r="B54" s="40" t="s">
        <v>56</v>
      </c>
      <c r="C54" s="40"/>
      <c r="D54" s="40"/>
      <c r="E54" s="40"/>
      <c r="F54" s="40"/>
      <c r="G54" s="40"/>
      <c r="H54" s="40"/>
      <c r="I54" s="40"/>
      <c r="J54" s="40"/>
      <c r="K54" s="40"/>
      <c r="L54" s="40"/>
      <c r="M54" s="24"/>
      <c r="N54" s="13" t="str">
        <f>IF(COUNTIF(N56:N61, "="&amp;IncompleteText), IncompleteText, IF(COUNTIF(N56:N61, "="&amp;ErrorText), ErrorText, OKText))</f>
        <v>OK</v>
      </c>
    </row>
    <row r="55" spans="1:21" ht="46" x14ac:dyDescent="0.2">
      <c r="A55" s="2" t="str">
        <f t="shared" ca="1" si="0"/>
        <v>Manufacturer Part Number</v>
      </c>
      <c r="B55" t="s">
        <v>41</v>
      </c>
      <c r="C55" s="18" t="s">
        <v>42</v>
      </c>
      <c r="D55" s="18" t="s">
        <v>51</v>
      </c>
      <c r="E55" s="18" t="s">
        <v>57</v>
      </c>
      <c r="F55" s="18" t="s">
        <v>58</v>
      </c>
      <c r="G55" s="18" t="s">
        <v>59</v>
      </c>
      <c r="H55" s="69" t="s">
        <v>60</v>
      </c>
      <c r="I55" s="65"/>
      <c r="J55" s="65"/>
      <c r="K55" s="61" t="s">
        <v>38</v>
      </c>
      <c r="L55" s="61"/>
      <c r="M55" s="18" t="s">
        <v>47</v>
      </c>
      <c r="N55" s="26"/>
      <c r="O55" s="65" t="s">
        <v>18</v>
      </c>
      <c r="P55" s="65"/>
      <c r="Q55" s="65"/>
      <c r="R55" s="65"/>
      <c r="S55" s="65"/>
      <c r="T55" s="76" t="s">
        <v>48</v>
      </c>
      <c r="U55" s="77"/>
    </row>
    <row r="56" spans="1:21" x14ac:dyDescent="0.15">
      <c r="A56" s="2" t="str">
        <f t="shared" ca="1" si="0"/>
        <v>Ohmite B20J750E</v>
      </c>
      <c r="B56" s="12" t="s">
        <v>397</v>
      </c>
      <c r="C56" s="12" t="s">
        <v>398</v>
      </c>
      <c r="D56" s="12">
        <v>750</v>
      </c>
      <c r="E56" s="12">
        <v>750</v>
      </c>
      <c r="F56" s="12">
        <v>20</v>
      </c>
      <c r="G56" s="12">
        <v>200</v>
      </c>
      <c r="H56" s="64" t="s">
        <v>399</v>
      </c>
      <c r="I56" s="64"/>
      <c r="J56" s="64"/>
      <c r="K56" s="56" t="s">
        <v>400</v>
      </c>
      <c r="L56" s="56"/>
      <c r="M56" s="23" t="s">
        <v>108</v>
      </c>
      <c r="N56" s="13" t="str">
        <f>IF(COUNTBLANK(B56:M56)=12,IncompleteText,IF(COUNTBLANK(B56:M56)=3,OKText,ErrorText))</f>
        <v>OK</v>
      </c>
      <c r="O56" s="56"/>
      <c r="P56" s="56"/>
      <c r="Q56" s="56"/>
      <c r="R56" s="56"/>
      <c r="S56" s="56"/>
      <c r="T56" s="70" t="s">
        <v>61</v>
      </c>
      <c r="U56" s="71"/>
    </row>
    <row r="57" spans="1:21" ht="13.75" customHeight="1" x14ac:dyDescent="0.15">
      <c r="A57" s="2" t="str">
        <f t="shared" ca="1" si="0"/>
        <v>TE ROX9J30K</v>
      </c>
      <c r="B57" s="3" t="s">
        <v>401</v>
      </c>
      <c r="C57" s="12" t="s">
        <v>501</v>
      </c>
      <c r="D57" s="3">
        <v>750</v>
      </c>
      <c r="E57" s="3">
        <v>30000</v>
      </c>
      <c r="F57" s="3">
        <v>9</v>
      </c>
      <c r="G57" s="3">
        <v>9</v>
      </c>
      <c r="H57" s="64" t="s">
        <v>399</v>
      </c>
      <c r="I57" s="64"/>
      <c r="J57" s="64"/>
      <c r="K57" s="60" t="s">
        <v>502</v>
      </c>
      <c r="L57" s="56"/>
      <c r="M57" s="23" t="s">
        <v>109</v>
      </c>
      <c r="N57" s="13" t="str">
        <f>IF(COUNTBLANK(B57:M57)=12,"",IF(COUNTBLANK(B57:M57)=3,OKText,ErrorText))</f>
        <v>OK</v>
      </c>
      <c r="O57" s="56"/>
      <c r="P57" s="56"/>
      <c r="Q57" s="56"/>
      <c r="R57" s="56"/>
      <c r="S57" s="56"/>
      <c r="T57" s="72"/>
      <c r="U57" s="73"/>
    </row>
    <row r="58" spans="1:21" x14ac:dyDescent="0.15">
      <c r="A58" s="2" t="str">
        <f t="shared" ca="1" si="0"/>
        <v>TE RR03J1K5TB</v>
      </c>
      <c r="B58" s="3" t="s">
        <v>401</v>
      </c>
      <c r="C58" s="12" t="s">
        <v>402</v>
      </c>
      <c r="D58" s="3">
        <v>750</v>
      </c>
      <c r="E58" s="3">
        <v>1500</v>
      </c>
      <c r="F58" s="3">
        <v>3</v>
      </c>
      <c r="G58" s="3">
        <v>3</v>
      </c>
      <c r="H58" s="66" t="s">
        <v>399</v>
      </c>
      <c r="I58" s="67"/>
      <c r="J58" s="68"/>
      <c r="K58" s="56" t="s">
        <v>403</v>
      </c>
      <c r="L58" s="56"/>
      <c r="M58" s="23" t="s">
        <v>224</v>
      </c>
      <c r="N58" s="13" t="str">
        <f>IF(COUNTBLANK(B58:M58)=12,"",IF(COUNTBLANK(B58:M58)=3,OKText,ErrorText))</f>
        <v>OK</v>
      </c>
      <c r="O58" s="56" t="s">
        <v>404</v>
      </c>
      <c r="P58" s="56"/>
      <c r="Q58" s="56"/>
      <c r="R58" s="56"/>
      <c r="S58" s="56"/>
      <c r="T58" s="72"/>
      <c r="U58" s="73"/>
    </row>
    <row r="59" spans="1:21" ht="13.75" customHeight="1" x14ac:dyDescent="0.15">
      <c r="A59" s="2" t="str">
        <f t="shared" ca="1" si="0"/>
        <v xml:space="preserve"> </v>
      </c>
      <c r="B59" s="3"/>
      <c r="C59" s="12"/>
      <c r="D59" s="3"/>
      <c r="E59" s="3"/>
      <c r="F59" s="3"/>
      <c r="G59" s="3"/>
      <c r="H59" s="66"/>
      <c r="I59" s="67"/>
      <c r="J59" s="68"/>
      <c r="K59" s="56"/>
      <c r="L59" s="56"/>
      <c r="M59" s="23"/>
      <c r="N59" s="13" t="str">
        <f>IF(COUNTBLANK(B59:M59)=12,"",IF(COUNTBLANK(B59:M59)=3,OKText,ErrorText))</f>
        <v/>
      </c>
      <c r="O59" s="56"/>
      <c r="P59" s="56"/>
      <c r="Q59" s="56"/>
      <c r="R59" s="56"/>
      <c r="S59" s="56"/>
      <c r="T59" s="72"/>
      <c r="U59" s="73"/>
    </row>
    <row r="60" spans="1:21" x14ac:dyDescent="0.15">
      <c r="A60" s="2" t="str">
        <f t="shared" ca="1" si="0"/>
        <v xml:space="preserve"> </v>
      </c>
      <c r="B60" s="3"/>
      <c r="C60" s="12"/>
      <c r="D60" s="3"/>
      <c r="E60" s="3"/>
      <c r="F60" s="3"/>
      <c r="G60" s="3"/>
      <c r="H60" s="64"/>
      <c r="I60" s="64"/>
      <c r="J60" s="64"/>
      <c r="K60" s="56"/>
      <c r="L60" s="56"/>
      <c r="M60" s="23"/>
      <c r="N60" s="13" t="str">
        <f>IF(COUNTBLANK(B60:M60)=12,"",IF(COUNTBLANK(B60:M60)=3,OKText,ErrorText))</f>
        <v/>
      </c>
      <c r="O60" s="56"/>
      <c r="P60" s="56"/>
      <c r="Q60" s="56"/>
      <c r="R60" s="56"/>
      <c r="S60" s="56"/>
      <c r="T60" s="72"/>
      <c r="U60" s="73"/>
    </row>
    <row r="61" spans="1:21" ht="13.75" customHeight="1" x14ac:dyDescent="0.15">
      <c r="A61" s="2" t="str">
        <f t="shared" ca="1" si="0"/>
        <v xml:space="preserve"> </v>
      </c>
      <c r="B61" s="3"/>
      <c r="C61" s="12"/>
      <c r="D61" s="3"/>
      <c r="E61" s="3"/>
      <c r="F61" s="3"/>
      <c r="G61" s="3"/>
      <c r="H61" s="64"/>
      <c r="I61" s="64"/>
      <c r="J61" s="64"/>
      <c r="K61" s="56"/>
      <c r="L61" s="56"/>
      <c r="M61" s="23"/>
      <c r="N61" s="13" t="str">
        <f>IF(COUNTBLANK(B61:M61)=12,"",IF(COUNTBLANK(B61:M61)=3,OKText,ErrorText))</f>
        <v/>
      </c>
      <c r="O61" s="56"/>
      <c r="P61" s="56"/>
      <c r="Q61" s="56"/>
      <c r="R61" s="56"/>
      <c r="S61" s="56"/>
      <c r="T61" s="74"/>
      <c r="U61" s="75"/>
    </row>
    <row r="62" spans="1:21" x14ac:dyDescent="0.15">
      <c r="A62" s="2" t="str">
        <f t="shared" ca="1" si="0"/>
        <v xml:space="preserve"> </v>
      </c>
      <c r="N62" s="10"/>
      <c r="O62" s="10"/>
      <c r="P62" s="10"/>
      <c r="Q62" s="10"/>
      <c r="R62" s="10"/>
    </row>
    <row r="63" spans="1:21" x14ac:dyDescent="0.15">
      <c r="A63" s="2" t="str">
        <f t="shared" ca="1" si="0"/>
        <v xml:space="preserve">Contactors/Relays </v>
      </c>
      <c r="B63" s="40" t="s">
        <v>62</v>
      </c>
      <c r="C63" s="40"/>
      <c r="D63" s="40"/>
      <c r="E63" s="40"/>
      <c r="F63" s="40"/>
      <c r="G63" s="40"/>
      <c r="H63" s="40"/>
      <c r="I63" s="40"/>
      <c r="J63" s="40"/>
      <c r="K63" s="13" t="str">
        <f>IF(COUNTIF(K65:K69, "="&amp;IncompleteText), IncompleteText, IF(COUNTIF(K65:K69, "="&amp;ErrorText), ErrorText, OKText))</f>
        <v>OK</v>
      </c>
    </row>
    <row r="64" spans="1:21" ht="60" x14ac:dyDescent="0.15">
      <c r="A64" s="2" t="str">
        <f t="shared" ca="1" si="0"/>
        <v>Manufacturer Part Number</v>
      </c>
      <c r="B64" t="s">
        <v>41</v>
      </c>
      <c r="C64" s="18" t="s">
        <v>42</v>
      </c>
      <c r="D64" s="18" t="s">
        <v>63</v>
      </c>
      <c r="E64" s="18" t="s">
        <v>64</v>
      </c>
      <c r="F64" s="18" t="s">
        <v>65</v>
      </c>
      <c r="G64" s="18" t="s">
        <v>356</v>
      </c>
      <c r="H64" s="61" t="s">
        <v>38</v>
      </c>
      <c r="I64" s="61"/>
      <c r="J64" s="18" t="s">
        <v>47</v>
      </c>
      <c r="K64" s="26"/>
      <c r="L64" s="65" t="s">
        <v>18</v>
      </c>
      <c r="M64" s="65"/>
      <c r="N64" s="65"/>
      <c r="O64" s="65"/>
      <c r="P64" s="65"/>
      <c r="Q64" s="76" t="s">
        <v>48</v>
      </c>
      <c r="R64" s="77"/>
    </row>
    <row r="65" spans="1:18" x14ac:dyDescent="0.15">
      <c r="A65" s="2" t="str">
        <f t="shared" ca="1" si="0"/>
        <v>TE Connectivity Potter &amp; Brumfield Relays 1462043-3</v>
      </c>
      <c r="B65" s="3" t="s">
        <v>405</v>
      </c>
      <c r="C65" s="12" t="s">
        <v>406</v>
      </c>
      <c r="D65" s="3">
        <v>220</v>
      </c>
      <c r="E65" s="3">
        <v>2</v>
      </c>
      <c r="F65" s="3">
        <v>2</v>
      </c>
      <c r="G65" s="3" t="s">
        <v>407</v>
      </c>
      <c r="H65" s="56" t="s">
        <v>408</v>
      </c>
      <c r="I65" s="56"/>
      <c r="J65" s="23" t="s">
        <v>409</v>
      </c>
      <c r="K65" s="13" t="str">
        <f>IF(COUNTBLANK(B65:J65)=9,IncompleteText,IF(COUNTBLANK(B65:J65)=1,OKText,ErrorText))</f>
        <v>OK</v>
      </c>
      <c r="L65" s="56" t="s">
        <v>410</v>
      </c>
      <c r="M65" s="56"/>
      <c r="N65" s="56"/>
      <c r="O65" s="56"/>
      <c r="P65" s="56"/>
      <c r="Q65" s="70" t="s">
        <v>66</v>
      </c>
      <c r="R65" s="71"/>
    </row>
    <row r="66" spans="1:18" x14ac:dyDescent="0.15">
      <c r="A66" s="2" t="str">
        <f t="shared" ca="1" si="0"/>
        <v>Gigavac GV241BAB</v>
      </c>
      <c r="B66" s="3" t="s">
        <v>411</v>
      </c>
      <c r="C66" s="12" t="s">
        <v>412</v>
      </c>
      <c r="D66" s="3">
        <v>800</v>
      </c>
      <c r="E66" s="3">
        <v>325</v>
      </c>
      <c r="F66" s="3">
        <v>900</v>
      </c>
      <c r="G66" s="3" t="s">
        <v>407</v>
      </c>
      <c r="H66" s="56" t="s">
        <v>413</v>
      </c>
      <c r="I66" s="56"/>
      <c r="J66" s="23" t="s">
        <v>414</v>
      </c>
      <c r="K66" s="13" t="str">
        <f>IF(COUNTBLANK(B66:J66)=9,"",IF(COUNTBLANK(B66:J66)=1,OKText,ErrorText))</f>
        <v>OK</v>
      </c>
      <c r="L66" s="56"/>
      <c r="M66" s="56"/>
      <c r="N66" s="56"/>
      <c r="O66" s="56"/>
      <c r="P66" s="56"/>
      <c r="Q66" s="72"/>
      <c r="R66" s="73"/>
    </row>
    <row r="67" spans="1:18" x14ac:dyDescent="0.15">
      <c r="A67" s="2" t="str">
        <f t="shared" ca="1" si="0"/>
        <v>Gigavac P115-BDA</v>
      </c>
      <c r="B67" s="3" t="s">
        <v>411</v>
      </c>
      <c r="C67" s="12" t="s">
        <v>415</v>
      </c>
      <c r="D67" s="3">
        <v>1500</v>
      </c>
      <c r="E67" s="3">
        <v>50</v>
      </c>
      <c r="F67" s="3">
        <v>200</v>
      </c>
      <c r="G67" s="3" t="s">
        <v>407</v>
      </c>
      <c r="H67" s="56" t="s">
        <v>416</v>
      </c>
      <c r="I67" s="56"/>
      <c r="J67" s="23" t="s">
        <v>108</v>
      </c>
      <c r="K67" s="13" t="str">
        <f>IF(COUNTBLANK(B67:J67)=9,"",IF(COUNTBLANK(B67:J67)=1,OKText,ErrorText))</f>
        <v>OK</v>
      </c>
      <c r="L67" s="56"/>
      <c r="M67" s="56"/>
      <c r="N67" s="56"/>
      <c r="O67" s="56"/>
      <c r="P67" s="56"/>
      <c r="Q67" s="72"/>
      <c r="R67" s="73"/>
    </row>
    <row r="68" spans="1:18" x14ac:dyDescent="0.15">
      <c r="A68" s="2" t="str">
        <f t="shared" ca="1" si="0"/>
        <v>Gigavac PNC113</v>
      </c>
      <c r="B68" s="3" t="s">
        <v>411</v>
      </c>
      <c r="C68" s="12" t="s">
        <v>417</v>
      </c>
      <c r="D68" s="3">
        <v>1500</v>
      </c>
      <c r="E68" s="3">
        <v>30</v>
      </c>
      <c r="F68" s="3">
        <v>200</v>
      </c>
      <c r="G68" s="3" t="s">
        <v>418</v>
      </c>
      <c r="H68" s="56" t="s">
        <v>419</v>
      </c>
      <c r="I68" s="56"/>
      <c r="J68" s="23" t="s">
        <v>420</v>
      </c>
      <c r="K68" s="13" t="str">
        <f>IF(COUNTBLANK(B68:J68)=9,"",IF(COUNTBLANK(B68:J68)=1,OKText,ErrorText))</f>
        <v>OK</v>
      </c>
      <c r="L68" s="56"/>
      <c r="M68" s="56"/>
      <c r="N68" s="56"/>
      <c r="O68" s="56"/>
      <c r="P68" s="56"/>
      <c r="Q68" s="72"/>
      <c r="R68" s="73"/>
    </row>
    <row r="69" spans="1:18" x14ac:dyDescent="0.15">
      <c r="A69" s="2" t="str">
        <f t="shared" ca="1" si="0"/>
        <v xml:space="preserve"> </v>
      </c>
      <c r="B69" s="3"/>
      <c r="C69" s="12"/>
      <c r="D69" s="3"/>
      <c r="E69" s="3"/>
      <c r="F69" s="3"/>
      <c r="G69" s="3"/>
      <c r="H69" s="56"/>
      <c r="I69" s="56"/>
      <c r="J69" s="23"/>
      <c r="K69" s="13" t="str">
        <f>IF(COUNTBLANK(B69:J69)=9,"",IF(COUNTBLANK(B69:J69)=1,OKText,ErrorText))</f>
        <v/>
      </c>
      <c r="L69" s="56"/>
      <c r="M69" s="56"/>
      <c r="N69" s="56"/>
      <c r="O69" s="56"/>
      <c r="P69" s="56"/>
      <c r="Q69" s="74"/>
      <c r="R69" s="75"/>
    </row>
    <row r="70" spans="1:18" x14ac:dyDescent="0.15">
      <c r="A70" s="2" t="str">
        <f t="shared" ca="1" si="0"/>
        <v xml:space="preserve"> </v>
      </c>
    </row>
    <row r="71" spans="1:18" x14ac:dyDescent="0.15">
      <c r="A71" s="2" t="str">
        <f t="shared" ca="1" si="0"/>
        <v xml:space="preserve">Connectors </v>
      </c>
      <c r="B71" s="40" t="s">
        <v>67</v>
      </c>
      <c r="C71" s="40"/>
      <c r="D71" s="40"/>
      <c r="E71" s="40"/>
      <c r="F71" s="40"/>
      <c r="G71" s="40"/>
      <c r="H71" s="40"/>
      <c r="I71" s="24"/>
      <c r="J71" s="13" t="str">
        <f>IF(COUNTIF(J73:J91, "="&amp;IncompleteText), IncompleteText, IF(COUNTIF(J73:J91, "="&amp;ErrorText), ErrorText, OKText))</f>
        <v>OK</v>
      </c>
    </row>
    <row r="72" spans="1:18" ht="31" x14ac:dyDescent="0.15">
      <c r="A72" s="2" t="str">
        <f t="shared" ca="1" si="0"/>
        <v>Manufacturer Part Number</v>
      </c>
      <c r="B72" t="s">
        <v>41</v>
      </c>
      <c r="C72" s="18" t="s">
        <v>42</v>
      </c>
      <c r="D72" s="18" t="s">
        <v>51</v>
      </c>
      <c r="E72" s="18" t="s">
        <v>45</v>
      </c>
      <c r="F72" s="18" t="s">
        <v>68</v>
      </c>
      <c r="G72" s="61" t="s">
        <v>38</v>
      </c>
      <c r="H72" s="61"/>
      <c r="I72" s="18" t="s">
        <v>47</v>
      </c>
      <c r="J72" s="26"/>
      <c r="K72" s="65" t="s">
        <v>18</v>
      </c>
      <c r="L72" s="65"/>
      <c r="M72" s="65"/>
      <c r="N72" s="65"/>
      <c r="O72" s="65"/>
      <c r="P72" s="76" t="s">
        <v>48</v>
      </c>
      <c r="Q72" s="77"/>
    </row>
    <row r="73" spans="1:18" x14ac:dyDescent="0.15">
      <c r="A73" s="2" t="str">
        <f t="shared" ca="1" si="0"/>
        <v>Amphenol MINIMSDF000R</v>
      </c>
      <c r="B73" s="3" t="s">
        <v>434</v>
      </c>
      <c r="C73" s="12" t="s">
        <v>504</v>
      </c>
      <c r="D73" s="3">
        <v>1000</v>
      </c>
      <c r="E73" s="3">
        <v>630</v>
      </c>
      <c r="F73" s="3">
        <v>50</v>
      </c>
      <c r="G73" s="56" t="s">
        <v>421</v>
      </c>
      <c r="H73" s="56"/>
      <c r="I73" s="23" t="s">
        <v>106</v>
      </c>
      <c r="J73" s="13" t="str">
        <f>IF(COUNTBLANK(B73:I73)=8,IncompleteText,IF(COUNTBLANK(B73:I73)=1,OKText,ErrorText))</f>
        <v>OK</v>
      </c>
      <c r="K73" s="56"/>
      <c r="L73" s="56"/>
      <c r="M73" s="56"/>
      <c r="N73" s="56"/>
      <c r="O73" s="56"/>
      <c r="P73" s="70" t="s">
        <v>69</v>
      </c>
      <c r="Q73" s="71"/>
    </row>
    <row r="74" spans="1:18" x14ac:dyDescent="0.15">
      <c r="A74" s="2" t="str">
        <f t="shared" ca="1" si="0"/>
        <v>Molex 334724001</v>
      </c>
      <c r="B74" s="3" t="s">
        <v>422</v>
      </c>
      <c r="C74" s="12" t="s">
        <v>423</v>
      </c>
      <c r="D74" s="3">
        <v>14</v>
      </c>
      <c r="E74" s="3">
        <v>22</v>
      </c>
      <c r="F74" s="3">
        <v>0.75</v>
      </c>
      <c r="G74" s="56" t="s">
        <v>424</v>
      </c>
      <c r="H74" s="56"/>
      <c r="I74" s="23" t="s">
        <v>111</v>
      </c>
      <c r="J74" s="13" t="str">
        <f t="shared" ref="J74:J91" si="3">IF(COUNTBLANK(B74:I74)=8,"",IF(COUNTBLANK(B74:I74)=1,OKText,ErrorText))</f>
        <v>OK</v>
      </c>
      <c r="K74" s="56" t="s">
        <v>425</v>
      </c>
      <c r="L74" s="56"/>
      <c r="M74" s="56"/>
      <c r="N74" s="56"/>
      <c r="O74" s="56"/>
      <c r="P74" s="72"/>
      <c r="Q74" s="73"/>
    </row>
    <row r="75" spans="1:18" x14ac:dyDescent="0.15">
      <c r="A75" s="2" t="str">
        <f t="shared" ca="1" si="0"/>
        <v>Mueller BU-P72930-0</v>
      </c>
      <c r="B75" s="3" t="s">
        <v>508</v>
      </c>
      <c r="C75" s="12" t="s">
        <v>507</v>
      </c>
      <c r="D75" s="3">
        <v>1000</v>
      </c>
      <c r="E75" s="3">
        <v>36</v>
      </c>
      <c r="F75" s="3">
        <v>0.35</v>
      </c>
      <c r="G75" s="60" t="s">
        <v>509</v>
      </c>
      <c r="H75" s="56"/>
      <c r="I75" s="23" t="s">
        <v>224</v>
      </c>
      <c r="J75" s="13" t="str">
        <f t="shared" si="3"/>
        <v>OK</v>
      </c>
      <c r="K75" s="56" t="s">
        <v>426</v>
      </c>
      <c r="L75" s="56"/>
      <c r="M75" s="56"/>
      <c r="N75" s="56"/>
      <c r="O75" s="56"/>
      <c r="P75" s="72"/>
      <c r="Q75" s="73"/>
    </row>
    <row r="76" spans="1:18" x14ac:dyDescent="0.15">
      <c r="A76" s="2" t="str">
        <f t="shared" ca="1" si="0"/>
        <v>Mueller BU-P72930-2</v>
      </c>
      <c r="B76" s="3" t="s">
        <v>508</v>
      </c>
      <c r="C76" s="12" t="s">
        <v>506</v>
      </c>
      <c r="D76" s="3">
        <v>1000</v>
      </c>
      <c r="E76" s="3">
        <v>36</v>
      </c>
      <c r="F76" s="3">
        <v>0.35</v>
      </c>
      <c r="G76" s="60" t="s">
        <v>509</v>
      </c>
      <c r="H76" s="56"/>
      <c r="I76" s="23" t="s">
        <v>224</v>
      </c>
      <c r="J76" s="13" t="str">
        <f t="shared" si="3"/>
        <v>OK</v>
      </c>
      <c r="K76" s="56" t="s">
        <v>427</v>
      </c>
      <c r="L76" s="56"/>
      <c r="M76" s="56"/>
      <c r="N76" s="56"/>
      <c r="O76" s="56"/>
      <c r="P76" s="72"/>
      <c r="Q76" s="73"/>
    </row>
    <row r="77" spans="1:18" x14ac:dyDescent="0.15">
      <c r="A77" s="2" t="str">
        <f t="shared" ca="1" si="0"/>
        <v>Amphenol UPCR012ALS2</v>
      </c>
      <c r="B77" s="3" t="s">
        <v>434</v>
      </c>
      <c r="C77" s="12" t="s">
        <v>515</v>
      </c>
      <c r="D77" s="3">
        <v>1000</v>
      </c>
      <c r="E77" s="3">
        <v>120</v>
      </c>
      <c r="F77" s="144">
        <v>22</v>
      </c>
      <c r="G77" s="56" t="s">
        <v>436</v>
      </c>
      <c r="H77" s="56"/>
      <c r="I77" s="23" t="s">
        <v>514</v>
      </c>
      <c r="J77" s="13" t="str">
        <f t="shared" si="3"/>
        <v>OK</v>
      </c>
      <c r="K77" s="56"/>
      <c r="L77" s="56"/>
      <c r="M77" s="56"/>
      <c r="N77" s="56"/>
      <c r="O77" s="56"/>
      <c r="P77" s="72"/>
      <c r="Q77" s="73"/>
    </row>
    <row r="78" spans="1:18" x14ac:dyDescent="0.15">
      <c r="A78" s="2" t="str">
        <f t="shared" ca="1" si="0"/>
        <v>Amphenol UPCR012ALS1</v>
      </c>
      <c r="B78" s="3" t="s">
        <v>434</v>
      </c>
      <c r="C78" s="12" t="s">
        <v>435</v>
      </c>
      <c r="D78" s="3">
        <v>1000</v>
      </c>
      <c r="E78" s="3">
        <v>120</v>
      </c>
      <c r="F78" s="3">
        <v>22</v>
      </c>
      <c r="G78" s="60" t="s">
        <v>436</v>
      </c>
      <c r="H78" s="56"/>
      <c r="I78" s="23" t="s">
        <v>437</v>
      </c>
      <c r="J78" s="13" t="str">
        <f t="shared" si="3"/>
        <v>OK</v>
      </c>
      <c r="K78" s="56" t="s">
        <v>438</v>
      </c>
      <c r="L78" s="56"/>
      <c r="M78" s="56"/>
      <c r="N78" s="56"/>
      <c r="O78" s="56"/>
      <c r="P78" s="72"/>
      <c r="Q78" s="73"/>
    </row>
    <row r="79" spans="1:18" x14ac:dyDescent="0.15">
      <c r="A79" s="2" t="str">
        <f t="shared" ca="1" si="0"/>
        <v>TE Connectivity DTM06-12SA</v>
      </c>
      <c r="B79" s="3" t="s">
        <v>439</v>
      </c>
      <c r="C79" s="12" t="s">
        <v>440</v>
      </c>
      <c r="D79" s="3">
        <v>167</v>
      </c>
      <c r="E79" s="3">
        <v>7.5</v>
      </c>
      <c r="F79" s="3" t="s">
        <v>441</v>
      </c>
      <c r="G79" s="56" t="s">
        <v>442</v>
      </c>
      <c r="H79" s="56"/>
      <c r="I79" s="23" t="s">
        <v>443</v>
      </c>
      <c r="J79" s="13" t="str">
        <f t="shared" si="3"/>
        <v>OK</v>
      </c>
      <c r="K79" s="56"/>
      <c r="L79" s="56"/>
      <c r="M79" s="56"/>
      <c r="N79" s="56"/>
      <c r="O79" s="56"/>
      <c r="P79" s="72"/>
      <c r="Q79" s="73"/>
    </row>
    <row r="80" spans="1:18" x14ac:dyDescent="0.15">
      <c r="A80" s="2" t="str">
        <f t="shared" ca="1" si="0"/>
        <v>TE Connectivity DTM04-12PA-L012</v>
      </c>
      <c r="B80" s="3" t="s">
        <v>439</v>
      </c>
      <c r="C80" s="12" t="s">
        <v>449</v>
      </c>
      <c r="D80" s="3">
        <v>167</v>
      </c>
      <c r="E80" s="3">
        <v>7.5</v>
      </c>
      <c r="F80" s="3" t="s">
        <v>441</v>
      </c>
      <c r="G80" s="56" t="s">
        <v>450</v>
      </c>
      <c r="H80" s="56"/>
      <c r="I80" s="23" t="s">
        <v>443</v>
      </c>
      <c r="J80" s="13" t="str">
        <f t="shared" si="3"/>
        <v>OK</v>
      </c>
      <c r="K80" s="56"/>
      <c r="L80" s="56"/>
      <c r="M80" s="56"/>
      <c r="N80" s="56"/>
      <c r="O80" s="56"/>
      <c r="P80" s="72"/>
      <c r="Q80" s="73"/>
    </row>
    <row r="81" spans="1:19" x14ac:dyDescent="0.15">
      <c r="A81" s="2" t="str">
        <f t="shared" ca="1" si="0"/>
        <v>TE Connectivity DT04-6P-CL09</v>
      </c>
      <c r="B81" s="3" t="s">
        <v>439</v>
      </c>
      <c r="C81" s="12" t="s">
        <v>444</v>
      </c>
      <c r="D81" s="3">
        <v>167</v>
      </c>
      <c r="E81" s="3">
        <v>13</v>
      </c>
      <c r="F81" s="3" t="s">
        <v>441</v>
      </c>
      <c r="G81" s="56" t="s">
        <v>445</v>
      </c>
      <c r="H81" s="56"/>
      <c r="I81" s="23" t="s">
        <v>446</v>
      </c>
      <c r="J81" s="13" t="str">
        <f t="shared" si="3"/>
        <v>OK</v>
      </c>
      <c r="K81" s="56"/>
      <c r="L81" s="56"/>
      <c r="M81" s="56"/>
      <c r="N81" s="56"/>
      <c r="O81" s="56"/>
      <c r="P81" s="72"/>
      <c r="Q81" s="73"/>
    </row>
    <row r="82" spans="1:19" x14ac:dyDescent="0.15">
      <c r="A82" s="2" t="str">
        <f t="shared" ca="1" si="0"/>
        <v>TE Connectivity DT06-6S</v>
      </c>
      <c r="B82" s="3" t="s">
        <v>439</v>
      </c>
      <c r="C82" s="12" t="s">
        <v>447</v>
      </c>
      <c r="D82" s="3">
        <v>167</v>
      </c>
      <c r="E82" s="3">
        <v>13</v>
      </c>
      <c r="F82" s="3" t="s">
        <v>441</v>
      </c>
      <c r="G82" s="56" t="s">
        <v>448</v>
      </c>
      <c r="H82" s="56"/>
      <c r="I82" s="23" t="s">
        <v>446</v>
      </c>
      <c r="J82" s="13" t="str">
        <f t="shared" si="3"/>
        <v>OK</v>
      </c>
      <c r="K82" s="56"/>
      <c r="L82" s="56"/>
      <c r="M82" s="56"/>
      <c r="N82" s="56"/>
      <c r="O82" s="56"/>
      <c r="P82" s="72"/>
      <c r="Q82" s="73"/>
    </row>
    <row r="83" spans="1:19" x14ac:dyDescent="0.15">
      <c r="A83" s="2" t="str">
        <f t="shared" ca="1" si="0"/>
        <v xml:space="preserve"> </v>
      </c>
      <c r="B83" s="3"/>
      <c r="C83" s="12"/>
      <c r="D83" s="3"/>
      <c r="E83" s="3"/>
      <c r="F83" s="3"/>
      <c r="G83" s="56"/>
      <c r="H83" s="56"/>
      <c r="I83" s="23"/>
      <c r="J83" s="13" t="str">
        <f t="shared" si="3"/>
        <v/>
      </c>
      <c r="K83" s="56"/>
      <c r="L83" s="56"/>
      <c r="M83" s="56"/>
      <c r="N83" s="56"/>
      <c r="O83" s="56"/>
      <c r="P83" s="72"/>
      <c r="Q83" s="73"/>
    </row>
    <row r="84" spans="1:19" x14ac:dyDescent="0.15">
      <c r="A84" s="2" t="str">
        <f t="shared" ref="A84:A104" ca="1" si="4">CONCATENATE(INDIRECT(CONCATENATE("B",ROW(A84))), " ", INDIRECT(CONCATENATE("C",ROW(A84))))</f>
        <v xml:space="preserve"> </v>
      </c>
      <c r="B84" s="3"/>
      <c r="C84" s="12"/>
      <c r="D84" s="3"/>
      <c r="E84" s="3"/>
      <c r="F84" s="3"/>
      <c r="G84" s="56"/>
      <c r="H84" s="56"/>
      <c r="I84" s="23"/>
      <c r="J84" s="13" t="str">
        <f t="shared" si="3"/>
        <v/>
      </c>
      <c r="K84" s="56"/>
      <c r="L84" s="56"/>
      <c r="M84" s="56"/>
      <c r="N84" s="56"/>
      <c r="O84" s="56"/>
      <c r="P84" s="72"/>
      <c r="Q84" s="73"/>
    </row>
    <row r="85" spans="1:19" x14ac:dyDescent="0.15">
      <c r="A85" s="2" t="str">
        <f t="shared" ca="1" si="4"/>
        <v xml:space="preserve"> </v>
      </c>
      <c r="B85" s="3"/>
      <c r="C85" s="12"/>
      <c r="D85" s="3"/>
      <c r="E85" s="3"/>
      <c r="F85" s="3"/>
      <c r="G85" s="56"/>
      <c r="H85" s="56"/>
      <c r="I85" s="23"/>
      <c r="J85" s="13" t="str">
        <f t="shared" si="3"/>
        <v/>
      </c>
      <c r="K85" s="56"/>
      <c r="L85" s="56"/>
      <c r="M85" s="56"/>
      <c r="N85" s="56"/>
      <c r="O85" s="56"/>
      <c r="P85" s="72"/>
      <c r="Q85" s="73"/>
    </row>
    <row r="86" spans="1:19" x14ac:dyDescent="0.15">
      <c r="A86" s="2" t="str">
        <f t="shared" ca="1" si="4"/>
        <v xml:space="preserve"> </v>
      </c>
      <c r="B86" s="3"/>
      <c r="C86" s="12"/>
      <c r="D86" s="3"/>
      <c r="E86" s="3"/>
      <c r="F86" s="3"/>
      <c r="G86" s="56"/>
      <c r="H86" s="56"/>
      <c r="I86" s="23"/>
      <c r="J86" s="13" t="str">
        <f t="shared" si="3"/>
        <v/>
      </c>
      <c r="K86" s="56"/>
      <c r="L86" s="56"/>
      <c r="M86" s="56"/>
      <c r="N86" s="56"/>
      <c r="O86" s="56"/>
      <c r="P86" s="72"/>
      <c r="Q86" s="73"/>
    </row>
    <row r="87" spans="1:19" x14ac:dyDescent="0.15">
      <c r="A87" s="2" t="str">
        <f t="shared" ca="1" si="4"/>
        <v xml:space="preserve"> </v>
      </c>
      <c r="B87" s="3"/>
      <c r="C87" s="12"/>
      <c r="D87" s="3"/>
      <c r="E87" s="3"/>
      <c r="F87" s="3"/>
      <c r="G87" s="56"/>
      <c r="H87" s="56"/>
      <c r="I87" s="23"/>
      <c r="J87" s="13" t="str">
        <f t="shared" si="3"/>
        <v/>
      </c>
      <c r="K87" s="56"/>
      <c r="L87" s="56"/>
      <c r="M87" s="56"/>
      <c r="N87" s="56"/>
      <c r="O87" s="56"/>
      <c r="P87" s="72"/>
      <c r="Q87" s="73"/>
    </row>
    <row r="88" spans="1:19" x14ac:dyDescent="0.15">
      <c r="A88" s="2" t="str">
        <f t="shared" ca="1" si="4"/>
        <v xml:space="preserve"> </v>
      </c>
      <c r="B88" s="3"/>
      <c r="C88" s="12"/>
      <c r="D88" s="3"/>
      <c r="E88" s="3"/>
      <c r="F88" s="3"/>
      <c r="G88" s="56"/>
      <c r="H88" s="56"/>
      <c r="I88" s="23"/>
      <c r="J88" s="13" t="str">
        <f t="shared" si="3"/>
        <v/>
      </c>
      <c r="K88" s="56"/>
      <c r="L88" s="56"/>
      <c r="M88" s="56"/>
      <c r="N88" s="56"/>
      <c r="O88" s="56"/>
      <c r="P88" s="72"/>
      <c r="Q88" s="73"/>
    </row>
    <row r="89" spans="1:19" x14ac:dyDescent="0.15">
      <c r="A89" s="2" t="str">
        <f t="shared" ca="1" si="4"/>
        <v xml:space="preserve"> </v>
      </c>
      <c r="B89" s="3"/>
      <c r="C89" s="12"/>
      <c r="D89" s="3"/>
      <c r="E89" s="3"/>
      <c r="F89" s="3"/>
      <c r="G89" s="56"/>
      <c r="H89" s="56"/>
      <c r="I89" s="23"/>
      <c r="J89" s="13" t="str">
        <f t="shared" si="3"/>
        <v/>
      </c>
      <c r="K89" s="56"/>
      <c r="L89" s="56"/>
      <c r="M89" s="56"/>
      <c r="N89" s="56"/>
      <c r="O89" s="56"/>
      <c r="P89" s="72"/>
      <c r="Q89" s="73"/>
    </row>
    <row r="90" spans="1:19" x14ac:dyDescent="0.15">
      <c r="A90" s="2" t="str">
        <f t="shared" ca="1" si="4"/>
        <v xml:space="preserve"> </v>
      </c>
      <c r="B90" s="3"/>
      <c r="C90" s="12"/>
      <c r="D90" s="3"/>
      <c r="E90" s="3"/>
      <c r="F90" s="3"/>
      <c r="G90" s="56"/>
      <c r="H90" s="56"/>
      <c r="I90" s="23"/>
      <c r="J90" s="13" t="str">
        <f t="shared" si="3"/>
        <v/>
      </c>
      <c r="K90" s="56"/>
      <c r="L90" s="56"/>
      <c r="M90" s="56"/>
      <c r="N90" s="56"/>
      <c r="O90" s="56"/>
      <c r="P90" s="72"/>
      <c r="Q90" s="73"/>
    </row>
    <row r="91" spans="1:19" x14ac:dyDescent="0.15">
      <c r="A91" s="2" t="str">
        <f t="shared" ca="1" si="4"/>
        <v xml:space="preserve"> </v>
      </c>
      <c r="B91" s="3"/>
      <c r="C91" s="12"/>
      <c r="D91" s="3"/>
      <c r="E91" s="3"/>
      <c r="F91" s="3"/>
      <c r="G91" s="56"/>
      <c r="H91" s="56"/>
      <c r="I91" s="23"/>
      <c r="J91" s="13" t="str">
        <f t="shared" si="3"/>
        <v/>
      </c>
      <c r="K91" s="56"/>
      <c r="L91" s="56"/>
      <c r="M91" s="56"/>
      <c r="N91" s="56"/>
      <c r="O91" s="56"/>
      <c r="P91" s="74"/>
      <c r="Q91" s="75"/>
    </row>
    <row r="92" spans="1:19" x14ac:dyDescent="0.15">
      <c r="A92" s="2" t="str">
        <f t="shared" ca="1" si="4"/>
        <v xml:space="preserve"> </v>
      </c>
    </row>
    <row r="93" spans="1:19" x14ac:dyDescent="0.15">
      <c r="A93" s="2" t="str">
        <f t="shared" ca="1" si="4"/>
        <v xml:space="preserve">Insulating Materials </v>
      </c>
      <c r="B93" s="40" t="s">
        <v>70</v>
      </c>
      <c r="C93" s="40"/>
      <c r="D93" s="40"/>
      <c r="E93" s="40"/>
      <c r="F93" s="40"/>
      <c r="G93" s="40"/>
      <c r="H93" s="40"/>
      <c r="I93" s="40"/>
      <c r="J93" s="40"/>
      <c r="K93" s="24"/>
      <c r="L93" s="13" t="str">
        <f>IF(COUNTIF(L95:L104, "="&amp;IncompleteText), IncompleteText, IF(COUNTIF(L95:L104, "="&amp;ErrorText), ErrorText, OKText))</f>
        <v>OK</v>
      </c>
    </row>
    <row r="94" spans="1:19" ht="45" x14ac:dyDescent="0.15">
      <c r="A94" s="2" t="str">
        <f t="shared" ca="1" si="4"/>
        <v>Manufacturer Part Number</v>
      </c>
      <c r="B94" t="s">
        <v>41</v>
      </c>
      <c r="C94" s="18" t="s">
        <v>42</v>
      </c>
      <c r="D94" s="18" t="s">
        <v>71</v>
      </c>
      <c r="E94" s="18" t="s">
        <v>72</v>
      </c>
      <c r="F94" s="18" t="s">
        <v>73</v>
      </c>
      <c r="G94" s="18" t="s">
        <v>46</v>
      </c>
      <c r="H94" s="19" t="s">
        <v>74</v>
      </c>
      <c r="I94" s="61" t="s">
        <v>38</v>
      </c>
      <c r="J94" s="61"/>
      <c r="K94" s="18" t="s">
        <v>47</v>
      </c>
      <c r="L94" s="26"/>
      <c r="M94" s="65" t="s">
        <v>18</v>
      </c>
      <c r="N94" s="65"/>
      <c r="O94" s="65"/>
      <c r="P94" s="65"/>
      <c r="Q94" s="65"/>
      <c r="R94" s="76" t="s">
        <v>48</v>
      </c>
      <c r="S94" s="77"/>
    </row>
    <row r="95" spans="1:19" x14ac:dyDescent="0.15">
      <c r="A95" s="2" t="str">
        <f t="shared" ca="1" si="4"/>
        <v>DuPont 845</v>
      </c>
      <c r="B95" s="12" t="s">
        <v>451</v>
      </c>
      <c r="C95" s="12" t="s">
        <v>452</v>
      </c>
      <c r="D95" s="22">
        <v>0.25</v>
      </c>
      <c r="E95" s="22">
        <v>33000</v>
      </c>
      <c r="F95" s="1">
        <f t="shared" ref="F95:F104" si="5">IF(OR(ISBLANK(D95),ISBLANK(E95)), "", D95*E95)</f>
        <v>8250</v>
      </c>
      <c r="G95" s="22">
        <v>400</v>
      </c>
      <c r="H95" s="12" t="s">
        <v>453</v>
      </c>
      <c r="I95" s="56" t="s">
        <v>454</v>
      </c>
      <c r="J95" s="56"/>
      <c r="K95" s="23" t="s">
        <v>455</v>
      </c>
      <c r="L95" s="13" t="str">
        <f>IF(COUNTBLANK(B95:K95)=10,IncompleteText,IF(AND(COUNTBLANK(B95:K95)=1,G95&gt;=90),OKText,ErrorText))</f>
        <v>OK</v>
      </c>
      <c r="M95" s="56" t="s">
        <v>456</v>
      </c>
      <c r="N95" s="56"/>
      <c r="O95" s="56"/>
      <c r="P95" s="56"/>
      <c r="Q95" s="56"/>
      <c r="R95" s="70" t="s">
        <v>75</v>
      </c>
      <c r="S95" s="71"/>
    </row>
    <row r="96" spans="1:19" x14ac:dyDescent="0.15">
      <c r="A96" s="2" t="str">
        <f t="shared" ca="1" si="4"/>
        <v xml:space="preserve"> </v>
      </c>
      <c r="B96" s="3"/>
      <c r="C96" s="12"/>
      <c r="D96" s="22"/>
      <c r="E96" s="22"/>
      <c r="F96" s="1" t="str">
        <f t="shared" si="5"/>
        <v/>
      </c>
      <c r="G96" s="22"/>
      <c r="H96" s="12"/>
      <c r="I96" s="56"/>
      <c r="J96" s="56"/>
      <c r="K96" s="23"/>
      <c r="L96" s="13" t="str">
        <f t="shared" ref="L96:L104" si="6">IF(COUNTBLANK(B96:K96)=10,"",IF(AND(COUNTBLANK(B96:K96)=1,G96&gt;=90),OKText,ErrorText))</f>
        <v/>
      </c>
      <c r="M96" s="56"/>
      <c r="N96" s="56"/>
      <c r="O96" s="56"/>
      <c r="P96" s="56"/>
      <c r="Q96" s="56"/>
      <c r="R96" s="72"/>
      <c r="S96" s="73"/>
    </row>
    <row r="97" spans="1:19" x14ac:dyDescent="0.15">
      <c r="A97" s="2" t="str">
        <f t="shared" ca="1" si="4"/>
        <v xml:space="preserve"> </v>
      </c>
      <c r="B97" s="3"/>
      <c r="C97" s="12"/>
      <c r="D97" s="22"/>
      <c r="E97" s="22"/>
      <c r="F97" s="1" t="str">
        <f t="shared" si="5"/>
        <v/>
      </c>
      <c r="G97" s="22"/>
      <c r="H97" s="12"/>
      <c r="I97" s="56"/>
      <c r="J97" s="56"/>
      <c r="K97" s="23"/>
      <c r="L97" s="13" t="str">
        <f t="shared" si="6"/>
        <v/>
      </c>
      <c r="M97" s="56"/>
      <c r="N97" s="56"/>
      <c r="O97" s="56"/>
      <c r="P97" s="56"/>
      <c r="Q97" s="56"/>
      <c r="R97" s="72"/>
      <c r="S97" s="73"/>
    </row>
    <row r="98" spans="1:19" x14ac:dyDescent="0.15">
      <c r="A98" s="2" t="str">
        <f t="shared" ca="1" si="4"/>
        <v xml:space="preserve"> </v>
      </c>
      <c r="B98" s="3"/>
      <c r="C98" s="12"/>
      <c r="D98" s="22"/>
      <c r="E98" s="22"/>
      <c r="F98" s="1" t="str">
        <f t="shared" si="5"/>
        <v/>
      </c>
      <c r="G98" s="22"/>
      <c r="H98" s="12"/>
      <c r="I98" s="56"/>
      <c r="J98" s="56"/>
      <c r="K98" s="23"/>
      <c r="L98" s="13" t="str">
        <f t="shared" si="6"/>
        <v/>
      </c>
      <c r="M98" s="56"/>
      <c r="N98" s="56"/>
      <c r="O98" s="56"/>
      <c r="P98" s="56"/>
      <c r="Q98" s="56"/>
      <c r="R98" s="72"/>
      <c r="S98" s="73"/>
    </row>
    <row r="99" spans="1:19" x14ac:dyDescent="0.15">
      <c r="A99" s="2" t="str">
        <f t="shared" ca="1" si="4"/>
        <v xml:space="preserve"> </v>
      </c>
      <c r="B99" s="3"/>
      <c r="C99" s="12"/>
      <c r="D99" s="22"/>
      <c r="E99" s="22"/>
      <c r="F99" s="1" t="str">
        <f t="shared" si="5"/>
        <v/>
      </c>
      <c r="G99" s="22"/>
      <c r="H99" s="12"/>
      <c r="I99" s="56"/>
      <c r="J99" s="56"/>
      <c r="K99" s="23"/>
      <c r="L99" s="13" t="str">
        <f t="shared" si="6"/>
        <v/>
      </c>
      <c r="M99" s="56"/>
      <c r="N99" s="56"/>
      <c r="O99" s="56"/>
      <c r="P99" s="56"/>
      <c r="Q99" s="56"/>
      <c r="R99" s="72"/>
      <c r="S99" s="73"/>
    </row>
    <row r="100" spans="1:19" x14ac:dyDescent="0.15">
      <c r="A100" s="2" t="str">
        <f t="shared" ca="1" si="4"/>
        <v xml:space="preserve"> </v>
      </c>
      <c r="B100" s="3"/>
      <c r="C100" s="12"/>
      <c r="D100" s="22"/>
      <c r="E100" s="22"/>
      <c r="F100" s="1" t="str">
        <f t="shared" si="5"/>
        <v/>
      </c>
      <c r="G100" s="22"/>
      <c r="H100" s="12"/>
      <c r="I100" s="56"/>
      <c r="J100" s="56"/>
      <c r="K100" s="23"/>
      <c r="L100" s="13" t="str">
        <f t="shared" si="6"/>
        <v/>
      </c>
      <c r="M100" s="56"/>
      <c r="N100" s="56"/>
      <c r="O100" s="56"/>
      <c r="P100" s="56"/>
      <c r="Q100" s="56"/>
      <c r="R100" s="72"/>
      <c r="S100" s="73"/>
    </row>
    <row r="101" spans="1:19" x14ac:dyDescent="0.15">
      <c r="A101" s="2" t="str">
        <f t="shared" ca="1" si="4"/>
        <v xml:space="preserve"> </v>
      </c>
      <c r="B101" s="3"/>
      <c r="C101" s="12"/>
      <c r="D101" s="22"/>
      <c r="E101" s="22"/>
      <c r="F101" s="1" t="str">
        <f t="shared" si="5"/>
        <v/>
      </c>
      <c r="G101" s="22"/>
      <c r="H101" s="12"/>
      <c r="I101" s="56"/>
      <c r="J101" s="56"/>
      <c r="K101" s="23"/>
      <c r="L101" s="13" t="str">
        <f t="shared" si="6"/>
        <v/>
      </c>
      <c r="M101" s="56"/>
      <c r="N101" s="56"/>
      <c r="O101" s="56"/>
      <c r="P101" s="56"/>
      <c r="Q101" s="56"/>
      <c r="R101" s="72"/>
      <c r="S101" s="73"/>
    </row>
    <row r="102" spans="1:19" x14ac:dyDescent="0.15">
      <c r="A102" s="2" t="str">
        <f t="shared" ca="1" si="4"/>
        <v xml:space="preserve"> </v>
      </c>
      <c r="B102" s="3"/>
      <c r="C102" s="12"/>
      <c r="D102" s="22"/>
      <c r="E102" s="22"/>
      <c r="F102" s="1" t="str">
        <f t="shared" si="5"/>
        <v/>
      </c>
      <c r="G102" s="22"/>
      <c r="H102" s="12"/>
      <c r="I102" s="56"/>
      <c r="J102" s="56"/>
      <c r="K102" s="23"/>
      <c r="L102" s="13" t="str">
        <f t="shared" si="6"/>
        <v/>
      </c>
      <c r="M102" s="56"/>
      <c r="N102" s="56"/>
      <c r="O102" s="56"/>
      <c r="P102" s="56"/>
      <c r="Q102" s="56"/>
      <c r="R102" s="72"/>
      <c r="S102" s="73"/>
    </row>
    <row r="103" spans="1:19" x14ac:dyDescent="0.15">
      <c r="A103" s="2" t="str">
        <f t="shared" ca="1" si="4"/>
        <v xml:space="preserve"> </v>
      </c>
      <c r="B103" s="3"/>
      <c r="C103" s="12"/>
      <c r="D103" s="22"/>
      <c r="E103" s="22"/>
      <c r="F103" s="1" t="str">
        <f t="shared" si="5"/>
        <v/>
      </c>
      <c r="G103" s="22"/>
      <c r="H103" s="12"/>
      <c r="I103" s="56"/>
      <c r="J103" s="56"/>
      <c r="K103" s="23"/>
      <c r="L103" s="13" t="str">
        <f t="shared" si="6"/>
        <v/>
      </c>
      <c r="M103" s="56"/>
      <c r="N103" s="56"/>
      <c r="O103" s="56"/>
      <c r="P103" s="56"/>
      <c r="Q103" s="56"/>
      <c r="R103" s="72"/>
      <c r="S103" s="73"/>
    </row>
    <row r="104" spans="1:19" x14ac:dyDescent="0.15">
      <c r="A104" s="2" t="str">
        <f t="shared" ca="1" si="4"/>
        <v xml:space="preserve"> </v>
      </c>
      <c r="B104" s="3"/>
      <c r="C104" s="12"/>
      <c r="D104" s="22"/>
      <c r="E104" s="22"/>
      <c r="F104" s="1" t="str">
        <f t="shared" si="5"/>
        <v/>
      </c>
      <c r="G104" s="22"/>
      <c r="H104" s="12"/>
      <c r="I104" s="56"/>
      <c r="J104" s="56"/>
      <c r="K104" s="23"/>
      <c r="L104" s="13" t="str">
        <f t="shared" si="6"/>
        <v/>
      </c>
      <c r="M104" s="56"/>
      <c r="N104" s="56"/>
      <c r="O104" s="56"/>
      <c r="P104" s="56"/>
      <c r="Q104" s="56"/>
      <c r="R104" s="74"/>
      <c r="S104" s="75"/>
    </row>
  </sheetData>
  <sheetProtection algorithmName="SHA-512" hashValue="EtxnnnzQIFsME74aAl17lHffQ8Bg2lDxxGr+xq3pK64/V1zJt7dwFtvY+9hy2wXUMBCEnzKTs9UJZ/rvmLaT3A==" saltValue="nlSLKLTkv52WIGE7Zb0mi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22" r:id="rId2" xr:uid="{774ED2DD-C78A-4414-A50C-93085727D10D}"/>
    <hyperlink ref="H23" r:id="rId3" xr:uid="{E3020ABF-9E24-4118-AB69-180B3044F590}"/>
    <hyperlink ref="H24" r:id="rId4" xr:uid="{CC9371AE-51FB-491F-A4A6-4C8463BCC85E}"/>
    <hyperlink ref="H25" r:id="rId5" xr:uid="{5433972F-7B1B-49B3-B87A-C4744B0E1980}"/>
    <hyperlink ref="H26" r:id="rId6" xr:uid="{134E37EE-EE7D-4954-A539-56FD7DB3A8C7}"/>
    <hyperlink ref="H27" r:id="rId7" xr:uid="{3DF43D94-F3F6-452C-A13C-17D01EAF6927}"/>
    <hyperlink ref="H28" r:id="rId8" xr:uid="{370AFA42-540A-4644-BD13-2A17AA610420}"/>
    <hyperlink ref="H41" r:id="rId9" xr:uid="{DE1E5F00-767B-4D2A-9714-DDC1DD563192}"/>
    <hyperlink ref="H42" r:id="rId10" xr:uid="{8646716C-E310-47F1-8833-6C043832032A}"/>
    <hyperlink ref="H43" r:id="rId11" xr:uid="{18CB4D91-CF42-4401-95EE-4F43420ADF6E}"/>
    <hyperlink ref="H44:I44" r:id="rId12" display="https://www.belfuse.com/resources/datasheets/circuitprotection/ds-CP-0ADG-series.pdf" xr:uid="{DAEC4106-F4D6-4994-AE8C-88FF8FD7F042}"/>
    <hyperlink ref="H45" r:id="rId13" xr:uid="{5E32485D-5875-412E-A9F6-10A725E3388E}"/>
    <hyperlink ref="K56:L56" r:id="rId14" display="https://www.ohmite.com/assets/docs/res_200.pdf?r=false" xr:uid="{F204136C-D5CA-4028-B85E-1BD9AD33F5D1}"/>
    <hyperlink ref="K57:L57" r:id="rId15" display="https://www.ohmite.com/assets/docs/res_tdh50.pdf?r=false_x0009_" xr:uid="{300D2EEF-4695-40B3-8ECD-E684E3801BD0}"/>
    <hyperlink ref="K58:L58" r:id="rId16" display="https://www.te.com/commerce/DocumentDelivery/DDEController?Action=srchrtrv&amp;DocNm=1773195&amp;DocType=DS&amp;DocLang=English" xr:uid="{C3840E2E-D8C0-42F6-9238-67935060B9B1}"/>
    <hyperlink ref="K58" r:id="rId17" xr:uid="{25635853-96BF-4A54-8B44-B50D433A41F2}"/>
    <hyperlink ref="H65" r:id="rId18" xr:uid="{527D9251-2406-41F6-B199-7E567DCEA600}"/>
    <hyperlink ref="H67" r:id="rId19" xr:uid="{DA98B4D3-7F8B-471B-8113-88E71B3A68BD}"/>
    <hyperlink ref="H66" r:id="rId20" xr:uid="{CC1740FF-6413-401E-A457-39FBB085CD0E}"/>
    <hyperlink ref="H68" r:id="rId21" xr:uid="{CAD71A65-2DEF-4B6D-9325-BD13F21DAA9F}"/>
    <hyperlink ref="G73" r:id="rId22"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A50B6E4A-3EA3-4D9D-B1EA-45C6DC8CF6F6}"/>
    <hyperlink ref="G74" r:id="rId23" xr:uid="{9145FA86-DA12-45CD-A3A3-BDC7630A3EE9}"/>
    <hyperlink ref="D13" r:id="rId24" xr:uid="{1FCFE4DC-2D2D-4957-B799-A16BF7BEB7BA}"/>
    <hyperlink ref="D14" r:id="rId25" xr:uid="{01C9D9F5-AADF-4614-8108-A28FFFDA3A8B}"/>
    <hyperlink ref="G78" r:id="rId26" xr:uid="{D444F268-1B85-45FF-86F1-B01619C52D3F}"/>
    <hyperlink ref="G79" r:id="rId27" xr:uid="{78996C62-824D-437A-8B62-44001F844866}"/>
    <hyperlink ref="G80" r:id="rId28" xr:uid="{3192EA07-DFD8-4B6B-A543-B11AF603AA6F}"/>
    <hyperlink ref="G81" r:id="rId29" xr:uid="{F18D6F80-1643-46CC-B5C2-23639D18064C}"/>
    <hyperlink ref="G82" r:id="rId30" xr:uid="{36B23D68-DD0A-4950-8877-E0162E426846}"/>
    <hyperlink ref="I95" r:id="rId31" xr:uid="{37C681F2-16A0-421A-90FF-427637150435}"/>
    <hyperlink ref="H46" r:id="rId32" xr:uid="{61DDEB45-18D2-4AE0-B2C9-566E9133F55B}"/>
    <hyperlink ref="K57" r:id="rId33" xr:uid="{F835C700-8544-42F5-ABCB-35A929DE5C05}"/>
    <hyperlink ref="G76" r:id="rId34" xr:uid="{E31D5BAF-3BB1-AD45-B5CD-D73FC880DC8E}"/>
    <hyperlink ref="G75" r:id="rId35" xr:uid="{EDCF0A67-061E-4B4E-990A-D26F6A95022F}"/>
    <hyperlink ref="G77" r:id="rId36" xr:uid="{40B1F32B-1614-DA4C-BC4E-F9753CD43C02}"/>
  </hyperlinks>
  <pageMargins left="0.7" right="0.7" top="0.75" bottom="0.75" header="0.3" footer="0.3"/>
  <pageSetup orientation="portrait" r:id="rId37"/>
  <headerFooter>
    <oddFooter>&amp;R&amp;1#&amp;"Calibri"&amp;10&amp;KFF0000Public</oddFooter>
  </headerFooter>
  <legacyDrawing r:id="rId3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60" zoomScaleNormal="175" workbookViewId="0">
      <pane ySplit="1" topLeftCell="A2" activePane="bottomLeft" state="frozen"/>
      <selection pane="bottomLeft" activeCell="L37" sqref="L37"/>
    </sheetView>
  </sheetViews>
  <sheetFormatPr baseColWidth="10" defaultColWidth="8.7109375" defaultRowHeight="14" x14ac:dyDescent="0.15"/>
  <cols>
    <col min="1" max="4" width="8.7109375" style="2"/>
    <col min="5" max="5" width="9.140625" style="2" bestFit="1" customWidth="1"/>
    <col min="6" max="16384" width="8.7109375" style="2"/>
  </cols>
  <sheetData>
    <row r="1" spans="1:31" x14ac:dyDescent="0.15">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x14ac:dyDescent="0.15">
      <c r="A2" s="86" t="s">
        <v>76</v>
      </c>
      <c r="B2" s="86"/>
      <c r="C2" s="86"/>
      <c r="D2" s="86"/>
      <c r="E2" s="86"/>
      <c r="F2" s="86"/>
      <c r="G2" s="86"/>
      <c r="H2" s="86"/>
      <c r="I2" s="86"/>
      <c r="J2" s="86"/>
      <c r="K2" s="86"/>
      <c r="M2" s="86" t="s">
        <v>77</v>
      </c>
      <c r="N2" s="86"/>
      <c r="O2" s="86"/>
      <c r="P2" s="86"/>
      <c r="Q2" s="86"/>
      <c r="R2" s="86"/>
      <c r="S2" s="86"/>
      <c r="T2" s="86"/>
      <c r="U2" s="86"/>
      <c r="V2" s="86"/>
      <c r="W2" s="86"/>
      <c r="Y2" s="40" t="s">
        <v>18</v>
      </c>
      <c r="Z2" s="40"/>
      <c r="AA2" s="40"/>
      <c r="AB2" s="40"/>
      <c r="AC2" s="40"/>
      <c r="AD2" s="40"/>
      <c r="AE2" s="40"/>
    </row>
    <row r="3" spans="1:31" x14ac:dyDescent="0.15">
      <c r="A3" s="86"/>
      <c r="B3" s="86"/>
      <c r="C3" s="86"/>
      <c r="D3" s="86"/>
      <c r="E3" s="86"/>
      <c r="F3" s="86"/>
      <c r="G3" s="86"/>
      <c r="H3" s="86"/>
      <c r="I3" s="86"/>
      <c r="J3" s="86"/>
      <c r="K3" s="86"/>
      <c r="M3" s="86"/>
      <c r="N3" s="86"/>
      <c r="O3" s="86"/>
      <c r="P3" s="86"/>
      <c r="Q3" s="86"/>
      <c r="R3" s="86"/>
      <c r="S3" s="86"/>
      <c r="T3" s="86"/>
      <c r="U3" s="86"/>
      <c r="V3" s="86"/>
      <c r="W3" s="86"/>
      <c r="Y3" s="47"/>
      <c r="Z3" s="47"/>
      <c r="AA3" s="47"/>
      <c r="AB3" s="47"/>
      <c r="AC3" s="47"/>
      <c r="AD3" s="47"/>
      <c r="AE3" s="47"/>
    </row>
    <row r="4" spans="1:31" x14ac:dyDescent="0.15">
      <c r="A4" s="86"/>
      <c r="B4" s="86"/>
      <c r="C4" s="86"/>
      <c r="D4" s="86"/>
      <c r="E4" s="86"/>
      <c r="F4" s="86"/>
      <c r="G4" s="86"/>
      <c r="H4" s="86"/>
      <c r="I4" s="86"/>
      <c r="J4" s="86"/>
      <c r="K4" s="86"/>
      <c r="M4" s="86"/>
      <c r="N4" s="86"/>
      <c r="O4" s="86"/>
      <c r="P4" s="86"/>
      <c r="Q4" s="86"/>
      <c r="R4" s="86"/>
      <c r="S4" s="86"/>
      <c r="T4" s="86"/>
      <c r="U4" s="86"/>
      <c r="V4" s="86"/>
      <c r="W4" s="86"/>
      <c r="Y4" s="50"/>
      <c r="Z4" s="50"/>
      <c r="AA4" s="50"/>
      <c r="AB4" s="50"/>
      <c r="AC4" s="50"/>
      <c r="AD4" s="50"/>
      <c r="AE4" s="50"/>
    </row>
    <row r="5" spans="1:31" x14ac:dyDescent="0.15">
      <c r="A5" s="86"/>
      <c r="B5" s="86"/>
      <c r="C5" s="86"/>
      <c r="D5" s="86"/>
      <c r="E5" s="86"/>
      <c r="F5" s="86"/>
      <c r="G5" s="86"/>
      <c r="H5" s="86"/>
      <c r="I5" s="86"/>
      <c r="J5" s="86"/>
      <c r="K5" s="86"/>
      <c r="M5" s="86"/>
      <c r="N5" s="86"/>
      <c r="O5" s="86"/>
      <c r="P5" s="86"/>
      <c r="Q5" s="86"/>
      <c r="R5" s="86"/>
      <c r="S5" s="86"/>
      <c r="T5" s="86"/>
      <c r="U5" s="86"/>
      <c r="V5" s="86"/>
      <c r="W5" s="86"/>
      <c r="Y5" s="50"/>
      <c r="Z5" s="50"/>
      <c r="AA5" s="50"/>
      <c r="AB5" s="50"/>
      <c r="AC5" s="50"/>
      <c r="AD5" s="50"/>
      <c r="AE5" s="50"/>
    </row>
    <row r="6" spans="1:31" x14ac:dyDescent="0.15">
      <c r="A6" s="86"/>
      <c r="B6" s="86"/>
      <c r="C6" s="86"/>
      <c r="D6" s="86"/>
      <c r="E6" s="86"/>
      <c r="F6" s="86"/>
      <c r="G6" s="86"/>
      <c r="H6" s="86"/>
      <c r="I6" s="86"/>
      <c r="J6" s="86"/>
      <c r="K6" s="86"/>
      <c r="M6" s="86"/>
      <c r="N6" s="86"/>
      <c r="O6" s="86"/>
      <c r="P6" s="86"/>
      <c r="Q6" s="86"/>
      <c r="R6" s="86"/>
      <c r="S6" s="86"/>
      <c r="T6" s="86"/>
      <c r="U6" s="86"/>
      <c r="V6" s="86"/>
      <c r="W6" s="86"/>
      <c r="Y6" s="50"/>
      <c r="Z6" s="50"/>
      <c r="AA6" s="50"/>
      <c r="AB6" s="50"/>
      <c r="AC6" s="50"/>
      <c r="AD6" s="50"/>
      <c r="AE6" s="50"/>
    </row>
    <row r="7" spans="1:31" x14ac:dyDescent="0.15">
      <c r="A7" s="86"/>
      <c r="B7" s="86"/>
      <c r="C7" s="86"/>
      <c r="D7" s="86"/>
      <c r="E7" s="86"/>
      <c r="F7" s="86"/>
      <c r="G7" s="86"/>
      <c r="H7" s="86"/>
      <c r="I7" s="86"/>
      <c r="J7" s="86"/>
      <c r="K7" s="86"/>
      <c r="M7" s="86"/>
      <c r="N7" s="86"/>
      <c r="O7" s="86"/>
      <c r="P7" s="86"/>
      <c r="Q7" s="86"/>
      <c r="R7" s="86"/>
      <c r="S7" s="86"/>
      <c r="T7" s="86"/>
      <c r="U7" s="86"/>
      <c r="V7" s="86"/>
      <c r="W7" s="86"/>
      <c r="Y7" s="50"/>
      <c r="Z7" s="50"/>
      <c r="AA7" s="50"/>
      <c r="AB7" s="50"/>
      <c r="AC7" s="50"/>
      <c r="AD7" s="50"/>
      <c r="AE7" s="50"/>
    </row>
    <row r="8" spans="1:31" x14ac:dyDescent="0.15">
      <c r="A8" s="86"/>
      <c r="B8" s="86"/>
      <c r="C8" s="86"/>
      <c r="D8" s="86"/>
      <c r="E8" s="86"/>
      <c r="F8" s="86"/>
      <c r="G8" s="86"/>
      <c r="H8" s="86"/>
      <c r="I8" s="86"/>
      <c r="J8" s="86"/>
      <c r="K8" s="86"/>
      <c r="M8" s="86"/>
      <c r="N8" s="86"/>
      <c r="O8" s="86"/>
      <c r="P8" s="86"/>
      <c r="Q8" s="86"/>
      <c r="R8" s="86"/>
      <c r="S8" s="86"/>
      <c r="T8" s="86"/>
      <c r="U8" s="86"/>
      <c r="V8" s="86"/>
      <c r="W8" s="86"/>
      <c r="Y8" s="50"/>
      <c r="Z8" s="50"/>
      <c r="AA8" s="50"/>
      <c r="AB8" s="50"/>
      <c r="AC8" s="50"/>
      <c r="AD8" s="50"/>
      <c r="AE8" s="50"/>
    </row>
    <row r="9" spans="1:31" x14ac:dyDescent="0.15">
      <c r="A9" s="86"/>
      <c r="B9" s="86"/>
      <c r="C9" s="86"/>
      <c r="D9" s="86"/>
      <c r="E9" s="86"/>
      <c r="F9" s="86"/>
      <c r="G9" s="86"/>
      <c r="H9" s="86"/>
      <c r="I9" s="86"/>
      <c r="J9" s="86"/>
      <c r="K9" s="86"/>
      <c r="M9" s="86"/>
      <c r="N9" s="86"/>
      <c r="O9" s="86"/>
      <c r="P9" s="86"/>
      <c r="Q9" s="86"/>
      <c r="R9" s="86"/>
      <c r="S9" s="86"/>
      <c r="T9" s="86"/>
      <c r="U9" s="86"/>
      <c r="V9" s="86"/>
      <c r="W9" s="86"/>
      <c r="Y9" s="50"/>
      <c r="Z9" s="50"/>
      <c r="AA9" s="50"/>
      <c r="AB9" s="50"/>
      <c r="AC9" s="50"/>
      <c r="AD9" s="50"/>
      <c r="AE9" s="50"/>
    </row>
    <row r="10" spans="1:31" x14ac:dyDescent="0.15">
      <c r="A10" s="86"/>
      <c r="B10" s="86"/>
      <c r="C10" s="86"/>
      <c r="D10" s="86"/>
      <c r="E10" s="86"/>
      <c r="F10" s="86"/>
      <c r="G10" s="86"/>
      <c r="H10" s="86"/>
      <c r="I10" s="86"/>
      <c r="J10" s="86"/>
      <c r="K10" s="86"/>
      <c r="M10" s="86"/>
      <c r="N10" s="86"/>
      <c r="O10" s="86"/>
      <c r="P10" s="86"/>
      <c r="Q10" s="86"/>
      <c r="R10" s="86"/>
      <c r="S10" s="86"/>
      <c r="T10" s="86"/>
      <c r="U10" s="86"/>
      <c r="V10" s="86"/>
      <c r="W10" s="86"/>
      <c r="Y10" s="50"/>
      <c r="Z10" s="50"/>
      <c r="AA10" s="50"/>
      <c r="AB10" s="50"/>
      <c r="AC10" s="50"/>
      <c r="AD10" s="50"/>
      <c r="AE10" s="50"/>
    </row>
    <row r="11" spans="1:31" x14ac:dyDescent="0.15">
      <c r="A11" s="86"/>
      <c r="B11" s="86"/>
      <c r="C11" s="86"/>
      <c r="D11" s="86"/>
      <c r="E11" s="86"/>
      <c r="F11" s="86"/>
      <c r="G11" s="86"/>
      <c r="H11" s="86"/>
      <c r="I11" s="86"/>
      <c r="J11" s="86"/>
      <c r="K11" s="86"/>
      <c r="M11" s="86"/>
      <c r="N11" s="86"/>
      <c r="O11" s="86"/>
      <c r="P11" s="86"/>
      <c r="Q11" s="86"/>
      <c r="R11" s="86"/>
      <c r="S11" s="86"/>
      <c r="T11" s="86"/>
      <c r="U11" s="86"/>
      <c r="V11" s="86"/>
      <c r="W11" s="86"/>
      <c r="Y11" s="50"/>
      <c r="Z11" s="50"/>
      <c r="AA11" s="50"/>
      <c r="AB11" s="50"/>
      <c r="AC11" s="50"/>
      <c r="AD11" s="50"/>
      <c r="AE11" s="50"/>
    </row>
    <row r="12" spans="1:31" x14ac:dyDescent="0.15">
      <c r="A12" s="86"/>
      <c r="B12" s="86"/>
      <c r="C12" s="86"/>
      <c r="D12" s="86"/>
      <c r="E12" s="86"/>
      <c r="F12" s="86"/>
      <c r="G12" s="86"/>
      <c r="H12" s="86"/>
      <c r="I12" s="86"/>
      <c r="J12" s="86"/>
      <c r="K12" s="86"/>
      <c r="M12" s="86"/>
      <c r="N12" s="86"/>
      <c r="O12" s="86"/>
      <c r="P12" s="86"/>
      <c r="Q12" s="86"/>
      <c r="R12" s="86"/>
      <c r="S12" s="86"/>
      <c r="T12" s="86"/>
      <c r="U12" s="86"/>
      <c r="V12" s="86"/>
      <c r="W12" s="86"/>
      <c r="Y12" s="50"/>
      <c r="Z12" s="50"/>
      <c r="AA12" s="50"/>
      <c r="AB12" s="50"/>
      <c r="AC12" s="50"/>
      <c r="AD12" s="50"/>
      <c r="AE12" s="50"/>
    </row>
    <row r="13" spans="1:31" x14ac:dyDescent="0.15">
      <c r="A13" s="86"/>
      <c r="B13" s="86"/>
      <c r="C13" s="86"/>
      <c r="D13" s="86"/>
      <c r="E13" s="86"/>
      <c r="F13" s="86"/>
      <c r="G13" s="86"/>
      <c r="H13" s="86"/>
      <c r="I13" s="86"/>
      <c r="J13" s="86"/>
      <c r="K13" s="86"/>
      <c r="M13" s="86"/>
      <c r="N13" s="86"/>
      <c r="O13" s="86"/>
      <c r="P13" s="86"/>
      <c r="Q13" s="86"/>
      <c r="R13" s="86"/>
      <c r="S13" s="86"/>
      <c r="T13" s="86"/>
      <c r="U13" s="86"/>
      <c r="V13" s="86"/>
      <c r="W13" s="86"/>
      <c r="Y13" s="50"/>
      <c r="Z13" s="50"/>
      <c r="AA13" s="50"/>
      <c r="AB13" s="50"/>
      <c r="AC13" s="50"/>
      <c r="AD13" s="50"/>
      <c r="AE13" s="50"/>
    </row>
    <row r="14" spans="1:31" x14ac:dyDescent="0.15">
      <c r="A14" s="86"/>
      <c r="B14" s="86"/>
      <c r="C14" s="86"/>
      <c r="D14" s="86"/>
      <c r="E14" s="86"/>
      <c r="F14" s="86"/>
      <c r="G14" s="86"/>
      <c r="H14" s="86"/>
      <c r="I14" s="86"/>
      <c r="J14" s="86"/>
      <c r="K14" s="86"/>
      <c r="M14" s="86"/>
      <c r="N14" s="86"/>
      <c r="O14" s="86"/>
      <c r="P14" s="86"/>
      <c r="Q14" s="86"/>
      <c r="R14" s="86"/>
      <c r="S14" s="86"/>
      <c r="T14" s="86"/>
      <c r="U14" s="86"/>
      <c r="V14" s="86"/>
      <c r="W14" s="86"/>
      <c r="Y14" s="50"/>
      <c r="Z14" s="50"/>
      <c r="AA14" s="50"/>
      <c r="AB14" s="50"/>
      <c r="AC14" s="50"/>
      <c r="AD14" s="50"/>
      <c r="AE14" s="50"/>
    </row>
    <row r="15" spans="1:31" x14ac:dyDescent="0.15">
      <c r="A15" s="86"/>
      <c r="B15" s="86"/>
      <c r="C15" s="86"/>
      <c r="D15" s="86"/>
      <c r="E15" s="86"/>
      <c r="F15" s="86"/>
      <c r="G15" s="86"/>
      <c r="H15" s="86"/>
      <c r="I15" s="86"/>
      <c r="J15" s="86"/>
      <c r="K15" s="86"/>
      <c r="M15" s="86"/>
      <c r="N15" s="86"/>
      <c r="O15" s="86"/>
      <c r="P15" s="86"/>
      <c r="Q15" s="86"/>
      <c r="R15" s="86"/>
      <c r="S15" s="86"/>
      <c r="T15" s="86"/>
      <c r="U15" s="86"/>
      <c r="V15" s="86"/>
      <c r="W15" s="86"/>
      <c r="Y15" s="50"/>
      <c r="Z15" s="50"/>
      <c r="AA15" s="50"/>
      <c r="AB15" s="50"/>
      <c r="AC15" s="50"/>
      <c r="AD15" s="50"/>
      <c r="AE15" s="50"/>
    </row>
    <row r="16" spans="1:31" x14ac:dyDescent="0.15">
      <c r="A16" s="86"/>
      <c r="B16" s="86"/>
      <c r="C16" s="86"/>
      <c r="D16" s="86"/>
      <c r="E16" s="86"/>
      <c r="F16" s="86"/>
      <c r="G16" s="86"/>
      <c r="H16" s="86"/>
      <c r="I16" s="86"/>
      <c r="J16" s="86"/>
      <c r="K16" s="86"/>
      <c r="M16" s="86"/>
      <c r="N16" s="86"/>
      <c r="O16" s="86"/>
      <c r="P16" s="86"/>
      <c r="Q16" s="86"/>
      <c r="R16" s="86"/>
      <c r="S16" s="86"/>
      <c r="T16" s="86"/>
      <c r="U16" s="86"/>
      <c r="V16" s="86"/>
      <c r="W16" s="86"/>
      <c r="Y16" s="50"/>
      <c r="Z16" s="50"/>
      <c r="AA16" s="50"/>
      <c r="AB16" s="50"/>
      <c r="AC16" s="50"/>
      <c r="AD16" s="50"/>
      <c r="AE16" s="50"/>
    </row>
    <row r="17" spans="1:31" x14ac:dyDescent="0.15">
      <c r="A17" s="86"/>
      <c r="B17" s="86"/>
      <c r="C17" s="86"/>
      <c r="D17" s="86"/>
      <c r="E17" s="86"/>
      <c r="F17" s="86"/>
      <c r="G17" s="86"/>
      <c r="H17" s="86"/>
      <c r="I17" s="86"/>
      <c r="J17" s="86"/>
      <c r="K17" s="86"/>
      <c r="M17" s="86"/>
      <c r="N17" s="86"/>
      <c r="O17" s="86"/>
      <c r="P17" s="86"/>
      <c r="Q17" s="86"/>
      <c r="R17" s="86"/>
      <c r="S17" s="86"/>
      <c r="T17" s="86"/>
      <c r="U17" s="86"/>
      <c r="V17" s="86"/>
      <c r="W17" s="86"/>
      <c r="Y17" s="50"/>
      <c r="Z17" s="50"/>
      <c r="AA17" s="50"/>
      <c r="AB17" s="50"/>
      <c r="AC17" s="50"/>
      <c r="AD17" s="50"/>
      <c r="AE17" s="50"/>
    </row>
    <row r="18" spans="1:31" x14ac:dyDescent="0.15">
      <c r="A18" s="86"/>
      <c r="B18" s="86"/>
      <c r="C18" s="86"/>
      <c r="D18" s="86"/>
      <c r="E18" s="86"/>
      <c r="F18" s="86"/>
      <c r="G18" s="86"/>
      <c r="H18" s="86"/>
      <c r="I18" s="86"/>
      <c r="J18" s="86"/>
      <c r="K18" s="86"/>
      <c r="M18" s="86"/>
      <c r="N18" s="86"/>
      <c r="O18" s="86"/>
      <c r="P18" s="86"/>
      <c r="Q18" s="86"/>
      <c r="R18" s="86"/>
      <c r="S18" s="86"/>
      <c r="T18" s="86"/>
      <c r="U18" s="86"/>
      <c r="V18" s="86"/>
      <c r="W18" s="86"/>
      <c r="Y18" s="50"/>
      <c r="Z18" s="50"/>
      <c r="AA18" s="50"/>
      <c r="AB18" s="50"/>
      <c r="AC18" s="50"/>
      <c r="AD18" s="50"/>
      <c r="AE18" s="50"/>
    </row>
    <row r="19" spans="1:31" x14ac:dyDescent="0.15">
      <c r="A19" s="86"/>
      <c r="B19" s="86"/>
      <c r="C19" s="86"/>
      <c r="D19" s="86"/>
      <c r="E19" s="86"/>
      <c r="F19" s="86"/>
      <c r="G19" s="86"/>
      <c r="H19" s="86"/>
      <c r="I19" s="86"/>
      <c r="J19" s="86"/>
      <c r="K19" s="86"/>
      <c r="M19" s="86"/>
      <c r="N19" s="86"/>
      <c r="O19" s="86"/>
      <c r="P19" s="86"/>
      <c r="Q19" s="86"/>
      <c r="R19" s="86"/>
      <c r="S19" s="86"/>
      <c r="T19" s="86"/>
      <c r="U19" s="86"/>
      <c r="V19" s="86"/>
      <c r="W19" s="86"/>
      <c r="Y19" s="50"/>
      <c r="Z19" s="50"/>
      <c r="AA19" s="50"/>
      <c r="AB19" s="50"/>
      <c r="AC19" s="50"/>
      <c r="AD19" s="50"/>
      <c r="AE19" s="50"/>
    </row>
    <row r="20" spans="1:31" x14ac:dyDescent="0.15">
      <c r="A20" s="86"/>
      <c r="B20" s="86"/>
      <c r="C20" s="86"/>
      <c r="D20" s="86"/>
      <c r="E20" s="86"/>
      <c r="F20" s="86"/>
      <c r="G20" s="86"/>
      <c r="H20" s="86"/>
      <c r="I20" s="86"/>
      <c r="J20" s="86"/>
      <c r="K20" s="86"/>
      <c r="M20" s="86"/>
      <c r="N20" s="86"/>
      <c r="O20" s="86"/>
      <c r="P20" s="86"/>
      <c r="Q20" s="86"/>
      <c r="R20" s="86"/>
      <c r="S20" s="86"/>
      <c r="T20" s="86"/>
      <c r="U20" s="86"/>
      <c r="V20" s="86"/>
      <c r="W20" s="86"/>
      <c r="Y20" s="50"/>
      <c r="Z20" s="50"/>
      <c r="AA20" s="50"/>
      <c r="AB20" s="50"/>
      <c r="AC20" s="50"/>
      <c r="AD20" s="50"/>
      <c r="AE20" s="50"/>
    </row>
    <row r="21" spans="1:31" x14ac:dyDescent="0.15">
      <c r="A21" s="86"/>
      <c r="B21" s="86"/>
      <c r="C21" s="86"/>
      <c r="D21" s="86"/>
      <c r="E21" s="86"/>
      <c r="F21" s="86"/>
      <c r="G21" s="86"/>
      <c r="H21" s="86"/>
      <c r="I21" s="86"/>
      <c r="J21" s="86"/>
      <c r="K21" s="86"/>
      <c r="M21" s="86"/>
      <c r="N21" s="86"/>
      <c r="O21" s="86"/>
      <c r="P21" s="86"/>
      <c r="Q21" s="86"/>
      <c r="R21" s="86"/>
      <c r="S21" s="86"/>
      <c r="T21" s="86"/>
      <c r="U21" s="86"/>
      <c r="V21" s="86"/>
      <c r="W21" s="86"/>
      <c r="Y21" s="50"/>
      <c r="Z21" s="50"/>
      <c r="AA21" s="50"/>
      <c r="AB21" s="50"/>
      <c r="AC21" s="50"/>
      <c r="AD21" s="50"/>
      <c r="AE21" s="50"/>
    </row>
    <row r="22" spans="1:31" x14ac:dyDescent="0.15">
      <c r="A22" s="86"/>
      <c r="B22" s="86"/>
      <c r="C22" s="86"/>
      <c r="D22" s="86"/>
      <c r="E22" s="86"/>
      <c r="F22" s="86"/>
      <c r="G22" s="86"/>
      <c r="H22" s="86"/>
      <c r="I22" s="86"/>
      <c r="J22" s="86"/>
      <c r="K22" s="86"/>
      <c r="M22" s="86"/>
      <c r="N22" s="86"/>
      <c r="O22" s="86"/>
      <c r="P22" s="86"/>
      <c r="Q22" s="86"/>
      <c r="R22" s="86"/>
      <c r="S22" s="86"/>
      <c r="T22" s="86"/>
      <c r="U22" s="86"/>
      <c r="V22" s="86"/>
      <c r="W22" s="86"/>
      <c r="Y22" s="50"/>
      <c r="Z22" s="50"/>
      <c r="AA22" s="50"/>
      <c r="AB22" s="50"/>
      <c r="AC22" s="50"/>
      <c r="AD22" s="50"/>
      <c r="AE22" s="50"/>
    </row>
    <row r="23" spans="1:31" x14ac:dyDescent="0.15">
      <c r="A23" s="86"/>
      <c r="B23" s="86"/>
      <c r="C23" s="86"/>
      <c r="D23" s="86"/>
      <c r="E23" s="86"/>
      <c r="F23" s="86"/>
      <c r="G23" s="86"/>
      <c r="H23" s="86"/>
      <c r="I23" s="86"/>
      <c r="J23" s="86"/>
      <c r="K23" s="86"/>
      <c r="M23" s="86"/>
      <c r="N23" s="86"/>
      <c r="O23" s="86"/>
      <c r="P23" s="86"/>
      <c r="Q23" s="86"/>
      <c r="R23" s="86"/>
      <c r="S23" s="86"/>
      <c r="T23" s="86"/>
      <c r="U23" s="86"/>
      <c r="V23" s="86"/>
      <c r="W23" s="86"/>
      <c r="Y23" s="50"/>
      <c r="Z23" s="50"/>
      <c r="AA23" s="50"/>
      <c r="AB23" s="50"/>
      <c r="AC23" s="50"/>
      <c r="AD23" s="50"/>
      <c r="AE23" s="50"/>
    </row>
    <row r="24" spans="1:31" x14ac:dyDescent="0.15">
      <c r="A24" s="86"/>
      <c r="B24" s="86"/>
      <c r="C24" s="86"/>
      <c r="D24" s="86"/>
      <c r="E24" s="86"/>
      <c r="F24" s="86"/>
      <c r="G24" s="86"/>
      <c r="H24" s="86"/>
      <c r="I24" s="86"/>
      <c r="J24" s="86"/>
      <c r="K24" s="86"/>
      <c r="M24" s="86"/>
      <c r="N24" s="86"/>
      <c r="O24" s="86"/>
      <c r="P24" s="86"/>
      <c r="Q24" s="86"/>
      <c r="R24" s="86"/>
      <c r="S24" s="86"/>
      <c r="T24" s="86"/>
      <c r="U24" s="86"/>
      <c r="V24" s="86"/>
      <c r="W24" s="86"/>
      <c r="Y24" s="50"/>
      <c r="Z24" s="50"/>
      <c r="AA24" s="50"/>
      <c r="AB24" s="50"/>
      <c r="AC24" s="50"/>
      <c r="AD24" s="50"/>
      <c r="AE24" s="50"/>
    </row>
    <row r="25" spans="1:31" x14ac:dyDescent="0.15">
      <c r="A25" s="86"/>
      <c r="B25" s="86"/>
      <c r="C25" s="86"/>
      <c r="D25" s="86"/>
      <c r="E25" s="86"/>
      <c r="F25" s="86"/>
      <c r="G25" s="86"/>
      <c r="H25" s="86"/>
      <c r="I25" s="86"/>
      <c r="J25" s="86"/>
      <c r="K25" s="86"/>
      <c r="M25" s="86"/>
      <c r="N25" s="86"/>
      <c r="O25" s="86"/>
      <c r="P25" s="86"/>
      <c r="Q25" s="86"/>
      <c r="R25" s="86"/>
      <c r="S25" s="86"/>
      <c r="T25" s="86"/>
      <c r="U25" s="86"/>
      <c r="V25" s="86"/>
      <c r="W25" s="86"/>
      <c r="Y25" s="50"/>
      <c r="Z25" s="50"/>
      <c r="AA25" s="50"/>
      <c r="AB25" s="50"/>
      <c r="AC25" s="50"/>
      <c r="AD25" s="50"/>
      <c r="AE25" s="50"/>
    </row>
    <row r="26" spans="1:31" x14ac:dyDescent="0.15">
      <c r="A26" s="86"/>
      <c r="B26" s="86"/>
      <c r="C26" s="86"/>
      <c r="D26" s="86"/>
      <c r="E26" s="86"/>
      <c r="F26" s="86"/>
      <c r="G26" s="86"/>
      <c r="H26" s="86"/>
      <c r="I26" s="86"/>
      <c r="J26" s="86"/>
      <c r="K26" s="86"/>
      <c r="M26" s="86"/>
      <c r="N26" s="86"/>
      <c r="O26" s="86"/>
      <c r="P26" s="86"/>
      <c r="Q26" s="86"/>
      <c r="R26" s="86"/>
      <c r="S26" s="86"/>
      <c r="T26" s="86"/>
      <c r="U26" s="86"/>
      <c r="V26" s="86"/>
      <c r="W26" s="86"/>
      <c r="Y26" s="50"/>
      <c r="Z26" s="50"/>
      <c r="AA26" s="50"/>
      <c r="AB26" s="50"/>
      <c r="AC26" s="50"/>
      <c r="AD26" s="50"/>
      <c r="AE26" s="50"/>
    </row>
    <row r="27" spans="1:31" x14ac:dyDescent="0.15">
      <c r="A27" s="86"/>
      <c r="B27" s="86"/>
      <c r="C27" s="86"/>
      <c r="D27" s="86"/>
      <c r="E27" s="86"/>
      <c r="F27" s="86"/>
      <c r="G27" s="86"/>
      <c r="H27" s="86"/>
      <c r="I27" s="86"/>
      <c r="J27" s="86"/>
      <c r="K27" s="86"/>
      <c r="M27" s="86"/>
      <c r="N27" s="86"/>
      <c r="O27" s="86"/>
      <c r="P27" s="86"/>
      <c r="Q27" s="86"/>
      <c r="R27" s="86"/>
      <c r="S27" s="86"/>
      <c r="T27" s="86"/>
      <c r="U27" s="86"/>
      <c r="V27" s="86"/>
      <c r="W27" s="86"/>
      <c r="Y27" s="50"/>
      <c r="Z27" s="50"/>
      <c r="AA27" s="50"/>
      <c r="AB27" s="50"/>
      <c r="AC27" s="50"/>
      <c r="AD27" s="50"/>
      <c r="AE27" s="50"/>
    </row>
    <row r="28" spans="1:31" x14ac:dyDescent="0.15">
      <c r="A28" s="40" t="s">
        <v>78</v>
      </c>
      <c r="B28" s="40"/>
      <c r="C28" s="40"/>
      <c r="D28" s="40"/>
      <c r="E28" s="40"/>
      <c r="F28" s="40"/>
      <c r="G28" s="40"/>
      <c r="H28" s="40"/>
      <c r="I28" s="40"/>
      <c r="J28" s="40"/>
      <c r="K28" s="79" t="str">
        <f>IF(COUNTIF(K30:K43, "="&amp;IncompleteText), IncompleteText, IF(COUNTIF(K30:K43, "="&amp;ErrorText), ErrorText, OKText))</f>
        <v>OK</v>
      </c>
      <c r="M28" s="40" t="s">
        <v>79</v>
      </c>
      <c r="N28" s="40"/>
      <c r="O28" s="40"/>
      <c r="P28" s="40"/>
      <c r="Q28" s="40"/>
      <c r="R28" s="40"/>
      <c r="S28" s="40"/>
      <c r="T28" s="40"/>
      <c r="U28" s="40"/>
      <c r="V28" s="40"/>
      <c r="W28" s="79" t="str">
        <f>IF(COUNTIF(W30:W41, "="&amp;IncompleteText), IncompleteText, IF(COUNTIF(W30:W41, "="&amp;ErrorText), ErrorText, OKText))</f>
        <v>OK</v>
      </c>
    </row>
    <row r="29" spans="1:31" x14ac:dyDescent="0.15">
      <c r="A29" s="84" t="s">
        <v>48</v>
      </c>
      <c r="B29" s="85"/>
      <c r="C29" s="24"/>
      <c r="D29" s="24"/>
      <c r="E29" s="24"/>
      <c r="F29" s="24"/>
      <c r="G29" s="24"/>
      <c r="H29" s="24"/>
      <c r="I29" s="24"/>
      <c r="J29" s="24"/>
      <c r="K29" s="80"/>
      <c r="M29" s="81" t="s">
        <v>48</v>
      </c>
      <c r="N29" s="82"/>
      <c r="O29" s="24"/>
      <c r="P29" s="24"/>
      <c r="Q29" s="24"/>
      <c r="R29" s="24"/>
      <c r="S29" s="24"/>
      <c r="T29" s="24"/>
      <c r="U29" s="24"/>
      <c r="V29" s="24"/>
      <c r="W29" s="80"/>
    </row>
    <row r="30" spans="1:31" x14ac:dyDescent="0.15">
      <c r="A30" s="83"/>
      <c r="B30" s="83"/>
      <c r="C30" s="62" t="s">
        <v>80</v>
      </c>
      <c r="D30" s="62"/>
      <c r="E30" s="62"/>
      <c r="F30" s="62"/>
      <c r="G30" s="62"/>
      <c r="H30" s="62"/>
      <c r="I30" s="63"/>
      <c r="J30" s="3" t="b">
        <v>1</v>
      </c>
      <c r="K30" s="13" t="str">
        <f t="shared" ref="K30:K54" si="0">IF(ISBLANK(J30),IncompleteText, IF(J30, OKText, ErrorText))</f>
        <v>OK</v>
      </c>
      <c r="M30" s="83"/>
      <c r="N30" s="83"/>
      <c r="O30" s="62" t="s">
        <v>81</v>
      </c>
      <c r="P30" s="62"/>
      <c r="Q30" s="62"/>
      <c r="R30" s="62"/>
      <c r="S30" s="62"/>
      <c r="T30" s="62"/>
      <c r="U30" s="63"/>
      <c r="V30" s="3" t="b">
        <v>1</v>
      </c>
      <c r="W30" s="13" t="str">
        <f t="shared" ref="W30:W40" si="1">IF(ISBLANK(V30),IncompleteText, IF(V30, OKText, ErrorText))</f>
        <v>OK</v>
      </c>
    </row>
    <row r="31" spans="1:31" x14ac:dyDescent="0.15">
      <c r="A31" s="78"/>
      <c r="B31" s="78"/>
      <c r="C31" s="62" t="s">
        <v>82</v>
      </c>
      <c r="D31" s="62"/>
      <c r="E31" s="62"/>
      <c r="F31" s="62"/>
      <c r="G31" s="62"/>
      <c r="H31" s="62"/>
      <c r="I31" s="63"/>
      <c r="J31" s="3" t="b">
        <v>1</v>
      </c>
      <c r="K31" s="13" t="str">
        <f t="shared" si="0"/>
        <v>OK</v>
      </c>
      <c r="M31" s="78"/>
      <c r="N31" s="78"/>
      <c r="O31" s="62" t="s">
        <v>83</v>
      </c>
      <c r="P31" s="62"/>
      <c r="Q31" s="62"/>
      <c r="R31" s="62"/>
      <c r="S31" s="62"/>
      <c r="T31" s="62"/>
      <c r="U31" s="63"/>
      <c r="V31" s="3" t="b">
        <v>1</v>
      </c>
      <c r="W31" s="13" t="str">
        <f t="shared" si="1"/>
        <v>OK</v>
      </c>
    </row>
    <row r="32" spans="1:31" x14ac:dyDescent="0.15">
      <c r="A32" s="78"/>
      <c r="B32" s="78"/>
      <c r="C32" s="62" t="s">
        <v>83</v>
      </c>
      <c r="D32" s="62"/>
      <c r="E32" s="62"/>
      <c r="F32" s="62"/>
      <c r="G32" s="62"/>
      <c r="H32" s="62"/>
      <c r="I32" s="63"/>
      <c r="J32" s="3" t="b">
        <v>1</v>
      </c>
      <c r="K32" s="13" t="str">
        <f t="shared" si="0"/>
        <v>OK</v>
      </c>
      <c r="M32" s="78"/>
      <c r="N32" s="78"/>
      <c r="O32" s="62" t="s">
        <v>84</v>
      </c>
      <c r="P32" s="62"/>
      <c r="Q32" s="62"/>
      <c r="R32" s="62"/>
      <c r="S32" s="62"/>
      <c r="T32" s="62"/>
      <c r="U32" s="63"/>
      <c r="V32" s="3" t="b">
        <v>1</v>
      </c>
      <c r="W32" s="13" t="str">
        <f t="shared" si="1"/>
        <v>OK</v>
      </c>
    </row>
    <row r="33" spans="1:23" x14ac:dyDescent="0.15">
      <c r="A33" s="78"/>
      <c r="B33" s="78"/>
      <c r="C33" s="62" t="s">
        <v>84</v>
      </c>
      <c r="D33" s="62"/>
      <c r="E33" s="62"/>
      <c r="F33" s="62"/>
      <c r="G33" s="62"/>
      <c r="H33" s="62"/>
      <c r="I33" s="63"/>
      <c r="J33" s="3" t="b">
        <v>1</v>
      </c>
      <c r="K33" s="13" t="str">
        <f t="shared" si="0"/>
        <v>OK</v>
      </c>
      <c r="M33" s="78"/>
      <c r="N33" s="78"/>
      <c r="O33" s="62" t="s">
        <v>349</v>
      </c>
      <c r="P33" s="62"/>
      <c r="Q33" s="62"/>
      <c r="R33" s="62"/>
      <c r="S33" s="62"/>
      <c r="T33" s="62"/>
      <c r="U33" s="63"/>
      <c r="V33" s="3" t="b">
        <v>1</v>
      </c>
      <c r="W33" s="13" t="str">
        <f t="shared" si="1"/>
        <v>OK</v>
      </c>
    </row>
    <row r="34" spans="1:23" x14ac:dyDescent="0.15">
      <c r="A34" s="78"/>
      <c r="B34" s="78"/>
      <c r="C34" s="62" t="s">
        <v>349</v>
      </c>
      <c r="D34" s="62"/>
      <c r="E34" s="62"/>
      <c r="F34" s="62"/>
      <c r="G34" s="62"/>
      <c r="H34" s="62"/>
      <c r="I34" s="63"/>
      <c r="J34" s="3" t="b">
        <v>1</v>
      </c>
      <c r="K34" s="13" t="str">
        <f t="shared" si="0"/>
        <v>OK</v>
      </c>
      <c r="M34" s="65"/>
      <c r="N34" s="65"/>
      <c r="O34" s="62" t="s">
        <v>85</v>
      </c>
      <c r="P34" s="62"/>
      <c r="Q34" s="62"/>
      <c r="R34" s="62"/>
      <c r="S34" s="62"/>
      <c r="T34" s="62"/>
      <c r="U34" s="63"/>
      <c r="V34" s="3" t="b">
        <v>1</v>
      </c>
      <c r="W34" s="13" t="str">
        <f t="shared" si="1"/>
        <v>OK</v>
      </c>
    </row>
    <row r="35" spans="1:23" x14ac:dyDescent="0.15">
      <c r="A35" s="78"/>
      <c r="B35" s="78"/>
      <c r="C35" s="62" t="s">
        <v>85</v>
      </c>
      <c r="D35" s="62"/>
      <c r="E35" s="62"/>
      <c r="F35" s="62"/>
      <c r="G35" s="62"/>
      <c r="H35" s="62"/>
      <c r="I35" s="63"/>
      <c r="J35" s="3" t="b">
        <v>1</v>
      </c>
      <c r="K35" s="13" t="str">
        <f t="shared" si="0"/>
        <v>OK</v>
      </c>
      <c r="M35" s="78"/>
      <c r="N35" s="78"/>
      <c r="O35" s="62" t="s">
        <v>86</v>
      </c>
      <c r="P35" s="62"/>
      <c r="Q35" s="62"/>
      <c r="R35" s="62"/>
      <c r="S35" s="62"/>
      <c r="T35" s="62"/>
      <c r="U35" s="63"/>
      <c r="V35" s="3" t="b">
        <v>1</v>
      </c>
      <c r="W35" s="13" t="str">
        <f t="shared" si="1"/>
        <v>OK</v>
      </c>
    </row>
    <row r="36" spans="1:23" x14ac:dyDescent="0.15">
      <c r="A36" s="78"/>
      <c r="B36" s="78"/>
      <c r="C36" s="62" t="s">
        <v>87</v>
      </c>
      <c r="D36" s="62"/>
      <c r="E36" s="62"/>
      <c r="F36" s="62"/>
      <c r="G36" s="62"/>
      <c r="H36" s="62"/>
      <c r="I36" s="63"/>
      <c r="J36" s="3" t="b">
        <v>1</v>
      </c>
      <c r="K36" s="13" t="str">
        <f t="shared" si="0"/>
        <v>OK</v>
      </c>
      <c r="M36" s="78"/>
      <c r="N36" s="78"/>
      <c r="O36" s="62" t="s">
        <v>88</v>
      </c>
      <c r="P36" s="62"/>
      <c r="Q36" s="62"/>
      <c r="R36" s="62"/>
      <c r="S36" s="62"/>
      <c r="T36" s="62"/>
      <c r="U36" s="63"/>
      <c r="V36" s="3" t="b">
        <v>1</v>
      </c>
      <c r="W36" s="13" t="str">
        <f t="shared" si="1"/>
        <v>OK</v>
      </c>
    </row>
    <row r="37" spans="1:23" x14ac:dyDescent="0.15">
      <c r="A37" s="78"/>
      <c r="B37" s="78"/>
      <c r="C37" s="62" t="s">
        <v>86</v>
      </c>
      <c r="D37" s="62"/>
      <c r="E37" s="62"/>
      <c r="F37" s="62"/>
      <c r="G37" s="62"/>
      <c r="H37" s="62"/>
      <c r="I37" s="63"/>
      <c r="J37" s="3" t="b">
        <v>1</v>
      </c>
      <c r="K37" s="13" t="str">
        <f t="shared" si="0"/>
        <v>OK</v>
      </c>
      <c r="M37" s="78"/>
      <c r="N37" s="78"/>
      <c r="O37" s="62" t="s">
        <v>89</v>
      </c>
      <c r="P37" s="62"/>
      <c r="Q37" s="62"/>
      <c r="R37" s="62"/>
      <c r="S37" s="62"/>
      <c r="T37" s="62"/>
      <c r="U37" s="63"/>
      <c r="V37" s="3" t="b">
        <v>1</v>
      </c>
      <c r="W37" s="13" t="str">
        <f t="shared" si="1"/>
        <v>OK</v>
      </c>
    </row>
    <row r="38" spans="1:23" x14ac:dyDescent="0.15">
      <c r="A38" s="78"/>
      <c r="B38" s="78"/>
      <c r="C38" s="62" t="s">
        <v>88</v>
      </c>
      <c r="D38" s="62"/>
      <c r="E38" s="62"/>
      <c r="F38" s="62"/>
      <c r="G38" s="62"/>
      <c r="H38" s="62"/>
      <c r="I38" s="63"/>
      <c r="J38" s="3" t="b">
        <v>1</v>
      </c>
      <c r="K38" s="13" t="str">
        <f t="shared" si="0"/>
        <v>OK</v>
      </c>
      <c r="M38" s="78" t="s">
        <v>90</v>
      </c>
      <c r="N38" s="78"/>
      <c r="O38" s="62" t="s">
        <v>91</v>
      </c>
      <c r="P38" s="62"/>
      <c r="Q38" s="62"/>
      <c r="R38" s="62"/>
      <c r="S38" s="62"/>
      <c r="T38" s="62"/>
      <c r="U38" s="63"/>
      <c r="V38" s="3" t="b">
        <v>1</v>
      </c>
      <c r="W38" s="13" t="str">
        <f t="shared" si="1"/>
        <v>OK</v>
      </c>
    </row>
    <row r="39" spans="1:23" x14ac:dyDescent="0.15">
      <c r="A39" s="78"/>
      <c r="B39" s="78"/>
      <c r="C39" s="62" t="s">
        <v>89</v>
      </c>
      <c r="D39" s="62"/>
      <c r="E39" s="62"/>
      <c r="F39" s="62"/>
      <c r="G39" s="62"/>
      <c r="H39" s="62"/>
      <c r="I39" s="63"/>
      <c r="J39" s="3" t="b">
        <v>1</v>
      </c>
      <c r="K39" s="13" t="str">
        <f t="shared" si="0"/>
        <v>OK</v>
      </c>
      <c r="M39" s="78" t="s">
        <v>92</v>
      </c>
      <c r="N39" s="78"/>
      <c r="O39" s="62" t="s">
        <v>93</v>
      </c>
      <c r="P39" s="62"/>
      <c r="Q39" s="62"/>
      <c r="R39" s="62"/>
      <c r="S39" s="62"/>
      <c r="T39" s="62"/>
      <c r="U39" s="63"/>
      <c r="V39" s="3" t="b">
        <v>1</v>
      </c>
      <c r="W39" s="13" t="str">
        <f t="shared" si="1"/>
        <v>OK</v>
      </c>
    </row>
    <row r="40" spans="1:23" x14ac:dyDescent="0.15">
      <c r="A40" s="78" t="s">
        <v>94</v>
      </c>
      <c r="B40" s="78"/>
      <c r="C40" s="62" t="s">
        <v>95</v>
      </c>
      <c r="D40" s="62"/>
      <c r="E40" s="62"/>
      <c r="F40" s="62"/>
      <c r="G40" s="62"/>
      <c r="H40" s="62"/>
      <c r="I40" s="63"/>
      <c r="J40" s="3" t="b">
        <v>1</v>
      </c>
      <c r="K40" s="13" t="str">
        <f t="shared" si="0"/>
        <v>OK</v>
      </c>
      <c r="M40" s="78"/>
      <c r="N40" s="78"/>
      <c r="O40" s="62" t="s">
        <v>96</v>
      </c>
      <c r="P40" s="62"/>
      <c r="Q40" s="62"/>
      <c r="R40" s="62"/>
      <c r="S40" s="62"/>
      <c r="T40" s="62"/>
      <c r="U40" s="63"/>
      <c r="V40" s="3" t="b">
        <v>1</v>
      </c>
      <c r="W40" s="13" t="str">
        <f t="shared" si="1"/>
        <v>OK</v>
      </c>
    </row>
    <row r="41" spans="1:23" x14ac:dyDescent="0.15">
      <c r="A41" s="78"/>
      <c r="B41" s="78"/>
      <c r="C41" s="62" t="s">
        <v>97</v>
      </c>
      <c r="D41" s="62"/>
      <c r="E41" s="62"/>
      <c r="F41" s="62"/>
      <c r="G41" s="62"/>
      <c r="H41" s="62"/>
      <c r="I41" s="63"/>
      <c r="J41" s="3" t="b">
        <v>1</v>
      </c>
      <c r="K41" s="13" t="str">
        <f t="shared" si="0"/>
        <v>OK</v>
      </c>
      <c r="M41" s="78"/>
      <c r="N41" s="78"/>
      <c r="O41" s="62" t="s">
        <v>98</v>
      </c>
      <c r="P41" s="62"/>
      <c r="Q41" s="62"/>
      <c r="R41" s="62"/>
      <c r="S41" s="62"/>
      <c r="T41" s="62"/>
      <c r="U41" s="63"/>
      <c r="V41" s="3" t="b">
        <v>1</v>
      </c>
      <c r="W41" s="13" t="str">
        <f t="shared" ref="W41" si="2">IF(ISBLANK(V41),IncompleteText, IF(V41, OKText, ErrorText))</f>
        <v>OK</v>
      </c>
    </row>
    <row r="42" spans="1:23" x14ac:dyDescent="0.15">
      <c r="A42" s="78"/>
      <c r="B42" s="78"/>
      <c r="C42" s="62" t="s">
        <v>99</v>
      </c>
      <c r="D42" s="62"/>
      <c r="E42" s="62"/>
      <c r="F42" s="62"/>
      <c r="G42" s="62"/>
      <c r="H42" s="62"/>
      <c r="I42" s="63"/>
      <c r="J42" s="3" t="b">
        <v>1</v>
      </c>
      <c r="K42" s="13" t="str">
        <f t="shared" si="0"/>
        <v>OK</v>
      </c>
    </row>
    <row r="43" spans="1:23" x14ac:dyDescent="0.15">
      <c r="A43" s="78" t="s">
        <v>100</v>
      </c>
      <c r="B43" s="78"/>
      <c r="C43" s="62" t="s">
        <v>101</v>
      </c>
      <c r="D43" s="62"/>
      <c r="E43" s="62"/>
      <c r="F43" s="62"/>
      <c r="G43" s="62"/>
      <c r="H43" s="62"/>
      <c r="I43" s="63"/>
      <c r="J43" s="3" t="b">
        <v>1</v>
      </c>
      <c r="K43" s="13" t="str">
        <f t="shared" si="0"/>
        <v>OK</v>
      </c>
    </row>
    <row r="46" spans="1:23" x14ac:dyDescent="0.15">
      <c r="A46" s="40" t="s">
        <v>102</v>
      </c>
      <c r="B46" s="40"/>
      <c r="C46" s="40"/>
      <c r="D46" s="40"/>
      <c r="E46" s="40"/>
      <c r="F46" s="40"/>
      <c r="G46" s="40"/>
      <c r="H46" s="40"/>
      <c r="I46" s="40"/>
      <c r="J46" s="40"/>
      <c r="K46" s="80" t="str">
        <f>IF(COUNTIF(K48:K54, "="&amp;IncompleteText), IncompleteText, IF(COUNTIF(K48:K54, "="&amp;ErrorText), ErrorText, OKText))</f>
        <v>OK</v>
      </c>
    </row>
    <row r="47" spans="1:23" x14ac:dyDescent="0.15">
      <c r="A47" s="81" t="s">
        <v>48</v>
      </c>
      <c r="B47" s="82"/>
      <c r="C47" s="24"/>
      <c r="D47" s="24"/>
      <c r="E47" s="24"/>
      <c r="F47" s="24"/>
      <c r="G47" s="24"/>
      <c r="H47" s="24"/>
      <c r="I47" s="24"/>
      <c r="J47" s="24"/>
      <c r="K47" s="80"/>
    </row>
    <row r="48" spans="1:23" x14ac:dyDescent="0.15">
      <c r="A48" s="83" t="s">
        <v>103</v>
      </c>
      <c r="B48" s="83"/>
      <c r="C48" s="62" t="s">
        <v>104</v>
      </c>
      <c r="D48" s="62"/>
      <c r="E48" s="62"/>
      <c r="F48" s="62"/>
      <c r="G48" s="62"/>
      <c r="H48" s="62"/>
      <c r="I48" s="63"/>
      <c r="J48" s="3" t="b">
        <v>1</v>
      </c>
      <c r="K48" s="13" t="str">
        <f t="shared" si="0"/>
        <v>OK</v>
      </c>
    </row>
    <row r="49" spans="1:11" x14ac:dyDescent="0.15">
      <c r="A49" s="78" t="s">
        <v>105</v>
      </c>
      <c r="B49" s="78"/>
      <c r="C49" s="62" t="s">
        <v>106</v>
      </c>
      <c r="D49" s="62"/>
      <c r="E49" s="62"/>
      <c r="F49" s="62"/>
      <c r="G49" s="62"/>
      <c r="H49" s="62"/>
      <c r="I49" s="63"/>
      <c r="J49" s="3" t="b">
        <v>1</v>
      </c>
      <c r="K49" s="13" t="str">
        <f t="shared" si="0"/>
        <v>OK</v>
      </c>
    </row>
    <row r="50" spans="1:11" x14ac:dyDescent="0.15">
      <c r="A50" s="78" t="s">
        <v>107</v>
      </c>
      <c r="B50" s="78"/>
      <c r="C50" s="62" t="s">
        <v>108</v>
      </c>
      <c r="D50" s="62"/>
      <c r="E50" s="62"/>
      <c r="F50" s="62"/>
      <c r="G50" s="62"/>
      <c r="H50" s="62"/>
      <c r="I50" s="63"/>
      <c r="J50" s="3" t="b">
        <v>1</v>
      </c>
      <c r="K50" s="13" t="str">
        <f t="shared" si="0"/>
        <v>OK</v>
      </c>
    </row>
    <row r="51" spans="1:11" x14ac:dyDescent="0.15">
      <c r="A51" s="78" t="s">
        <v>107</v>
      </c>
      <c r="B51" s="78"/>
      <c r="C51" s="62" t="s">
        <v>109</v>
      </c>
      <c r="D51" s="62"/>
      <c r="E51" s="62"/>
      <c r="F51" s="62"/>
      <c r="G51" s="62"/>
      <c r="H51" s="62"/>
      <c r="I51" s="63"/>
      <c r="J51" s="3" t="b">
        <v>1</v>
      </c>
      <c r="K51" s="13" t="str">
        <f t="shared" si="0"/>
        <v>OK</v>
      </c>
    </row>
    <row r="52" spans="1:11" x14ac:dyDescent="0.15">
      <c r="A52" s="78" t="s">
        <v>110</v>
      </c>
      <c r="B52" s="78"/>
      <c r="C52" s="62" t="s">
        <v>111</v>
      </c>
      <c r="D52" s="62"/>
      <c r="E52" s="62"/>
      <c r="F52" s="62"/>
      <c r="G52" s="62"/>
      <c r="H52" s="62"/>
      <c r="I52" s="63"/>
      <c r="J52" s="3" t="b">
        <v>1</v>
      </c>
      <c r="K52" s="13" t="str">
        <f t="shared" si="0"/>
        <v>OK</v>
      </c>
    </row>
    <row r="53" spans="1:11" x14ac:dyDescent="0.15">
      <c r="A53" s="78" t="s">
        <v>112</v>
      </c>
      <c r="B53" s="78"/>
      <c r="C53" s="62" t="s">
        <v>113</v>
      </c>
      <c r="D53" s="62"/>
      <c r="E53" s="62"/>
      <c r="F53" s="62"/>
      <c r="G53" s="62"/>
      <c r="H53" s="62"/>
      <c r="I53" s="63"/>
      <c r="J53" s="3" t="b">
        <v>1</v>
      </c>
      <c r="K53" s="13" t="str">
        <f t="shared" si="0"/>
        <v>OK</v>
      </c>
    </row>
    <row r="54" spans="1:11" x14ac:dyDescent="0.15">
      <c r="A54" s="78" t="s">
        <v>112</v>
      </c>
      <c r="B54" s="78"/>
      <c r="C54" s="62" t="s">
        <v>114</v>
      </c>
      <c r="D54" s="62"/>
      <c r="E54" s="62"/>
      <c r="F54" s="62"/>
      <c r="G54" s="62"/>
      <c r="H54" s="62"/>
      <c r="I54" s="63"/>
      <c r="J54" s="3" t="b">
        <v>1</v>
      </c>
      <c r="K54" s="13" t="str">
        <f t="shared" si="0"/>
        <v>OK</v>
      </c>
    </row>
  </sheetData>
  <sheetProtection algorithmName="SHA-512" hashValue="KnKrFL5MkH14H4PyndxcrIH7RazjyhkF821IZ6ctT5tScsPLiAGtC4c3zonRo/wxCCjC5p7i74UUJaiACMcwIg==" saltValue="J8596+ZNEeq3f/NzixaZZ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K30:K43 K48:K54</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zoomScale="98" zoomScaleNormal="78" workbookViewId="0">
      <pane ySplit="1" topLeftCell="A2" activePane="bottomLeft" state="frozen"/>
      <selection pane="bottomLeft" activeCell="O18" sqref="O18:P18"/>
    </sheetView>
  </sheetViews>
  <sheetFormatPr baseColWidth="10" defaultColWidth="8.7109375" defaultRowHeight="14" x14ac:dyDescent="0.15"/>
  <cols>
    <col min="1" max="2" width="8.7109375" style="2" customWidth="1"/>
    <col min="3" max="4" width="8.7109375" style="2"/>
    <col min="5" max="5" width="10.28515625" style="2" customWidth="1"/>
    <col min="6" max="7" width="8.7109375" style="2"/>
    <col min="8" max="8" width="13.7109375" style="2" bestFit="1" customWidth="1"/>
    <col min="9" max="13" width="8.7109375" style="2"/>
    <col min="14" max="14" width="8.85546875" style="2" bestFit="1" customWidth="1"/>
    <col min="15" max="16" width="8.7109375" style="2"/>
    <col min="17" max="17" width="13.7109375" style="2" bestFit="1" customWidth="1"/>
    <col min="18" max="25" width="8.7109375" style="2"/>
    <col min="26" max="26" width="13.7109375" style="2" bestFit="1" customWidth="1"/>
    <col min="27" max="34" width="8.7109375" style="2"/>
    <col min="35" max="35" width="13.7109375" style="2" bestFit="1" customWidth="1"/>
    <col min="36" max="43" width="8.7109375" style="2"/>
    <col min="44" max="44" width="13.7109375" style="2" bestFit="1" customWidth="1"/>
    <col min="45" max="52" width="8.7109375" style="2"/>
    <col min="53" max="53" width="13.7109375" style="2" bestFit="1" customWidth="1"/>
    <col min="54" max="16384" width="8.7109375" style="2"/>
  </cols>
  <sheetData>
    <row r="1" spans="1:37" x14ac:dyDescent="0.15">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spans="1:37" x14ac:dyDescent="0.15">
      <c r="A3" s="62" t="s">
        <v>115</v>
      </c>
      <c r="B3" s="62"/>
      <c r="C3" s="62"/>
      <c r="D3" s="63"/>
      <c r="E3" s="3" t="s">
        <v>457</v>
      </c>
      <c r="G3" s="13" t="str">
        <f>IF(ISBLANK(E3), IncompleteText, OKText)</f>
        <v>OK</v>
      </c>
    </row>
    <row r="4" spans="1:37" x14ac:dyDescent="0.15">
      <c r="A4" s="62" t="s">
        <v>116</v>
      </c>
      <c r="B4" s="62"/>
      <c r="C4" s="62"/>
      <c r="D4" s="63"/>
      <c r="E4" s="4" cm="1">
        <f t="array" ref="E4">IF(E3="Series",SUM(C12:C29)*BattCellMaxV,C12*BattCellMaxV*SUM(IF(FREQUENCY(E12:E29,E12:E29)&gt;0,1)))</f>
        <v>403.20000000000005</v>
      </c>
      <c r="F4" t="s">
        <v>15</v>
      </c>
      <c r="G4" s="13" t="str">
        <f>IF(E4 &gt; 600, ErrorText, OKText)</f>
        <v>OK</v>
      </c>
    </row>
    <row r="5" spans="1:37" x14ac:dyDescent="0.15">
      <c r="A5" s="62" t="s">
        <v>117</v>
      </c>
      <c r="B5" s="62"/>
      <c r="C5" s="62"/>
      <c r="D5" s="63"/>
      <c r="E5" s="4" cm="1">
        <f t="array" ref="E5">IF(E3="Series",SUM(C12:C29)*BattCellNomV,C12*BattCellNomV*SUM(IF(FREQUENCY(E12:E29,E12:E29)&gt;0,1)))</f>
        <v>345.6</v>
      </c>
      <c r="F5" t="s">
        <v>15</v>
      </c>
    </row>
    <row r="6" spans="1:37" x14ac:dyDescent="0.15">
      <c r="A6" s="62" t="s">
        <v>118</v>
      </c>
      <c r="B6" s="62"/>
      <c r="C6" s="62"/>
      <c r="D6" s="63"/>
      <c r="E6" s="4">
        <f>SUMPRODUCT(B12:B29,C12:C29)</f>
        <v>480</v>
      </c>
      <c r="F6"/>
    </row>
    <row r="8" spans="1:37" x14ac:dyDescent="0.15">
      <c r="A8" s="40" t="s">
        <v>119</v>
      </c>
      <c r="B8" s="40"/>
      <c r="C8" s="40"/>
      <c r="D8" s="40"/>
      <c r="E8" s="40"/>
      <c r="F8" s="40"/>
      <c r="G8" s="40"/>
      <c r="H8" s="40"/>
      <c r="I8" s="40"/>
      <c r="J8" s="13" t="str">
        <f>IF(COUNTIF(J9:J29, "="&amp;IncompleteText), IncompleteText, IF(COUNTIF(J9:J29, "="&amp;ErrorText), ErrorText, OKText))</f>
        <v>OK</v>
      </c>
      <c r="K8" s="40" t="s">
        <v>120</v>
      </c>
      <c r="L8" s="40"/>
      <c r="M8" s="40"/>
      <c r="N8" s="40"/>
      <c r="O8" s="40"/>
      <c r="P8" s="40"/>
      <c r="Q8" s="13" t="str">
        <f ca="1">IF(COUNTIF(Q9:Q30, "="&amp;IncompleteText), IncompleteText, IF(COUNTIF(Q9:Q30, "="&amp;ErrorText), ErrorText, OKText))</f>
        <v>OK</v>
      </c>
      <c r="R8" s="40" t="s">
        <v>121</v>
      </c>
      <c r="S8" s="40"/>
      <c r="T8" s="40"/>
      <c r="U8" s="40"/>
      <c r="V8" s="40"/>
      <c r="W8" s="13" t="str">
        <f ca="1">IF(COUNTIF(W9:W21, "="&amp;IncompleteText), IncompleteText, IF(COUNTIF(W9:W21, "="&amp;ErrorText), ErrorText, OKText))</f>
        <v>BLANK</v>
      </c>
      <c r="X8" s="40" t="s">
        <v>70</v>
      </c>
      <c r="Y8" s="40"/>
      <c r="Z8" s="40"/>
      <c r="AA8" s="40"/>
      <c r="AB8" s="40"/>
      <c r="AC8" s="40"/>
      <c r="AD8" s="13" t="str">
        <f ca="1">IF(COUNTIF(AD9:AD17, "="&amp;IncompleteText), IncompleteText, IF(COUNTIF(AD9:AD17, "="&amp;ErrorText), ErrorText, OKText))</f>
        <v>OK</v>
      </c>
      <c r="AE8" s="40" t="s">
        <v>18</v>
      </c>
      <c r="AF8" s="40"/>
      <c r="AG8" s="40"/>
      <c r="AH8" s="40"/>
      <c r="AI8" s="40"/>
      <c r="AJ8" s="40"/>
      <c r="AK8" s="40"/>
    </row>
    <row r="9" spans="1:37" ht="13.75" customHeight="1" x14ac:dyDescent="0.15">
      <c r="A9" s="62" t="s">
        <v>122</v>
      </c>
      <c r="B9" s="62"/>
      <c r="C9" s="63"/>
      <c r="D9" s="66" t="s">
        <v>505</v>
      </c>
      <c r="E9" s="68"/>
      <c r="F9"/>
      <c r="G9"/>
      <c r="H9"/>
      <c r="I9"/>
      <c r="J9" s="13" t="str">
        <f>IF(ISBLANK(D9), IncompleteText, OKText)</f>
        <v>OK</v>
      </c>
      <c r="K9" s="62" t="s">
        <v>123</v>
      </c>
      <c r="L9" s="62"/>
      <c r="M9" s="62"/>
      <c r="N9" s="63"/>
      <c r="O9" s="56" t="s">
        <v>462</v>
      </c>
      <c r="P9" s="56"/>
      <c r="Q9" s="13" t="str">
        <f>IF(ISBLANK(O9), IncompleteText, OKText)</f>
        <v>OK</v>
      </c>
      <c r="R9" s="62" t="s">
        <v>124</v>
      </c>
      <c r="S9" s="62"/>
      <c r="T9" s="63"/>
      <c r="U9" s="66"/>
      <c r="V9" s="68"/>
      <c r="W9" s="13" t="str">
        <f>IF(ISBLANK(U9), IncompleteText, OKText)</f>
        <v>BLANK</v>
      </c>
      <c r="X9" s="62" t="s">
        <v>125</v>
      </c>
      <c r="Y9" s="62"/>
      <c r="Z9" s="62"/>
      <c r="AA9" s="63"/>
      <c r="AB9" s="56" t="s">
        <v>467</v>
      </c>
      <c r="AC9" s="56"/>
      <c r="AD9" s="13" t="str">
        <f>IF(ISBLANK(AB9), IncompleteText, OKText)</f>
        <v>OK</v>
      </c>
      <c r="AE9" s="113"/>
      <c r="AF9" s="113"/>
      <c r="AG9" s="113"/>
      <c r="AH9" s="113"/>
      <c r="AI9" s="113"/>
      <c r="AJ9" s="113"/>
      <c r="AK9" s="113"/>
    </row>
    <row r="10" spans="1:37" ht="13.75" customHeight="1" x14ac:dyDescent="0.15">
      <c r="A10" s="65" t="s">
        <v>126</v>
      </c>
      <c r="B10" s="69" t="s">
        <v>127</v>
      </c>
      <c r="C10" s="69" t="s">
        <v>128</v>
      </c>
      <c r="D10" s="69" t="s">
        <v>129</v>
      </c>
      <c r="E10" s="69" t="s">
        <v>130</v>
      </c>
      <c r="F10" s="65" t="s">
        <v>131</v>
      </c>
      <c r="G10" s="65"/>
      <c r="H10" s="69" t="s">
        <v>132</v>
      </c>
      <c r="I10" s="69"/>
      <c r="J10"/>
      <c r="K10" s="62" t="s">
        <v>133</v>
      </c>
      <c r="L10" s="62"/>
      <c r="M10" s="62"/>
      <c r="N10" s="63"/>
      <c r="O10" s="56" t="s">
        <v>463</v>
      </c>
      <c r="P10" s="56"/>
      <c r="Q10" s="13" t="str">
        <f>IF(ISBLANK(O10), IncompleteText, OKText)</f>
        <v>OK</v>
      </c>
      <c r="R10" s="62" t="s">
        <v>134</v>
      </c>
      <c r="S10" s="62"/>
      <c r="T10" s="63"/>
      <c r="U10" s="1" t="e">
        <f ca="1">VLOOKUP(U9, ConnectorsTable, 5, FALSE)</f>
        <v>#N/A</v>
      </c>
      <c r="V10" t="s">
        <v>17</v>
      </c>
      <c r="W10" s="13" t="str">
        <f ca="1">IF(ISERROR(U10),IncompleteText,IF(E3="Series",IF(U10&gt;=U20,OKText,ErrorText),IF(E3="Parallel",IF(U10&gt;=U12,OKText,ErrorText),IncompleteText)))</f>
        <v>BLANK</v>
      </c>
      <c r="X10" s="62" t="s">
        <v>135</v>
      </c>
      <c r="Y10" s="62"/>
      <c r="Z10" s="62"/>
      <c r="AA10" s="63"/>
      <c r="AB10" s="1">
        <f ca="1">VLOOKUP(AB9, InsulationsTable, 6, FALSE)</f>
        <v>8250</v>
      </c>
      <c r="AC10" s="29" t="s">
        <v>15</v>
      </c>
      <c r="AD10" s="13" t="str">
        <f ca="1">IF(ISERROR(AB10), IncompleteText, IF(AB10 &lt; MaxTSVoltage,  ErrorText, OKText))</f>
        <v>OK</v>
      </c>
      <c r="AE10" s="113"/>
      <c r="AF10" s="113"/>
      <c r="AG10" s="113"/>
      <c r="AH10" s="113"/>
      <c r="AI10" s="113"/>
      <c r="AJ10" s="113"/>
      <c r="AK10" s="113"/>
    </row>
    <row r="11" spans="1:37" x14ac:dyDescent="0.15">
      <c r="A11" s="65"/>
      <c r="B11" s="69"/>
      <c r="C11" s="69"/>
      <c r="D11" s="69"/>
      <c r="E11" s="69"/>
      <c r="F11" s="65"/>
      <c r="G11" s="65"/>
      <c r="H11" s="69"/>
      <c r="I11" s="69"/>
      <c r="J11"/>
      <c r="K11" s="28" t="s">
        <v>26</v>
      </c>
      <c r="L11" s="56" t="s">
        <v>458</v>
      </c>
      <c r="M11" s="56"/>
      <c r="N11" s="28" t="s">
        <v>27</v>
      </c>
      <c r="O11" s="56" t="s">
        <v>464</v>
      </c>
      <c r="P11" s="56"/>
      <c r="Q11" s="13" t="str">
        <f>IF(O10="Purchased", IF(OR(ISBLANK(L11), ISBLANK(O11)), IncompleteText, OKText), "")</f>
        <v>OK</v>
      </c>
      <c r="R11" s="62" t="s">
        <v>136</v>
      </c>
      <c r="S11" s="62"/>
      <c r="T11" s="63"/>
      <c r="U11" s="66"/>
      <c r="V11" s="68"/>
      <c r="W11" s="13" t="str">
        <f>IF(E3="Series","",IF(ISBLANK(U11), IncompleteText, OKText))</f>
        <v/>
      </c>
      <c r="X11" s="62" t="s">
        <v>137</v>
      </c>
      <c r="Y11" s="62"/>
      <c r="Z11" s="62"/>
      <c r="AA11" s="63"/>
      <c r="AB11" s="1">
        <f ca="1">VLOOKUP(AB9, InsulationsTable, 7, FALSE)</f>
        <v>400</v>
      </c>
      <c r="AC11" s="29" t="s">
        <v>36</v>
      </c>
      <c r="AD11" s="13" t="str">
        <f ca="1">IF(ISERROR(AB11), IncompleteText, IF(AB11 &lt; 90,  ErrorText, OKText))</f>
        <v>OK</v>
      </c>
      <c r="AE11" s="113"/>
      <c r="AF11" s="113"/>
      <c r="AG11" s="113"/>
      <c r="AH11" s="113"/>
      <c r="AI11" s="113"/>
      <c r="AJ11" s="113"/>
      <c r="AK11" s="113"/>
    </row>
    <row r="12" spans="1:37" x14ac:dyDescent="0.15">
      <c r="A12">
        <v>1</v>
      </c>
      <c r="B12" s="3">
        <v>5</v>
      </c>
      <c r="C12" s="3">
        <v>12</v>
      </c>
      <c r="D12" s="3">
        <v>12</v>
      </c>
      <c r="E12" s="3">
        <v>1</v>
      </c>
      <c r="F12" s="87">
        <f t="shared" ref="F12:F29" si="0">C12*BattCellMaxV</f>
        <v>50.400000000000006</v>
      </c>
      <c r="G12" s="87"/>
      <c r="H12" s="87">
        <f t="shared" ref="H12:H29" si="1">F12*B12*BattCellCapacity*0.0036</f>
        <v>2.8304640000000005</v>
      </c>
      <c r="I12" s="87"/>
      <c r="J12" s="13" t="str">
        <f>IF(COUNTBLANK(A12:E12) &gt; 0, IncompleteText, IF(OR(F12&gt;120, H12&gt;6), ErrorText, OKText))</f>
        <v>OK</v>
      </c>
      <c r="K12" s="62" t="s">
        <v>138</v>
      </c>
      <c r="L12" s="62"/>
      <c r="M12" s="62"/>
      <c r="N12" s="63"/>
      <c r="O12" s="3">
        <v>2500</v>
      </c>
      <c r="P12" t="s">
        <v>15</v>
      </c>
      <c r="Q12" s="13" t="str">
        <f>IF(ISBLANK(O12), IncompleteText, IF(O12&lt;E4, ErrorText, OKText))</f>
        <v>OK</v>
      </c>
      <c r="R12" s="62" t="s">
        <v>139</v>
      </c>
      <c r="S12" s="62"/>
      <c r="T12" s="63"/>
      <c r="U12" s="1" t="e">
        <f ca="1">VLOOKUP(U11, FusesTable, 6, FALSE)</f>
        <v>#N/A</v>
      </c>
      <c r="V12" t="s">
        <v>17</v>
      </c>
      <c r="W12"/>
      <c r="X12" s="62" t="s">
        <v>140</v>
      </c>
      <c r="Y12" s="62"/>
      <c r="Z12" s="62"/>
      <c r="AA12" s="63"/>
      <c r="AB12" s="56" t="s">
        <v>467</v>
      </c>
      <c r="AC12" s="56"/>
      <c r="AD12" s="13" t="str">
        <f>IF(ISBLANK(AB12), IncompleteText, OKText)</f>
        <v>OK</v>
      </c>
      <c r="AE12" s="113"/>
      <c r="AF12" s="113"/>
      <c r="AG12" s="113"/>
      <c r="AH12" s="113"/>
      <c r="AI12" s="113"/>
      <c r="AJ12" s="113"/>
      <c r="AK12" s="113"/>
    </row>
    <row r="13" spans="1:37" x14ac:dyDescent="0.15">
      <c r="A13">
        <v>2</v>
      </c>
      <c r="B13" s="3">
        <v>5</v>
      </c>
      <c r="C13" s="3">
        <v>12</v>
      </c>
      <c r="D13" s="3">
        <v>12</v>
      </c>
      <c r="E13" s="3">
        <v>1</v>
      </c>
      <c r="F13" s="87">
        <f t="shared" si="0"/>
        <v>50.400000000000006</v>
      </c>
      <c r="G13" s="87"/>
      <c r="H13" s="87">
        <f t="shared" si="1"/>
        <v>2.8304640000000005</v>
      </c>
      <c r="I13" s="87"/>
      <c r="J13" s="13" t="str">
        <f t="shared" ref="J13:J29" si="2">IF(COUNTBLANK(A13:E13)=4,"",IF(COUNTBLANK(A13:E13) &gt; 0, IncompleteText, IF(OR(F13&gt;120, H13&gt;6), ErrorText, OKText)))</f>
        <v>OK</v>
      </c>
      <c r="K13" s="62" t="s">
        <v>141</v>
      </c>
      <c r="L13" s="62"/>
      <c r="M13" s="62"/>
      <c r="N13" s="63"/>
      <c r="O13" s="3">
        <v>100</v>
      </c>
      <c r="P13" t="s">
        <v>15</v>
      </c>
      <c r="Q13" s="13" t="str">
        <f>IF(ISBLANK(O13), IncompleteText, IF(O13&lt;MAX(F12:G29), ErrorText, OKText))</f>
        <v>OK</v>
      </c>
      <c r="R13" s="40" t="s">
        <v>142</v>
      </c>
      <c r="S13" s="40"/>
      <c r="T13" s="40"/>
      <c r="U13" s="40"/>
      <c r="V13" s="40"/>
      <c r="W13"/>
      <c r="X13" s="62" t="s">
        <v>135</v>
      </c>
      <c r="Y13" s="62"/>
      <c r="Z13" s="62"/>
      <c r="AA13" s="63"/>
      <c r="AB13" s="1">
        <f ca="1">VLOOKUP(AB12, InsulationsTable, 6, FALSE)</f>
        <v>8250</v>
      </c>
      <c r="AC13" s="29" t="s">
        <v>15</v>
      </c>
      <c r="AD13" s="13" t="str">
        <f ca="1">IF(ISERROR(AB13), IncompleteText, IF(AB13 &lt; MaxTSVoltage,  ErrorText, OKText))</f>
        <v>OK</v>
      </c>
      <c r="AE13" s="113"/>
      <c r="AF13" s="113"/>
      <c r="AG13" s="113"/>
      <c r="AH13" s="113"/>
      <c r="AI13" s="113"/>
      <c r="AJ13" s="113"/>
      <c r="AK13" s="113"/>
    </row>
    <row r="14" spans="1:37" x14ac:dyDescent="0.15">
      <c r="A14">
        <v>3</v>
      </c>
      <c r="B14" s="3">
        <v>5</v>
      </c>
      <c r="C14" s="3">
        <v>12</v>
      </c>
      <c r="D14" s="3">
        <v>12</v>
      </c>
      <c r="E14" s="3">
        <v>1</v>
      </c>
      <c r="F14" s="87">
        <f t="shared" si="0"/>
        <v>50.400000000000006</v>
      </c>
      <c r="G14" s="87"/>
      <c r="H14" s="87">
        <f t="shared" si="1"/>
        <v>2.8304640000000005</v>
      </c>
      <c r="I14" s="87"/>
      <c r="J14" s="13" t="str">
        <f t="shared" si="2"/>
        <v>OK</v>
      </c>
      <c r="K14" s="62" t="s">
        <v>143</v>
      </c>
      <c r="L14" s="62"/>
      <c r="M14" s="62"/>
      <c r="N14" s="63"/>
      <c r="O14" s="56"/>
      <c r="P14" s="56"/>
      <c r="Q14" s="13" t="str">
        <f>IF($O$10="Team Built", IF(ISBLANK(O14), IncompleteText, OKText), "")</f>
        <v/>
      </c>
      <c r="R14" s="62" t="s">
        <v>144</v>
      </c>
      <c r="S14" s="62"/>
      <c r="T14" s="63"/>
      <c r="U14" s="66" t="s">
        <v>465</v>
      </c>
      <c r="V14" s="68"/>
      <c r="W14" s="13" t="str">
        <f>IF(ISBLANK(U14), IncompleteText, OKText)</f>
        <v>OK</v>
      </c>
      <c r="X14" s="62" t="s">
        <v>137</v>
      </c>
      <c r="Y14" s="62"/>
      <c r="Z14" s="62"/>
      <c r="AA14" s="63"/>
      <c r="AB14" s="1">
        <f ca="1">VLOOKUP(AB12, InsulationsTable, 7, FALSE)</f>
        <v>400</v>
      </c>
      <c r="AC14" s="29" t="s">
        <v>36</v>
      </c>
      <c r="AD14" s="13" t="str">
        <f ca="1">IF(ISERROR(AB14), IncompleteText, IF(AB14 &lt; 90,  ErrorText, OKText))</f>
        <v>OK</v>
      </c>
      <c r="AE14" s="113"/>
      <c r="AF14" s="113"/>
      <c r="AG14" s="113"/>
      <c r="AH14" s="113"/>
      <c r="AI14" s="113"/>
      <c r="AJ14" s="113"/>
      <c r="AK14" s="113"/>
    </row>
    <row r="15" spans="1:37" x14ac:dyDescent="0.15">
      <c r="A15">
        <v>4</v>
      </c>
      <c r="B15" s="3">
        <v>5</v>
      </c>
      <c r="C15" s="3">
        <v>12</v>
      </c>
      <c r="D15" s="3">
        <v>12</v>
      </c>
      <c r="E15" s="3">
        <v>1</v>
      </c>
      <c r="F15" s="87">
        <f t="shared" si="0"/>
        <v>50.400000000000006</v>
      </c>
      <c r="G15" s="87"/>
      <c r="H15" s="87">
        <f t="shared" si="1"/>
        <v>2.8304640000000005</v>
      </c>
      <c r="I15" s="87"/>
      <c r="J15" s="13" t="str">
        <f t="shared" si="2"/>
        <v>OK</v>
      </c>
      <c r="K15" s="62" t="s">
        <v>145</v>
      </c>
      <c r="L15" s="62"/>
      <c r="M15" s="62"/>
      <c r="N15" s="63"/>
      <c r="O15" s="56"/>
      <c r="P15" s="56"/>
      <c r="Q15" s="13" t="str">
        <f>IF($O$10="Team Built", IF(ISBLANK(O15), IncompleteText, OKText), "")</f>
        <v/>
      </c>
      <c r="R15" s="62" t="s">
        <v>146</v>
      </c>
      <c r="S15" s="62"/>
      <c r="T15" s="63"/>
      <c r="U15" s="1">
        <f ca="1">VLOOKUP(U14, ContactorsTable, 4, FALSE)</f>
        <v>800</v>
      </c>
      <c r="V15" t="s">
        <v>15</v>
      </c>
      <c r="W15" s="13" t="str">
        <f ca="1">IF(ISERROR(U15), IncompleteText, IF(U15 &lt; MaxTSVoltage,  ErrorText, OKText))</f>
        <v>OK</v>
      </c>
      <c r="X15" s="62" t="s">
        <v>147</v>
      </c>
      <c r="Y15" s="62"/>
      <c r="Z15" s="62"/>
      <c r="AA15" s="63"/>
      <c r="AB15" s="88" t="s">
        <v>467</v>
      </c>
      <c r="AC15" s="89"/>
      <c r="AD15" s="13" t="str">
        <f>IF(ISBLANK(AB15), IncompleteText, OKText)</f>
        <v>OK</v>
      </c>
      <c r="AE15" s="113"/>
      <c r="AF15" s="113"/>
      <c r="AG15" s="113"/>
      <c r="AH15" s="113"/>
      <c r="AI15" s="113"/>
      <c r="AJ15" s="113"/>
      <c r="AK15" s="113"/>
    </row>
    <row r="16" spans="1:37" x14ac:dyDescent="0.15">
      <c r="A16">
        <v>5</v>
      </c>
      <c r="B16" s="3">
        <v>5</v>
      </c>
      <c r="C16" s="3">
        <v>12</v>
      </c>
      <c r="D16" s="3">
        <v>12</v>
      </c>
      <c r="E16" s="3">
        <v>1</v>
      </c>
      <c r="F16" s="87">
        <f t="shared" si="0"/>
        <v>50.400000000000006</v>
      </c>
      <c r="G16" s="87"/>
      <c r="H16" s="87">
        <f t="shared" si="1"/>
        <v>2.8304640000000005</v>
      </c>
      <c r="I16" s="87"/>
      <c r="J16" s="13" t="str">
        <f t="shared" si="2"/>
        <v>OK</v>
      </c>
      <c r="K16" s="99" t="s">
        <v>148</v>
      </c>
      <c r="L16" s="99"/>
      <c r="M16" s="99"/>
      <c r="N16" s="99"/>
      <c r="O16" s="99"/>
      <c r="P16" s="99"/>
      <c r="Q16"/>
      <c r="R16" s="62" t="s">
        <v>149</v>
      </c>
      <c r="S16" s="62"/>
      <c r="T16" s="63"/>
      <c r="U16" s="1">
        <f ca="1">VLOOKUP(U14, ContactorsTable, 6, FALSE)</f>
        <v>900</v>
      </c>
      <c r="V16" t="s">
        <v>17</v>
      </c>
      <c r="W16"/>
      <c r="X16" s="62" t="s">
        <v>135</v>
      </c>
      <c r="Y16" s="62"/>
      <c r="Z16" s="62"/>
      <c r="AA16" s="63"/>
      <c r="AB16" s="1">
        <f ca="1">VLOOKUP(AB15, InsulationsTable, 6, FALSE)</f>
        <v>8250</v>
      </c>
      <c r="AC16" s="29" t="s">
        <v>15</v>
      </c>
      <c r="AD16" s="13" t="str">
        <f ca="1">IF(ISERROR(AB16), IncompleteText, IF(AB16 &lt; MaxTSVoltage,  ErrorText, OKText))</f>
        <v>OK</v>
      </c>
      <c r="AE16" s="113"/>
      <c r="AF16" s="113"/>
      <c r="AG16" s="113"/>
      <c r="AH16" s="113"/>
      <c r="AI16" s="113"/>
      <c r="AJ16" s="113"/>
      <c r="AK16" s="113"/>
    </row>
    <row r="17" spans="1:37" x14ac:dyDescent="0.15">
      <c r="A17">
        <v>6</v>
      </c>
      <c r="B17" s="3">
        <v>5</v>
      </c>
      <c r="C17" s="3">
        <v>12</v>
      </c>
      <c r="D17" s="3">
        <v>12</v>
      </c>
      <c r="E17" s="3">
        <v>1</v>
      </c>
      <c r="F17" s="87">
        <f t="shared" si="0"/>
        <v>50.400000000000006</v>
      </c>
      <c r="G17" s="87"/>
      <c r="H17" s="87">
        <f t="shared" si="1"/>
        <v>2.8304640000000005</v>
      </c>
      <c r="I17" s="87"/>
      <c r="J17" s="13" t="str">
        <f t="shared" si="2"/>
        <v>OK</v>
      </c>
      <c r="K17" s="62" t="s">
        <v>150</v>
      </c>
      <c r="L17" s="62"/>
      <c r="M17" s="62"/>
      <c r="N17" s="63"/>
      <c r="O17" s="3">
        <v>55</v>
      </c>
      <c r="P17" t="s">
        <v>151</v>
      </c>
      <c r="Q17" s="13" t="str">
        <f>IF(ISBLANK(O17), IncompleteText, OKText)</f>
        <v>OK</v>
      </c>
      <c r="R17" s="62" t="s">
        <v>34</v>
      </c>
      <c r="S17" s="62"/>
      <c r="T17" s="63"/>
      <c r="U17" s="1">
        <f ca="1">VLOOKUP(U14, ContactorsTable, 5, FALSE)</f>
        <v>325</v>
      </c>
      <c r="V17" t="s">
        <v>17</v>
      </c>
      <c r="W17" s="13" t="str">
        <f ca="1">IF(ISERROR(U17), IncompleteText, IF(U17&gt;=U20, OKText, ErrorText))</f>
        <v>OK</v>
      </c>
      <c r="X17" s="62" t="s">
        <v>137</v>
      </c>
      <c r="Y17" s="62"/>
      <c r="Z17" s="62"/>
      <c r="AA17" s="63"/>
      <c r="AB17" s="1">
        <f ca="1">VLOOKUP(AB15, InsulationsTable, 7, FALSE)</f>
        <v>400</v>
      </c>
      <c r="AC17" s="29" t="s">
        <v>36</v>
      </c>
      <c r="AD17" s="13" t="str">
        <f ca="1">IF(ISERROR(AB17), IncompleteText, IF(AB17 &lt; 90,  ErrorText, OKText))</f>
        <v>OK</v>
      </c>
      <c r="AE17" s="113"/>
      <c r="AF17" s="113"/>
      <c r="AG17" s="113"/>
      <c r="AH17" s="113"/>
      <c r="AI17" s="113"/>
      <c r="AJ17" s="113"/>
      <c r="AK17" s="113"/>
    </row>
    <row r="18" spans="1:37" x14ac:dyDescent="0.15">
      <c r="A18">
        <v>7</v>
      </c>
      <c r="B18" s="3">
        <v>5</v>
      </c>
      <c r="C18" s="3">
        <v>12</v>
      </c>
      <c r="D18" s="3">
        <v>12</v>
      </c>
      <c r="E18" s="3">
        <v>1</v>
      </c>
      <c r="F18" s="87">
        <f t="shared" si="0"/>
        <v>50.400000000000006</v>
      </c>
      <c r="G18" s="87"/>
      <c r="H18" s="87">
        <f t="shared" si="1"/>
        <v>2.8304640000000005</v>
      </c>
      <c r="I18" s="87"/>
      <c r="J18" s="13" t="str">
        <f t="shared" si="2"/>
        <v>OK</v>
      </c>
      <c r="K18" s="97" t="s">
        <v>352</v>
      </c>
      <c r="L18" s="97"/>
      <c r="M18" s="97"/>
      <c r="N18" s="98"/>
      <c r="O18" s="56" t="s">
        <v>459</v>
      </c>
      <c r="P18" s="56"/>
      <c r="Q18" s="13" t="str">
        <f>IF(ISBLANK(O18), IncompleteText, OKText)</f>
        <v>OK</v>
      </c>
      <c r="R18" s="40" t="s">
        <v>152</v>
      </c>
      <c r="S18" s="40"/>
      <c r="T18" s="40"/>
      <c r="U18" s="40"/>
      <c r="V18" s="40"/>
      <c r="W18"/>
      <c r="AE18" s="113"/>
      <c r="AF18" s="113"/>
      <c r="AG18" s="113"/>
      <c r="AH18" s="113"/>
      <c r="AI18" s="113"/>
      <c r="AJ18" s="113"/>
      <c r="AK18" s="113"/>
    </row>
    <row r="19" spans="1:37" x14ac:dyDescent="0.15">
      <c r="A19">
        <v>8</v>
      </c>
      <c r="B19" s="3">
        <v>5</v>
      </c>
      <c r="C19" s="3">
        <v>12</v>
      </c>
      <c r="D19" s="3">
        <v>12</v>
      </c>
      <c r="E19" s="3">
        <v>1</v>
      </c>
      <c r="F19" s="87">
        <f t="shared" si="0"/>
        <v>50.400000000000006</v>
      </c>
      <c r="G19" s="87"/>
      <c r="H19" s="87">
        <f t="shared" si="1"/>
        <v>2.8304640000000005</v>
      </c>
      <c r="I19" s="87"/>
      <c r="J19" s="13" t="str">
        <f t="shared" si="2"/>
        <v>OK</v>
      </c>
      <c r="K19" s="62" t="s">
        <v>153</v>
      </c>
      <c r="L19" s="62"/>
      <c r="M19" s="62"/>
      <c r="N19" s="63"/>
      <c r="O19" s="56" t="s">
        <v>10</v>
      </c>
      <c r="P19" s="56"/>
      <c r="Q19" s="13" t="str">
        <f>IF(ISBLANK(O19), IncompleteText, OKText)</f>
        <v>OK</v>
      </c>
      <c r="R19" s="62" t="s">
        <v>152</v>
      </c>
      <c r="S19" s="62"/>
      <c r="T19" s="63"/>
      <c r="U19" s="66" t="s">
        <v>466</v>
      </c>
      <c r="V19" s="68"/>
      <c r="W19" s="13" t="str">
        <f>IF(ISBLANK(U19), IncompleteText, OKText)</f>
        <v>OK</v>
      </c>
      <c r="AE19" s="113"/>
      <c r="AF19" s="113"/>
      <c r="AG19" s="113"/>
      <c r="AH19" s="113"/>
      <c r="AI19" s="113"/>
      <c r="AJ19" s="113"/>
      <c r="AK19" s="113"/>
    </row>
    <row r="20" spans="1:37" x14ac:dyDescent="0.15">
      <c r="A20">
        <v>9</v>
      </c>
      <c r="B20" s="3"/>
      <c r="C20" s="3"/>
      <c r="D20" s="3"/>
      <c r="E20" s="3"/>
      <c r="F20" s="87">
        <f t="shared" si="0"/>
        <v>0</v>
      </c>
      <c r="G20" s="87"/>
      <c r="H20" s="87">
        <f t="shared" si="1"/>
        <v>0</v>
      </c>
      <c r="I20" s="87"/>
      <c r="J20" s="13" t="str">
        <f t="shared" si="2"/>
        <v/>
      </c>
      <c r="K20" s="62" t="s">
        <v>154</v>
      </c>
      <c r="L20" s="62"/>
      <c r="M20" s="62"/>
      <c r="N20" s="63"/>
      <c r="O20" s="64" t="s">
        <v>460</v>
      </c>
      <c r="P20" s="64"/>
      <c r="Q20" s="13" t="str">
        <f>IF(O19="Other", IF(ISBLANK(O20), IncompleteText, OKText), "")</f>
        <v>OK</v>
      </c>
      <c r="R20" s="62" t="s">
        <v>155</v>
      </c>
      <c r="S20" s="62"/>
      <c r="T20" s="63"/>
      <c r="U20" s="1">
        <f ca="1">VLOOKUP(U19, FusesTable, 6, FALSE)</f>
        <v>75</v>
      </c>
      <c r="V20" t="s">
        <v>17</v>
      </c>
      <c r="W20"/>
      <c r="AE20" s="113"/>
      <c r="AF20" s="113"/>
      <c r="AG20" s="113"/>
      <c r="AH20" s="113"/>
      <c r="AI20" s="113"/>
      <c r="AJ20" s="113"/>
      <c r="AK20" s="113"/>
    </row>
    <row r="21" spans="1:37" x14ac:dyDescent="0.15">
      <c r="A21">
        <v>10</v>
      </c>
      <c r="B21" s="3"/>
      <c r="C21" s="3"/>
      <c r="D21" s="3"/>
      <c r="E21" s="3"/>
      <c r="F21" s="87">
        <f t="shared" si="0"/>
        <v>0</v>
      </c>
      <c r="G21" s="87"/>
      <c r="H21" s="87">
        <f t="shared" si="1"/>
        <v>0</v>
      </c>
      <c r="I21" s="87"/>
      <c r="J21" s="13" t="str">
        <f t="shared" si="2"/>
        <v/>
      </c>
      <c r="K21" s="62" t="s">
        <v>156</v>
      </c>
      <c r="L21" s="62"/>
      <c r="M21" s="62"/>
      <c r="N21" s="63"/>
      <c r="O21" s="100">
        <f ca="1">VLOOKUP(O18, FusesTable, 4, FALSE)</f>
        <v>450</v>
      </c>
      <c r="P21" s="100"/>
      <c r="Q21" s="13" t="str">
        <f ca="1">IF(ISERROR(O21), IncompleteText, IF(AND(O21 &lt; MAX(F12:G29), O9 = "Centralized"),  ErrorText, OKText))</f>
        <v>OK</v>
      </c>
      <c r="R21" s="62" t="s">
        <v>353</v>
      </c>
      <c r="S21" s="62"/>
      <c r="T21" s="63"/>
      <c r="U21" s="1">
        <f ca="1">VLOOKUP(U19, FusesTable, 4, FALSE)</f>
        <v>500</v>
      </c>
      <c r="V21" t="s">
        <v>15</v>
      </c>
      <c r="W21" s="13" t="str">
        <f ca="1">IF(U21 &lt; MaxTSVoltage, ErrorText, OKText)</f>
        <v>OK</v>
      </c>
      <c r="AE21" s="113"/>
      <c r="AF21" s="113"/>
      <c r="AG21" s="113"/>
      <c r="AH21" s="113"/>
      <c r="AI21" s="113"/>
      <c r="AJ21" s="113"/>
      <c r="AK21" s="113"/>
    </row>
    <row r="22" spans="1:37" x14ac:dyDescent="0.15">
      <c r="A22">
        <v>11</v>
      </c>
      <c r="B22" s="3"/>
      <c r="C22" s="3"/>
      <c r="D22" s="3"/>
      <c r="E22" s="3"/>
      <c r="F22" s="87">
        <f t="shared" si="0"/>
        <v>0</v>
      </c>
      <c r="G22" s="87"/>
      <c r="H22" s="87">
        <f t="shared" si="1"/>
        <v>0</v>
      </c>
      <c r="I22" s="87"/>
      <c r="J22" s="13" t="str">
        <f t="shared" si="2"/>
        <v/>
      </c>
      <c r="K22" s="99" t="s">
        <v>157</v>
      </c>
      <c r="L22" s="99"/>
      <c r="M22" s="99"/>
      <c r="N22" s="99"/>
      <c r="O22" s="99"/>
      <c r="P22" s="99"/>
      <c r="Q22"/>
      <c r="AE22" s="113"/>
      <c r="AF22" s="113"/>
      <c r="AG22" s="113"/>
      <c r="AH22" s="113"/>
      <c r="AI22" s="113"/>
      <c r="AJ22" s="113"/>
      <c r="AK22" s="113"/>
    </row>
    <row r="23" spans="1:37" x14ac:dyDescent="0.15">
      <c r="A23">
        <v>12</v>
      </c>
      <c r="B23" s="3"/>
      <c r="C23" s="3"/>
      <c r="D23" s="3"/>
      <c r="E23" s="3"/>
      <c r="F23" s="87">
        <f t="shared" si="0"/>
        <v>0</v>
      </c>
      <c r="G23" s="87"/>
      <c r="H23" s="87">
        <f t="shared" si="1"/>
        <v>0</v>
      </c>
      <c r="I23" s="87"/>
      <c r="J23" s="13" t="str">
        <f t="shared" si="2"/>
        <v/>
      </c>
      <c r="K23" s="62" t="s">
        <v>158</v>
      </c>
      <c r="L23" s="62"/>
      <c r="M23" s="62"/>
      <c r="N23" s="63"/>
      <c r="O23" s="66" t="s">
        <v>461</v>
      </c>
      <c r="P23" s="68"/>
      <c r="Q23" s="13" t="str">
        <f>IF(ISBLANK(O23), IncompleteText, OKText)</f>
        <v>OK</v>
      </c>
      <c r="AE23" s="113"/>
      <c r="AF23" s="113"/>
      <c r="AG23" s="113"/>
      <c r="AH23" s="113"/>
      <c r="AI23" s="113"/>
      <c r="AJ23" s="113"/>
      <c r="AK23" s="113"/>
    </row>
    <row r="24" spans="1:37" x14ac:dyDescent="0.15">
      <c r="A24">
        <v>13</v>
      </c>
      <c r="B24" s="3"/>
      <c r="C24" s="3"/>
      <c r="D24" s="3"/>
      <c r="E24" s="3"/>
      <c r="F24" s="87">
        <f t="shared" si="0"/>
        <v>0</v>
      </c>
      <c r="G24" s="87"/>
      <c r="H24" s="87">
        <f t="shared" si="1"/>
        <v>0</v>
      </c>
      <c r="I24" s="87"/>
      <c r="J24" s="13" t="str">
        <f t="shared" si="2"/>
        <v/>
      </c>
      <c r="K24" s="62" t="s">
        <v>159</v>
      </c>
      <c r="L24" s="62"/>
      <c r="M24" s="62"/>
      <c r="N24" s="63"/>
      <c r="O24" s="3"/>
      <c r="P24" t="s">
        <v>160</v>
      </c>
      <c r="Q24" s="13" t="str">
        <f>IF(O23="On cell terminal","",IF(ISBLANK(O24),IncompleteText,IF(O24&lt;10,OKText,ErrorText)))</f>
        <v/>
      </c>
      <c r="AE24" s="113"/>
      <c r="AF24" s="113"/>
      <c r="AG24" s="113"/>
      <c r="AH24" s="113"/>
      <c r="AI24" s="113"/>
      <c r="AJ24" s="113"/>
      <c r="AK24" s="113"/>
    </row>
    <row r="25" spans="1:37" x14ac:dyDescent="0.15">
      <c r="A25">
        <v>14</v>
      </c>
      <c r="B25" s="3"/>
      <c r="C25" s="3"/>
      <c r="D25" s="3"/>
      <c r="E25" s="3"/>
      <c r="F25" s="87">
        <f t="shared" si="0"/>
        <v>0</v>
      </c>
      <c r="G25" s="87"/>
      <c r="H25" s="87">
        <f t="shared" si="1"/>
        <v>0</v>
      </c>
      <c r="I25" s="87"/>
      <c r="J25" s="13" t="str">
        <f t="shared" si="2"/>
        <v/>
      </c>
      <c r="K25" s="62" t="s">
        <v>161</v>
      </c>
      <c r="L25" s="62"/>
      <c r="M25" s="62"/>
      <c r="N25" s="63"/>
      <c r="O25" s="3">
        <v>5</v>
      </c>
      <c r="P25" t="s">
        <v>162</v>
      </c>
      <c r="Q25" s="13" t="str">
        <f>IF(ISBLANK(O25), IncompleteText, OKText)</f>
        <v>OK</v>
      </c>
      <c r="AE25" s="113"/>
      <c r="AF25" s="113"/>
      <c r="AG25" s="113"/>
      <c r="AH25" s="113"/>
      <c r="AI25" s="113"/>
      <c r="AJ25" s="113"/>
      <c r="AK25" s="113"/>
    </row>
    <row r="26" spans="1:37" x14ac:dyDescent="0.15">
      <c r="A26">
        <v>15</v>
      </c>
      <c r="B26" s="3"/>
      <c r="C26" s="3"/>
      <c r="D26" s="3"/>
      <c r="E26" s="3"/>
      <c r="F26" s="87">
        <f t="shared" si="0"/>
        <v>0</v>
      </c>
      <c r="G26" s="87"/>
      <c r="H26" s="87">
        <f t="shared" si="1"/>
        <v>0</v>
      </c>
      <c r="I26" s="87"/>
      <c r="J26" s="13" t="str">
        <f t="shared" si="2"/>
        <v/>
      </c>
      <c r="K26" s="62" t="s">
        <v>163</v>
      </c>
      <c r="L26" s="62"/>
      <c r="M26" s="62"/>
      <c r="N26" s="63"/>
      <c r="O26" s="31"/>
      <c r="P26" s="32"/>
      <c r="Q26" s="26"/>
      <c r="AE26" s="113"/>
      <c r="AF26" s="113"/>
      <c r="AG26" s="113"/>
      <c r="AH26" s="113"/>
      <c r="AI26" s="113"/>
      <c r="AJ26" s="113"/>
      <c r="AK26" s="113"/>
    </row>
    <row r="27" spans="1:37" x14ac:dyDescent="0.15">
      <c r="A27">
        <v>16</v>
      </c>
      <c r="B27" s="3"/>
      <c r="C27" s="3"/>
      <c r="D27" s="3"/>
      <c r="E27" s="3"/>
      <c r="F27" s="87">
        <f t="shared" si="0"/>
        <v>0</v>
      </c>
      <c r="G27" s="87"/>
      <c r="H27" s="87">
        <f t="shared" si="1"/>
        <v>0</v>
      </c>
      <c r="I27" s="87"/>
      <c r="J27" s="13" t="str">
        <f t="shared" si="2"/>
        <v/>
      </c>
      <c r="K27" s="62" t="s">
        <v>164</v>
      </c>
      <c r="L27" s="62"/>
      <c r="M27" s="62"/>
      <c r="N27" s="63"/>
      <c r="O27" s="31"/>
      <c r="P27" s="32"/>
      <c r="Q27" s="13" t="str">
        <f>IF(ISBLANK($O$26), "", IF(ISBLANK(O27), IncompleteText, OKText))</f>
        <v/>
      </c>
      <c r="AE27" s="113"/>
      <c r="AF27" s="113"/>
      <c r="AG27" s="113"/>
      <c r="AH27" s="113"/>
      <c r="AI27" s="113"/>
      <c r="AJ27" s="113"/>
      <c r="AK27" s="113"/>
    </row>
    <row r="28" spans="1:37" ht="15" x14ac:dyDescent="0.2">
      <c r="A28">
        <v>17</v>
      </c>
      <c r="B28" s="3"/>
      <c r="C28" s="3"/>
      <c r="D28" s="3"/>
      <c r="E28" s="3"/>
      <c r="F28" s="87">
        <f t="shared" si="0"/>
        <v>0</v>
      </c>
      <c r="G28" s="87"/>
      <c r="H28" s="87">
        <f t="shared" si="1"/>
        <v>0</v>
      </c>
      <c r="I28" s="87"/>
      <c r="J28" s="13" t="str">
        <f t="shared" si="2"/>
        <v/>
      </c>
      <c r="K28" s="62" t="s">
        <v>165</v>
      </c>
      <c r="L28" s="62"/>
      <c r="M28" s="62"/>
      <c r="N28" s="63"/>
      <c r="O28" s="3"/>
      <c r="P28" t="s">
        <v>166</v>
      </c>
      <c r="Q28" s="13" t="str">
        <f>IF(ISBLANK($O$26), "", IF(ISBLANK(O28), IncompleteText, OKText))</f>
        <v/>
      </c>
      <c r="AE28" s="113"/>
      <c r="AF28" s="113"/>
      <c r="AG28" s="113"/>
      <c r="AH28" s="113"/>
      <c r="AI28" s="113"/>
      <c r="AJ28" s="113"/>
      <c r="AK28" s="113"/>
    </row>
    <row r="29" spans="1:37" x14ac:dyDescent="0.15">
      <c r="A29">
        <v>18</v>
      </c>
      <c r="B29" s="3"/>
      <c r="C29" s="3"/>
      <c r="D29" s="3"/>
      <c r="E29" s="3"/>
      <c r="F29" s="87">
        <f t="shared" si="0"/>
        <v>0</v>
      </c>
      <c r="G29" s="87"/>
      <c r="H29" s="87">
        <f t="shared" si="1"/>
        <v>0</v>
      </c>
      <c r="I29" s="87"/>
      <c r="J29" s="13" t="str">
        <f t="shared" si="2"/>
        <v/>
      </c>
      <c r="K29" s="62" t="s">
        <v>167</v>
      </c>
      <c r="L29" s="62"/>
      <c r="M29" s="62"/>
      <c r="N29" s="63"/>
      <c r="O29" s="3"/>
      <c r="P29" t="s">
        <v>160</v>
      </c>
      <c r="Q29" s="13" t="str">
        <f>IF(ISBLANK($O$26), "", IF(ISBLANK(O29), IncompleteText, OKText))</f>
        <v/>
      </c>
      <c r="AE29" s="113"/>
      <c r="AF29" s="113"/>
      <c r="AG29" s="113"/>
      <c r="AH29" s="113"/>
      <c r="AI29" s="113"/>
      <c r="AJ29" s="113"/>
      <c r="AK29" s="113"/>
    </row>
    <row r="30" spans="1:37" x14ac:dyDescent="0.15">
      <c r="K30" s="62" t="s">
        <v>168</v>
      </c>
      <c r="L30" s="62"/>
      <c r="M30" s="62"/>
      <c r="N30" s="63"/>
      <c r="O30" s="4">
        <f>SUMIF(J12:J29, "=OK", D12:D29)*CellsPerTempSensor/TotalCells*100</f>
        <v>100</v>
      </c>
      <c r="P30" t="s">
        <v>169</v>
      </c>
      <c r="Q30" s="13" t="str">
        <f>IF(ISERROR(O30),IncompleteText,IF(O30&lt;20,ErrorText,OKText))</f>
        <v>OK</v>
      </c>
    </row>
    <row r="33" spans="1:53" x14ac:dyDescent="0.15">
      <c r="A33" s="114" t="s">
        <v>170</v>
      </c>
      <c r="B33" s="114"/>
      <c r="C33" s="114"/>
      <c r="D33" s="114"/>
      <c r="E33" s="114"/>
      <c r="F33" s="114"/>
      <c r="G33" s="114"/>
      <c r="H33" s="114"/>
      <c r="J33" s="116" t="s">
        <v>171</v>
      </c>
      <c r="K33" s="114"/>
      <c r="L33" s="114"/>
      <c r="M33" s="114"/>
      <c r="N33" s="114"/>
      <c r="O33" s="114"/>
      <c r="P33" s="114"/>
      <c r="Q33" s="114"/>
      <c r="S33" s="114" t="s">
        <v>172</v>
      </c>
      <c r="T33" s="114"/>
      <c r="U33" s="114"/>
      <c r="V33" s="114"/>
      <c r="W33" s="114"/>
      <c r="X33" s="114"/>
      <c r="Y33" s="114"/>
      <c r="Z33" s="114"/>
      <c r="AB33" s="114" t="s">
        <v>173</v>
      </c>
      <c r="AC33" s="114"/>
      <c r="AD33" s="114"/>
      <c r="AE33" s="114"/>
      <c r="AF33" s="114"/>
      <c r="AG33" s="114"/>
      <c r="AH33" s="114"/>
      <c r="AI33" s="114"/>
      <c r="AK33" s="116" t="s">
        <v>174</v>
      </c>
      <c r="AL33" s="116"/>
      <c r="AM33" s="116"/>
      <c r="AN33" s="116"/>
      <c r="AO33" s="116"/>
      <c r="AP33" s="116"/>
      <c r="AQ33" s="116"/>
      <c r="AR33" s="116"/>
      <c r="AT33" s="114" t="s">
        <v>175</v>
      </c>
      <c r="AU33" s="114"/>
      <c r="AV33" s="114"/>
      <c r="AW33" s="114"/>
      <c r="AX33" s="114"/>
      <c r="AY33" s="114"/>
      <c r="AZ33" s="114"/>
      <c r="BA33" s="114"/>
    </row>
    <row r="34" spans="1:53" x14ac:dyDescent="0.15">
      <c r="A34" s="114"/>
      <c r="B34" s="114"/>
      <c r="C34" s="114"/>
      <c r="D34" s="114"/>
      <c r="E34" s="114"/>
      <c r="F34" s="114"/>
      <c r="G34" s="114"/>
      <c r="H34" s="114"/>
      <c r="J34" s="114"/>
      <c r="K34" s="114"/>
      <c r="L34" s="114"/>
      <c r="M34" s="114"/>
      <c r="N34" s="114"/>
      <c r="O34" s="114"/>
      <c r="P34" s="114"/>
      <c r="Q34" s="114"/>
      <c r="S34" s="114"/>
      <c r="T34" s="114"/>
      <c r="U34" s="114"/>
      <c r="V34" s="114"/>
      <c r="W34" s="114"/>
      <c r="X34" s="114"/>
      <c r="Y34" s="114"/>
      <c r="Z34" s="114"/>
      <c r="AB34" s="114"/>
      <c r="AC34" s="114"/>
      <c r="AD34" s="114"/>
      <c r="AE34" s="114"/>
      <c r="AF34" s="114"/>
      <c r="AG34" s="114"/>
      <c r="AH34" s="114"/>
      <c r="AI34" s="114"/>
      <c r="AK34" s="116"/>
      <c r="AL34" s="116"/>
      <c r="AM34" s="116"/>
      <c r="AN34" s="116"/>
      <c r="AO34" s="116"/>
      <c r="AP34" s="116"/>
      <c r="AQ34" s="116"/>
      <c r="AR34" s="116"/>
      <c r="AT34" s="114"/>
      <c r="AU34" s="114"/>
      <c r="AV34" s="114"/>
      <c r="AW34" s="114"/>
      <c r="AX34" s="114"/>
      <c r="AY34" s="114"/>
      <c r="AZ34" s="114"/>
      <c r="BA34" s="114"/>
    </row>
    <row r="35" spans="1:53" x14ac:dyDescent="0.15">
      <c r="A35" s="114"/>
      <c r="B35" s="114"/>
      <c r="C35" s="114"/>
      <c r="D35" s="114"/>
      <c r="E35" s="114"/>
      <c r="F35" s="114"/>
      <c r="G35" s="114"/>
      <c r="H35" s="114"/>
      <c r="J35" s="114"/>
      <c r="K35" s="114"/>
      <c r="L35" s="114"/>
      <c r="M35" s="114"/>
      <c r="N35" s="114"/>
      <c r="O35" s="114"/>
      <c r="P35" s="114"/>
      <c r="Q35" s="114"/>
      <c r="S35" s="114"/>
      <c r="T35" s="114"/>
      <c r="U35" s="114"/>
      <c r="V35" s="114"/>
      <c r="W35" s="114"/>
      <c r="X35" s="114"/>
      <c r="Y35" s="114"/>
      <c r="Z35" s="114"/>
      <c r="AB35" s="114"/>
      <c r="AC35" s="114"/>
      <c r="AD35" s="114"/>
      <c r="AE35" s="114"/>
      <c r="AF35" s="114"/>
      <c r="AG35" s="114"/>
      <c r="AH35" s="114"/>
      <c r="AI35" s="114"/>
      <c r="AK35" s="116"/>
      <c r="AL35" s="116"/>
      <c r="AM35" s="116"/>
      <c r="AN35" s="116"/>
      <c r="AO35" s="116"/>
      <c r="AP35" s="116"/>
      <c r="AQ35" s="116"/>
      <c r="AR35" s="116"/>
      <c r="AT35" s="114"/>
      <c r="AU35" s="114"/>
      <c r="AV35" s="114"/>
      <c r="AW35" s="114"/>
      <c r="AX35" s="114"/>
      <c r="AY35" s="114"/>
      <c r="AZ35" s="114"/>
      <c r="BA35" s="114"/>
    </row>
    <row r="36" spans="1:53" x14ac:dyDescent="0.15">
      <c r="A36" s="114"/>
      <c r="B36" s="114"/>
      <c r="C36" s="114"/>
      <c r="D36" s="114"/>
      <c r="E36" s="114"/>
      <c r="F36" s="114"/>
      <c r="G36" s="114"/>
      <c r="H36" s="114"/>
      <c r="J36" s="114"/>
      <c r="K36" s="114"/>
      <c r="L36" s="114"/>
      <c r="M36" s="114"/>
      <c r="N36" s="114"/>
      <c r="O36" s="114"/>
      <c r="P36" s="114"/>
      <c r="Q36" s="114"/>
      <c r="S36" s="114"/>
      <c r="T36" s="114"/>
      <c r="U36" s="114"/>
      <c r="V36" s="114"/>
      <c r="W36" s="114"/>
      <c r="X36" s="114"/>
      <c r="Y36" s="114"/>
      <c r="Z36" s="114"/>
      <c r="AB36" s="114"/>
      <c r="AC36" s="114"/>
      <c r="AD36" s="114"/>
      <c r="AE36" s="114"/>
      <c r="AF36" s="114"/>
      <c r="AG36" s="114"/>
      <c r="AH36" s="114"/>
      <c r="AI36" s="114"/>
      <c r="AK36" s="116"/>
      <c r="AL36" s="116"/>
      <c r="AM36" s="116"/>
      <c r="AN36" s="116"/>
      <c r="AO36" s="116"/>
      <c r="AP36" s="116"/>
      <c r="AQ36" s="116"/>
      <c r="AR36" s="116"/>
      <c r="AT36" s="114"/>
      <c r="AU36" s="114"/>
      <c r="AV36" s="114"/>
      <c r="AW36" s="114"/>
      <c r="AX36" s="114"/>
      <c r="AY36" s="114"/>
      <c r="AZ36" s="114"/>
      <c r="BA36" s="114"/>
    </row>
    <row r="37" spans="1:53" x14ac:dyDescent="0.15">
      <c r="A37" s="114"/>
      <c r="B37" s="114"/>
      <c r="C37" s="114"/>
      <c r="D37" s="114"/>
      <c r="E37" s="114"/>
      <c r="F37" s="114"/>
      <c r="G37" s="114"/>
      <c r="H37" s="114"/>
      <c r="J37" s="114"/>
      <c r="K37" s="114"/>
      <c r="L37" s="114"/>
      <c r="M37" s="114"/>
      <c r="N37" s="114"/>
      <c r="O37" s="114"/>
      <c r="P37" s="114"/>
      <c r="Q37" s="114"/>
      <c r="S37" s="114"/>
      <c r="T37" s="114"/>
      <c r="U37" s="114"/>
      <c r="V37" s="114"/>
      <c r="W37" s="114"/>
      <c r="X37" s="114"/>
      <c r="Y37" s="114"/>
      <c r="Z37" s="114"/>
      <c r="AB37" s="114"/>
      <c r="AC37" s="114"/>
      <c r="AD37" s="114"/>
      <c r="AE37" s="114"/>
      <c r="AF37" s="114"/>
      <c r="AG37" s="114"/>
      <c r="AH37" s="114"/>
      <c r="AI37" s="114"/>
      <c r="AK37" s="116"/>
      <c r="AL37" s="116"/>
      <c r="AM37" s="116"/>
      <c r="AN37" s="116"/>
      <c r="AO37" s="116"/>
      <c r="AP37" s="116"/>
      <c r="AQ37" s="116"/>
      <c r="AR37" s="116"/>
      <c r="AT37" s="114"/>
      <c r="AU37" s="114"/>
      <c r="AV37" s="114"/>
      <c r="AW37" s="114"/>
      <c r="AX37" s="114"/>
      <c r="AY37" s="114"/>
      <c r="AZ37" s="114"/>
      <c r="BA37" s="114"/>
    </row>
    <row r="38" spans="1:53" x14ac:dyDescent="0.15">
      <c r="A38" s="114"/>
      <c r="B38" s="114"/>
      <c r="C38" s="114"/>
      <c r="D38" s="114"/>
      <c r="E38" s="114"/>
      <c r="F38" s="114"/>
      <c r="G38" s="114"/>
      <c r="H38" s="114"/>
      <c r="J38" s="114"/>
      <c r="K38" s="114"/>
      <c r="L38" s="114"/>
      <c r="M38" s="114"/>
      <c r="N38" s="114"/>
      <c r="O38" s="114"/>
      <c r="P38" s="114"/>
      <c r="Q38" s="114"/>
      <c r="S38" s="114"/>
      <c r="T38" s="114"/>
      <c r="U38" s="114"/>
      <c r="V38" s="114"/>
      <c r="W38" s="114"/>
      <c r="X38" s="114"/>
      <c r="Y38" s="114"/>
      <c r="Z38" s="114"/>
      <c r="AB38" s="114"/>
      <c r="AC38" s="114"/>
      <c r="AD38" s="114"/>
      <c r="AE38" s="114"/>
      <c r="AF38" s="114"/>
      <c r="AG38" s="114"/>
      <c r="AH38" s="114"/>
      <c r="AI38" s="114"/>
      <c r="AK38" s="116"/>
      <c r="AL38" s="116"/>
      <c r="AM38" s="116"/>
      <c r="AN38" s="116"/>
      <c r="AO38" s="116"/>
      <c r="AP38" s="116"/>
      <c r="AQ38" s="116"/>
      <c r="AR38" s="116"/>
      <c r="AT38" s="114"/>
      <c r="AU38" s="114"/>
      <c r="AV38" s="114"/>
      <c r="AW38" s="114"/>
      <c r="AX38" s="114"/>
      <c r="AY38" s="114"/>
      <c r="AZ38" s="114"/>
      <c r="BA38" s="114"/>
    </row>
    <row r="39" spans="1:53" x14ac:dyDescent="0.15">
      <c r="A39" s="114"/>
      <c r="B39" s="114"/>
      <c r="C39" s="114"/>
      <c r="D39" s="114"/>
      <c r="E39" s="114"/>
      <c r="F39" s="114"/>
      <c r="G39" s="114"/>
      <c r="H39" s="114"/>
      <c r="J39" s="114"/>
      <c r="K39" s="114"/>
      <c r="L39" s="114"/>
      <c r="M39" s="114"/>
      <c r="N39" s="114"/>
      <c r="O39" s="114"/>
      <c r="P39" s="114"/>
      <c r="Q39" s="114"/>
      <c r="S39" s="114"/>
      <c r="T39" s="114"/>
      <c r="U39" s="114"/>
      <c r="V39" s="114"/>
      <c r="W39" s="114"/>
      <c r="X39" s="114"/>
      <c r="Y39" s="114"/>
      <c r="Z39" s="114"/>
      <c r="AB39" s="114"/>
      <c r="AC39" s="114"/>
      <c r="AD39" s="114"/>
      <c r="AE39" s="114"/>
      <c r="AF39" s="114"/>
      <c r="AG39" s="114"/>
      <c r="AH39" s="114"/>
      <c r="AI39" s="114"/>
      <c r="AK39" s="116"/>
      <c r="AL39" s="116"/>
      <c r="AM39" s="116"/>
      <c r="AN39" s="116"/>
      <c r="AO39" s="116"/>
      <c r="AP39" s="116"/>
      <c r="AQ39" s="116"/>
      <c r="AR39" s="116"/>
      <c r="AT39" s="114"/>
      <c r="AU39" s="114"/>
      <c r="AV39" s="114"/>
      <c r="AW39" s="114"/>
      <c r="AX39" s="114"/>
      <c r="AY39" s="114"/>
      <c r="AZ39" s="114"/>
      <c r="BA39" s="114"/>
    </row>
    <row r="40" spans="1:53" x14ac:dyDescent="0.15">
      <c r="A40" s="114"/>
      <c r="B40" s="114"/>
      <c r="C40" s="114"/>
      <c r="D40" s="114"/>
      <c r="E40" s="114"/>
      <c r="F40" s="114"/>
      <c r="G40" s="114"/>
      <c r="H40" s="114"/>
      <c r="J40" s="114"/>
      <c r="K40" s="114"/>
      <c r="L40" s="114"/>
      <c r="M40" s="114"/>
      <c r="N40" s="114"/>
      <c r="O40" s="114"/>
      <c r="P40" s="114"/>
      <c r="Q40" s="114"/>
      <c r="S40" s="114"/>
      <c r="T40" s="114"/>
      <c r="U40" s="114"/>
      <c r="V40" s="114"/>
      <c r="W40" s="114"/>
      <c r="X40" s="114"/>
      <c r="Y40" s="114"/>
      <c r="Z40" s="114"/>
      <c r="AB40" s="114"/>
      <c r="AC40" s="114"/>
      <c r="AD40" s="114"/>
      <c r="AE40" s="114"/>
      <c r="AF40" s="114"/>
      <c r="AG40" s="114"/>
      <c r="AH40" s="114"/>
      <c r="AI40" s="114"/>
      <c r="AK40" s="116"/>
      <c r="AL40" s="116"/>
      <c r="AM40" s="116"/>
      <c r="AN40" s="116"/>
      <c r="AO40" s="116"/>
      <c r="AP40" s="116"/>
      <c r="AQ40" s="116"/>
      <c r="AR40" s="116"/>
      <c r="AT40" s="114"/>
      <c r="AU40" s="114"/>
      <c r="AV40" s="114"/>
      <c r="AW40" s="114"/>
      <c r="AX40" s="114"/>
      <c r="AY40" s="114"/>
      <c r="AZ40" s="114"/>
      <c r="BA40" s="114"/>
    </row>
    <row r="41" spans="1:53" x14ac:dyDescent="0.15">
      <c r="A41" s="114"/>
      <c r="B41" s="114"/>
      <c r="C41" s="114"/>
      <c r="D41" s="114"/>
      <c r="E41" s="114"/>
      <c r="F41" s="114"/>
      <c r="G41" s="114"/>
      <c r="H41" s="114"/>
      <c r="J41" s="114"/>
      <c r="K41" s="114"/>
      <c r="L41" s="114"/>
      <c r="M41" s="114"/>
      <c r="N41" s="114"/>
      <c r="O41" s="114"/>
      <c r="P41" s="114"/>
      <c r="Q41" s="114"/>
      <c r="S41" s="114"/>
      <c r="T41" s="114"/>
      <c r="U41" s="114"/>
      <c r="V41" s="114"/>
      <c r="W41" s="114"/>
      <c r="X41" s="114"/>
      <c r="Y41" s="114"/>
      <c r="Z41" s="114"/>
      <c r="AB41" s="114"/>
      <c r="AC41" s="114"/>
      <c r="AD41" s="114"/>
      <c r="AE41" s="114"/>
      <c r="AF41" s="114"/>
      <c r="AG41" s="114"/>
      <c r="AH41" s="114"/>
      <c r="AI41" s="114"/>
      <c r="AK41" s="116"/>
      <c r="AL41" s="116"/>
      <c r="AM41" s="116"/>
      <c r="AN41" s="116"/>
      <c r="AO41" s="116"/>
      <c r="AP41" s="116"/>
      <c r="AQ41" s="116"/>
      <c r="AR41" s="116"/>
      <c r="AT41" s="114"/>
      <c r="AU41" s="114"/>
      <c r="AV41" s="114"/>
      <c r="AW41" s="114"/>
      <c r="AX41" s="114"/>
      <c r="AY41" s="114"/>
      <c r="AZ41" s="114"/>
      <c r="BA41" s="114"/>
    </row>
    <row r="42" spans="1:53" x14ac:dyDescent="0.15">
      <c r="A42" s="114"/>
      <c r="B42" s="114"/>
      <c r="C42" s="114"/>
      <c r="D42" s="114"/>
      <c r="E42" s="114"/>
      <c r="F42" s="114"/>
      <c r="G42" s="114"/>
      <c r="H42" s="114"/>
      <c r="J42" s="114"/>
      <c r="K42" s="114"/>
      <c r="L42" s="114"/>
      <c r="M42" s="114"/>
      <c r="N42" s="114"/>
      <c r="O42" s="114"/>
      <c r="P42" s="114"/>
      <c r="Q42" s="114"/>
      <c r="S42" s="114"/>
      <c r="T42" s="114"/>
      <c r="U42" s="114"/>
      <c r="V42" s="114"/>
      <c r="W42" s="114"/>
      <c r="X42" s="114"/>
      <c r="Y42" s="114"/>
      <c r="Z42" s="114"/>
      <c r="AB42" s="114"/>
      <c r="AC42" s="114"/>
      <c r="AD42" s="114"/>
      <c r="AE42" s="114"/>
      <c r="AF42" s="114"/>
      <c r="AG42" s="114"/>
      <c r="AH42" s="114"/>
      <c r="AI42" s="114"/>
      <c r="AK42" s="116"/>
      <c r="AL42" s="116"/>
      <c r="AM42" s="116"/>
      <c r="AN42" s="116"/>
      <c r="AO42" s="116"/>
      <c r="AP42" s="116"/>
      <c r="AQ42" s="116"/>
      <c r="AR42" s="116"/>
      <c r="AT42" s="114"/>
      <c r="AU42" s="114"/>
      <c r="AV42" s="114"/>
      <c r="AW42" s="114"/>
      <c r="AX42" s="114"/>
      <c r="AY42" s="114"/>
      <c r="AZ42" s="114"/>
      <c r="BA42" s="114"/>
    </row>
    <row r="43" spans="1:53" x14ac:dyDescent="0.15">
      <c r="A43" s="114"/>
      <c r="B43" s="114"/>
      <c r="C43" s="114"/>
      <c r="D43" s="114"/>
      <c r="E43" s="114"/>
      <c r="F43" s="114"/>
      <c r="G43" s="114"/>
      <c r="H43" s="114"/>
      <c r="J43" s="114"/>
      <c r="K43" s="114"/>
      <c r="L43" s="114"/>
      <c r="M43" s="114"/>
      <c r="N43" s="114"/>
      <c r="O43" s="114"/>
      <c r="P43" s="114"/>
      <c r="Q43" s="114"/>
      <c r="S43" s="114"/>
      <c r="T43" s="114"/>
      <c r="U43" s="114"/>
      <c r="V43" s="114"/>
      <c r="W43" s="114"/>
      <c r="X43" s="114"/>
      <c r="Y43" s="114"/>
      <c r="Z43" s="114"/>
      <c r="AB43" s="114"/>
      <c r="AC43" s="114"/>
      <c r="AD43" s="114"/>
      <c r="AE43" s="114"/>
      <c r="AF43" s="114"/>
      <c r="AG43" s="114"/>
      <c r="AH43" s="114"/>
      <c r="AI43" s="114"/>
      <c r="AK43" s="116"/>
      <c r="AL43" s="116"/>
      <c r="AM43" s="116"/>
      <c r="AN43" s="116"/>
      <c r="AO43" s="116"/>
      <c r="AP43" s="116"/>
      <c r="AQ43" s="116"/>
      <c r="AR43" s="116"/>
      <c r="AT43" s="114"/>
      <c r="AU43" s="114"/>
      <c r="AV43" s="114"/>
      <c r="AW43" s="114"/>
      <c r="AX43" s="114"/>
      <c r="AY43" s="114"/>
      <c r="AZ43" s="114"/>
      <c r="BA43" s="114"/>
    </row>
    <row r="44" spans="1:53" x14ac:dyDescent="0.15">
      <c r="A44" s="114"/>
      <c r="B44" s="114"/>
      <c r="C44" s="114"/>
      <c r="D44" s="114"/>
      <c r="E44" s="114"/>
      <c r="F44" s="114"/>
      <c r="G44" s="114"/>
      <c r="H44" s="114"/>
      <c r="J44" s="114"/>
      <c r="K44" s="114"/>
      <c r="L44" s="114"/>
      <c r="M44" s="114"/>
      <c r="N44" s="114"/>
      <c r="O44" s="114"/>
      <c r="P44" s="114"/>
      <c r="Q44" s="114"/>
      <c r="S44" s="114"/>
      <c r="T44" s="114"/>
      <c r="U44" s="114"/>
      <c r="V44" s="114"/>
      <c r="W44" s="114"/>
      <c r="X44" s="114"/>
      <c r="Y44" s="114"/>
      <c r="Z44" s="114"/>
      <c r="AB44" s="114"/>
      <c r="AC44" s="114"/>
      <c r="AD44" s="114"/>
      <c r="AE44" s="114"/>
      <c r="AF44" s="114"/>
      <c r="AG44" s="114"/>
      <c r="AH44" s="114"/>
      <c r="AI44" s="114"/>
      <c r="AK44" s="116"/>
      <c r="AL44" s="116"/>
      <c r="AM44" s="116"/>
      <c r="AN44" s="116"/>
      <c r="AO44" s="116"/>
      <c r="AP44" s="116"/>
      <c r="AQ44" s="116"/>
      <c r="AR44" s="116"/>
      <c r="AT44" s="114"/>
      <c r="AU44" s="114"/>
      <c r="AV44" s="114"/>
      <c r="AW44" s="114"/>
      <c r="AX44" s="114"/>
      <c r="AY44" s="114"/>
      <c r="AZ44" s="114"/>
      <c r="BA44" s="114"/>
    </row>
    <row r="45" spans="1:53" x14ac:dyDescent="0.15">
      <c r="A45" s="114"/>
      <c r="B45" s="114"/>
      <c r="C45" s="114"/>
      <c r="D45" s="114"/>
      <c r="E45" s="114"/>
      <c r="F45" s="114"/>
      <c r="G45" s="114"/>
      <c r="H45" s="114"/>
      <c r="J45" s="114"/>
      <c r="K45" s="114"/>
      <c r="L45" s="114"/>
      <c r="M45" s="114"/>
      <c r="N45" s="114"/>
      <c r="O45" s="114"/>
      <c r="P45" s="114"/>
      <c r="Q45" s="114"/>
      <c r="S45" s="114"/>
      <c r="T45" s="114"/>
      <c r="U45" s="114"/>
      <c r="V45" s="114"/>
      <c r="W45" s="114"/>
      <c r="X45" s="114"/>
      <c r="Y45" s="114"/>
      <c r="Z45" s="114"/>
      <c r="AB45" s="114"/>
      <c r="AC45" s="114"/>
      <c r="AD45" s="114"/>
      <c r="AE45" s="114"/>
      <c r="AF45" s="114"/>
      <c r="AG45" s="114"/>
      <c r="AH45" s="114"/>
      <c r="AI45" s="114"/>
      <c r="AK45" s="116"/>
      <c r="AL45" s="116"/>
      <c r="AM45" s="116"/>
      <c r="AN45" s="116"/>
      <c r="AO45" s="116"/>
      <c r="AP45" s="116"/>
      <c r="AQ45" s="116"/>
      <c r="AR45" s="116"/>
      <c r="AT45" s="114"/>
      <c r="AU45" s="114"/>
      <c r="AV45" s="114"/>
      <c r="AW45" s="114"/>
      <c r="AX45" s="114"/>
      <c r="AY45" s="114"/>
      <c r="AZ45" s="114"/>
      <c r="BA45" s="114"/>
    </row>
    <row r="46" spans="1:53" x14ac:dyDescent="0.15">
      <c r="A46" s="114"/>
      <c r="B46" s="114"/>
      <c r="C46" s="114"/>
      <c r="D46" s="114"/>
      <c r="E46" s="114"/>
      <c r="F46" s="114"/>
      <c r="G46" s="114"/>
      <c r="H46" s="114"/>
      <c r="J46" s="114"/>
      <c r="K46" s="114"/>
      <c r="L46" s="114"/>
      <c r="M46" s="114"/>
      <c r="N46" s="114"/>
      <c r="O46" s="114"/>
      <c r="P46" s="114"/>
      <c r="Q46" s="114"/>
      <c r="S46" s="114"/>
      <c r="T46" s="114"/>
      <c r="U46" s="114"/>
      <c r="V46" s="114"/>
      <c r="W46" s="114"/>
      <c r="X46" s="114"/>
      <c r="Y46" s="114"/>
      <c r="Z46" s="114"/>
      <c r="AB46" s="114"/>
      <c r="AC46" s="114"/>
      <c r="AD46" s="114"/>
      <c r="AE46" s="114"/>
      <c r="AF46" s="114"/>
      <c r="AG46" s="114"/>
      <c r="AH46" s="114"/>
      <c r="AI46" s="114"/>
      <c r="AK46" s="116"/>
      <c r="AL46" s="116"/>
      <c r="AM46" s="116"/>
      <c r="AN46" s="116"/>
      <c r="AO46" s="116"/>
      <c r="AP46" s="116"/>
      <c r="AQ46" s="116"/>
      <c r="AR46" s="116"/>
      <c r="AT46" s="114"/>
      <c r="AU46" s="114"/>
      <c r="AV46" s="114"/>
      <c r="AW46" s="114"/>
      <c r="AX46" s="114"/>
      <c r="AY46" s="114"/>
      <c r="AZ46" s="114"/>
      <c r="BA46" s="114"/>
    </row>
    <row r="47" spans="1:53" x14ac:dyDescent="0.15">
      <c r="A47" s="114"/>
      <c r="B47" s="114"/>
      <c r="C47" s="114"/>
      <c r="D47" s="114"/>
      <c r="E47" s="114"/>
      <c r="F47" s="114"/>
      <c r="G47" s="114"/>
      <c r="H47" s="114"/>
      <c r="J47" s="114"/>
      <c r="K47" s="114"/>
      <c r="L47" s="114"/>
      <c r="M47" s="114"/>
      <c r="N47" s="114"/>
      <c r="O47" s="114"/>
      <c r="P47" s="114"/>
      <c r="Q47" s="114"/>
      <c r="S47" s="114"/>
      <c r="T47" s="114"/>
      <c r="U47" s="114"/>
      <c r="V47" s="114"/>
      <c r="W47" s="114"/>
      <c r="X47" s="114"/>
      <c r="Y47" s="114"/>
      <c r="Z47" s="114"/>
      <c r="AB47" s="114"/>
      <c r="AC47" s="114"/>
      <c r="AD47" s="114"/>
      <c r="AE47" s="114"/>
      <c r="AF47" s="114"/>
      <c r="AG47" s="114"/>
      <c r="AH47" s="114"/>
      <c r="AI47" s="114"/>
      <c r="AK47" s="116"/>
      <c r="AL47" s="116"/>
      <c r="AM47" s="116"/>
      <c r="AN47" s="116"/>
      <c r="AO47" s="116"/>
      <c r="AP47" s="116"/>
      <c r="AQ47" s="116"/>
      <c r="AR47" s="116"/>
      <c r="AT47" s="114"/>
      <c r="AU47" s="114"/>
      <c r="AV47" s="114"/>
      <c r="AW47" s="114"/>
      <c r="AX47" s="114"/>
      <c r="AY47" s="114"/>
      <c r="AZ47" s="114"/>
      <c r="BA47" s="114"/>
    </row>
    <row r="48" spans="1:53" x14ac:dyDescent="0.15">
      <c r="A48" s="114"/>
      <c r="B48" s="114"/>
      <c r="C48" s="114"/>
      <c r="D48" s="114"/>
      <c r="E48" s="114"/>
      <c r="F48" s="114"/>
      <c r="G48" s="114"/>
      <c r="H48" s="114"/>
      <c r="J48" s="114"/>
      <c r="K48" s="114"/>
      <c r="L48" s="114"/>
      <c r="M48" s="114"/>
      <c r="N48" s="114"/>
      <c r="O48" s="114"/>
      <c r="P48" s="114"/>
      <c r="Q48" s="114"/>
      <c r="S48" s="114"/>
      <c r="T48" s="114"/>
      <c r="U48" s="114"/>
      <c r="V48" s="114"/>
      <c r="W48" s="114"/>
      <c r="X48" s="114"/>
      <c r="Y48" s="114"/>
      <c r="Z48" s="114"/>
      <c r="AB48" s="114"/>
      <c r="AC48" s="114"/>
      <c r="AD48" s="114"/>
      <c r="AE48" s="114"/>
      <c r="AF48" s="114"/>
      <c r="AG48" s="114"/>
      <c r="AH48" s="114"/>
      <c r="AI48" s="114"/>
      <c r="AK48" s="116"/>
      <c r="AL48" s="116"/>
      <c r="AM48" s="116"/>
      <c r="AN48" s="116"/>
      <c r="AO48" s="116"/>
      <c r="AP48" s="116"/>
      <c r="AQ48" s="116"/>
      <c r="AR48" s="116"/>
      <c r="AT48" s="114"/>
      <c r="AU48" s="114"/>
      <c r="AV48" s="114"/>
      <c r="AW48" s="114"/>
      <c r="AX48" s="114"/>
      <c r="AY48" s="114"/>
      <c r="AZ48" s="114"/>
      <c r="BA48" s="114"/>
    </row>
    <row r="49" spans="1:53" x14ac:dyDescent="0.15">
      <c r="A49" s="114"/>
      <c r="B49" s="114"/>
      <c r="C49" s="114"/>
      <c r="D49" s="114"/>
      <c r="E49" s="114"/>
      <c r="F49" s="114"/>
      <c r="G49" s="114"/>
      <c r="H49" s="114"/>
      <c r="J49" s="114"/>
      <c r="K49" s="114"/>
      <c r="L49" s="114"/>
      <c r="M49" s="114"/>
      <c r="N49" s="114"/>
      <c r="O49" s="114"/>
      <c r="P49" s="114"/>
      <c r="Q49" s="114"/>
      <c r="S49" s="114"/>
      <c r="T49" s="114"/>
      <c r="U49" s="114"/>
      <c r="V49" s="114"/>
      <c r="W49" s="114"/>
      <c r="X49" s="114"/>
      <c r="Y49" s="114"/>
      <c r="Z49" s="114"/>
      <c r="AB49" s="114"/>
      <c r="AC49" s="114"/>
      <c r="AD49" s="114"/>
      <c r="AE49" s="114"/>
      <c r="AF49" s="114"/>
      <c r="AG49" s="114"/>
      <c r="AH49" s="114"/>
      <c r="AI49" s="114"/>
      <c r="AK49" s="116"/>
      <c r="AL49" s="116"/>
      <c r="AM49" s="116"/>
      <c r="AN49" s="116"/>
      <c r="AO49" s="116"/>
      <c r="AP49" s="116"/>
      <c r="AQ49" s="116"/>
      <c r="AR49" s="116"/>
      <c r="AT49" s="114"/>
      <c r="AU49" s="114"/>
      <c r="AV49" s="114"/>
      <c r="AW49" s="114"/>
      <c r="AX49" s="114"/>
      <c r="AY49" s="114"/>
      <c r="AZ49" s="114"/>
      <c r="BA49" s="114"/>
    </row>
    <row r="50" spans="1:53" x14ac:dyDescent="0.15">
      <c r="A50" s="114"/>
      <c r="B50" s="114"/>
      <c r="C50" s="114"/>
      <c r="D50" s="114"/>
      <c r="E50" s="114"/>
      <c r="F50" s="114"/>
      <c r="G50" s="114"/>
      <c r="H50" s="114"/>
      <c r="J50" s="114"/>
      <c r="K50" s="114"/>
      <c r="L50" s="114"/>
      <c r="M50" s="114"/>
      <c r="N50" s="114"/>
      <c r="O50" s="114"/>
      <c r="P50" s="114"/>
      <c r="Q50" s="114"/>
      <c r="S50" s="114"/>
      <c r="T50" s="114"/>
      <c r="U50" s="114"/>
      <c r="V50" s="114"/>
      <c r="W50" s="114"/>
      <c r="X50" s="114"/>
      <c r="Y50" s="114"/>
      <c r="Z50" s="114"/>
      <c r="AB50" s="114"/>
      <c r="AC50" s="114"/>
      <c r="AD50" s="114"/>
      <c r="AE50" s="114"/>
      <c r="AF50" s="114"/>
      <c r="AG50" s="114"/>
      <c r="AH50" s="114"/>
      <c r="AI50" s="114"/>
      <c r="AK50" s="116"/>
      <c r="AL50" s="116"/>
      <c r="AM50" s="116"/>
      <c r="AN50" s="116"/>
      <c r="AO50" s="116"/>
      <c r="AP50" s="116"/>
      <c r="AQ50" s="116"/>
      <c r="AR50" s="116"/>
      <c r="AT50" s="114"/>
      <c r="AU50" s="114"/>
      <c r="AV50" s="114"/>
      <c r="AW50" s="114"/>
      <c r="AX50" s="114"/>
      <c r="AY50" s="114"/>
      <c r="AZ50" s="114"/>
      <c r="BA50" s="114"/>
    </row>
    <row r="51" spans="1:53" x14ac:dyDescent="0.15">
      <c r="A51" s="114"/>
      <c r="B51" s="114"/>
      <c r="C51" s="114"/>
      <c r="D51" s="114"/>
      <c r="E51" s="114"/>
      <c r="F51" s="114"/>
      <c r="G51" s="114"/>
      <c r="H51" s="114"/>
      <c r="J51" s="114"/>
      <c r="K51" s="114"/>
      <c r="L51" s="114"/>
      <c r="M51" s="114"/>
      <c r="N51" s="114"/>
      <c r="O51" s="114"/>
      <c r="P51" s="114"/>
      <c r="Q51" s="114"/>
      <c r="S51" s="114"/>
      <c r="T51" s="114"/>
      <c r="U51" s="114"/>
      <c r="V51" s="114"/>
      <c r="W51" s="114"/>
      <c r="X51" s="114"/>
      <c r="Y51" s="114"/>
      <c r="Z51" s="114"/>
      <c r="AB51" s="114"/>
      <c r="AC51" s="114"/>
      <c r="AD51" s="114"/>
      <c r="AE51" s="114"/>
      <c r="AF51" s="114"/>
      <c r="AG51" s="114"/>
      <c r="AH51" s="114"/>
      <c r="AI51" s="114"/>
      <c r="AK51" s="116"/>
      <c r="AL51" s="116"/>
      <c r="AM51" s="116"/>
      <c r="AN51" s="116"/>
      <c r="AO51" s="116"/>
      <c r="AP51" s="116"/>
      <c r="AQ51" s="116"/>
      <c r="AR51" s="116"/>
      <c r="AT51" s="114"/>
      <c r="AU51" s="114"/>
      <c r="AV51" s="114"/>
      <c r="AW51" s="114"/>
      <c r="AX51" s="114"/>
      <c r="AY51" s="114"/>
      <c r="AZ51" s="114"/>
      <c r="BA51" s="114"/>
    </row>
    <row r="52" spans="1:53" x14ac:dyDescent="0.15">
      <c r="A52" s="40" t="s">
        <v>176</v>
      </c>
      <c r="B52" s="40"/>
      <c r="C52" s="40"/>
      <c r="D52" s="40"/>
      <c r="E52" s="40"/>
      <c r="F52" s="40"/>
      <c r="G52" s="40"/>
      <c r="H52" s="13" t="str">
        <f>IF(COUNTIF(H53:H55, "="&amp;IncompleteText), IncompleteText, IF(COUNTIF(H53:H55, "="&amp;ErrorText), ErrorText, OKText))</f>
        <v>OK</v>
      </c>
      <c r="J52" s="40" t="s">
        <v>177</v>
      </c>
      <c r="K52" s="40"/>
      <c r="L52" s="40"/>
      <c r="M52" s="40"/>
      <c r="N52" s="40"/>
      <c r="O52" s="40"/>
      <c r="P52" s="40"/>
      <c r="Q52" s="13" t="str">
        <f>IF(COUNTIF(Q53:Q54, "="&amp;IncompleteText), IncompleteText, IF(COUNTIF(Q53:Q54, "="&amp;ErrorText), ErrorText, OKText))</f>
        <v>OK</v>
      </c>
      <c r="S52" s="40" t="s">
        <v>178</v>
      </c>
      <c r="T52" s="40"/>
      <c r="U52" s="40"/>
      <c r="V52" s="40"/>
      <c r="W52" s="40"/>
      <c r="X52" s="40"/>
      <c r="Y52" s="40"/>
      <c r="Z52" s="13" t="str">
        <f>IF(COUNTIF(Z53:Z54, "="&amp;IncompleteText), IncompleteText, IF(COUNTIF(Z53:Z54, "="&amp;ErrorText), ErrorText, OKText))</f>
        <v>OK</v>
      </c>
      <c r="AB52" s="40" t="s">
        <v>179</v>
      </c>
      <c r="AC52" s="40"/>
      <c r="AD52" s="40"/>
      <c r="AE52" s="40"/>
      <c r="AF52" s="40"/>
      <c r="AG52" s="40"/>
      <c r="AH52" s="40"/>
      <c r="AI52" s="13" t="str">
        <f>IF(COUNTIF(AI53, "="&amp;IncompleteText), IncompleteText, IF(COUNTIF(AI53, "="&amp;ErrorText), ErrorText, OKText))</f>
        <v>OK</v>
      </c>
      <c r="AK52" s="40" t="s">
        <v>180</v>
      </c>
      <c r="AL52" s="40"/>
      <c r="AM52" s="40"/>
      <c r="AN52" s="40"/>
      <c r="AO52" s="40"/>
      <c r="AP52" s="40"/>
      <c r="AQ52" s="40"/>
      <c r="AR52" s="13" t="str">
        <f>IF(COUNTIF(AR53, "="&amp;IncompleteText), IncompleteText, IF(COUNTIF(AR53, "="&amp;ErrorText), ErrorText, OKText))</f>
        <v>OK</v>
      </c>
      <c r="AT52" s="40" t="s">
        <v>180</v>
      </c>
      <c r="AU52" s="40"/>
      <c r="AV52" s="40"/>
      <c r="AW52" s="40"/>
      <c r="AX52" s="40"/>
      <c r="AY52" s="40"/>
      <c r="AZ52" s="40"/>
      <c r="BA52" s="13" t="str">
        <f>IF(COUNTIF(BA53, "="&amp;IncompleteText), IncompleteText, IF(COUNTIF(BA53, "="&amp;ErrorText), ErrorText, OKText))</f>
        <v>OK</v>
      </c>
    </row>
    <row r="53" spans="1:53" x14ac:dyDescent="0.15">
      <c r="A53" s="62" t="s">
        <v>181</v>
      </c>
      <c r="B53" s="62"/>
      <c r="C53" s="62"/>
      <c r="D53" s="62"/>
      <c r="E53" s="62"/>
      <c r="F53" s="62"/>
      <c r="G53" s="3" t="b">
        <v>1</v>
      </c>
      <c r="H53" s="13" t="str">
        <f>IF(ISBLANK(G53),IncompleteText, IF(G53, OKText, ErrorText))</f>
        <v>OK</v>
      </c>
      <c r="J53" s="62" t="s">
        <v>182</v>
      </c>
      <c r="K53" s="62"/>
      <c r="L53" s="62"/>
      <c r="M53" s="62"/>
      <c r="N53" s="62"/>
      <c r="O53" s="63"/>
      <c r="P53" s="3" t="b">
        <v>1</v>
      </c>
      <c r="Q53" s="13" t="str">
        <f>IF(ISBLANK(P53),IncompleteText, IF(P53, OKText, ErrorText))</f>
        <v>OK</v>
      </c>
      <c r="S53" s="62" t="s">
        <v>183</v>
      </c>
      <c r="T53" s="62"/>
      <c r="U53" s="62"/>
      <c r="V53" s="62"/>
      <c r="W53" s="62"/>
      <c r="X53" s="63"/>
      <c r="Y53" s="3" t="b">
        <v>1</v>
      </c>
      <c r="Z53" s="13" t="str">
        <f>IF(ISBLANK(Y53),IncompleteText, IF(Y53, OKText, ErrorText))</f>
        <v>OK</v>
      </c>
      <c r="AB53" s="62" t="s">
        <v>351</v>
      </c>
      <c r="AC53" s="62"/>
      <c r="AD53" s="62"/>
      <c r="AE53" s="62"/>
      <c r="AF53" s="62"/>
      <c r="AG53" s="63"/>
      <c r="AH53" s="3" t="b">
        <v>1</v>
      </c>
      <c r="AI53" s="13" t="str">
        <f>IF(ISBLANK(AH53),IncompleteText, IF(AH53, OKText, ErrorText))</f>
        <v>OK</v>
      </c>
      <c r="AK53" s="62" t="s">
        <v>184</v>
      </c>
      <c r="AL53" s="62"/>
      <c r="AM53" s="62"/>
      <c r="AN53" s="62"/>
      <c r="AO53" s="62"/>
      <c r="AP53" s="63"/>
      <c r="AQ53" s="3" t="b">
        <v>1</v>
      </c>
      <c r="AR53" s="13" t="str">
        <f>IF(ISBLANK(AQ53),IncompleteText, IF(AQ53, OKText, ErrorText))</f>
        <v>OK</v>
      </c>
      <c r="AT53" s="62" t="s">
        <v>185</v>
      </c>
      <c r="AU53" s="62"/>
      <c r="AV53" s="62"/>
      <c r="AW53" s="62"/>
      <c r="AX53" s="62"/>
      <c r="AY53" s="63"/>
      <c r="AZ53" s="3" t="b">
        <v>1</v>
      </c>
      <c r="BA53" s="13" t="str">
        <f>IF(ISBLANK(AZ53),IncompleteText, IF(AZ53, OKText, ErrorText))</f>
        <v>OK</v>
      </c>
    </row>
    <row r="54" spans="1:53" x14ac:dyDescent="0.15">
      <c r="A54" s="62" t="s">
        <v>186</v>
      </c>
      <c r="B54" s="62"/>
      <c r="C54" s="62"/>
      <c r="D54" s="62"/>
      <c r="E54" s="62"/>
      <c r="F54" s="62"/>
      <c r="G54" s="3" t="b">
        <v>1</v>
      </c>
      <c r="H54" s="13" t="str">
        <f>IF(ISBLANK(G54),IncompleteText, IF(G54, OKText, ErrorText))</f>
        <v>OK</v>
      </c>
      <c r="J54" s="62" t="s">
        <v>187</v>
      </c>
      <c r="K54" s="62"/>
      <c r="L54" s="62"/>
      <c r="M54" s="62"/>
      <c r="N54" s="62"/>
      <c r="O54" s="63"/>
      <c r="P54" s="3" t="b">
        <v>1</v>
      </c>
      <c r="Q54" s="13" t="str">
        <f>IF(ISBLANK(P54),IncompleteText, IF(P54, OKText, ErrorText))</f>
        <v>OK</v>
      </c>
      <c r="S54" s="62" t="s">
        <v>188</v>
      </c>
      <c r="T54" s="62"/>
      <c r="U54" s="62"/>
      <c r="V54" s="62"/>
      <c r="W54" s="62"/>
      <c r="X54" s="63"/>
      <c r="Y54" s="3" t="b">
        <v>1</v>
      </c>
      <c r="Z54" s="13" t="str">
        <f>IF(ISBLANK(Y54),IncompleteText, IF(Y54, OKText, ErrorText))</f>
        <v>OK</v>
      </c>
      <c r="AB54" s="40" t="s">
        <v>18</v>
      </c>
      <c r="AC54" s="40"/>
      <c r="AD54" s="40"/>
      <c r="AE54" s="40"/>
      <c r="AF54" s="40"/>
      <c r="AG54" s="40"/>
      <c r="AH54" s="40"/>
      <c r="AI54" s="16" t="s">
        <v>48</v>
      </c>
      <c r="AK54" s="40" t="s">
        <v>18</v>
      </c>
      <c r="AL54" s="40"/>
      <c r="AM54" s="40"/>
      <c r="AN54" s="40"/>
      <c r="AO54" s="40"/>
      <c r="AP54" s="40"/>
      <c r="AQ54" s="40"/>
      <c r="AR54" s="16" t="s">
        <v>48</v>
      </c>
      <c r="AT54" s="40" t="s">
        <v>18</v>
      </c>
      <c r="AU54" s="40"/>
      <c r="AV54" s="40"/>
      <c r="AW54" s="40"/>
      <c r="AX54" s="40"/>
      <c r="AY54" s="40"/>
      <c r="AZ54" s="40"/>
      <c r="BA54" s="16" t="s">
        <v>48</v>
      </c>
    </row>
    <row r="55" spans="1:53" x14ac:dyDescent="0.15">
      <c r="A55" s="62" t="s">
        <v>189</v>
      </c>
      <c r="B55" s="62"/>
      <c r="C55" s="62"/>
      <c r="D55" s="62"/>
      <c r="E55" s="62"/>
      <c r="F55" s="62"/>
      <c r="G55" s="3" t="b">
        <v>1</v>
      </c>
      <c r="H55" s="13" t="str">
        <f>IF(ISBLANK(G55),IncompleteText, IF(G55, OKText, ErrorText))</f>
        <v>OK</v>
      </c>
      <c r="J55" s="40" t="s">
        <v>18</v>
      </c>
      <c r="K55" s="40"/>
      <c r="L55" s="40"/>
      <c r="M55" s="40"/>
      <c r="N55" s="40"/>
      <c r="O55" s="40"/>
      <c r="P55" s="40"/>
      <c r="Q55" s="16" t="s">
        <v>48</v>
      </c>
      <c r="S55" s="40" t="s">
        <v>18</v>
      </c>
      <c r="T55" s="40"/>
      <c r="U55" s="40"/>
      <c r="V55" s="40"/>
      <c r="W55" s="40"/>
      <c r="X55" s="40"/>
      <c r="Y55" s="40"/>
      <c r="Z55" s="16" t="s">
        <v>48</v>
      </c>
      <c r="AB55" s="113"/>
      <c r="AC55" s="113"/>
      <c r="AD55" s="113"/>
      <c r="AE55" s="113"/>
      <c r="AF55" s="113"/>
      <c r="AG55" s="113"/>
      <c r="AH55" s="113"/>
      <c r="AI55" s="101" t="s">
        <v>190</v>
      </c>
      <c r="AK55" s="113"/>
      <c r="AL55" s="113"/>
      <c r="AM55" s="113"/>
      <c r="AN55" s="113"/>
      <c r="AO55" s="113"/>
      <c r="AP55" s="113"/>
      <c r="AQ55" s="113"/>
      <c r="AR55" s="115" t="s">
        <v>191</v>
      </c>
      <c r="AT55" s="113"/>
      <c r="AU55" s="113"/>
      <c r="AV55" s="113"/>
      <c r="AW55" s="113"/>
      <c r="AX55" s="113"/>
      <c r="AY55" s="113"/>
      <c r="AZ55" s="113"/>
      <c r="BA55" s="115" t="s">
        <v>191</v>
      </c>
    </row>
    <row r="56" spans="1:53" s="11" customFormat="1" x14ac:dyDescent="0.15">
      <c r="A56" s="40" t="s">
        <v>18</v>
      </c>
      <c r="B56" s="40"/>
      <c r="C56" s="40"/>
      <c r="D56" s="40"/>
      <c r="E56" s="40"/>
      <c r="F56" s="40"/>
      <c r="G56" s="40"/>
      <c r="H56" s="16" t="s">
        <v>48</v>
      </c>
      <c r="J56" s="113"/>
      <c r="K56" s="113"/>
      <c r="L56" s="113"/>
      <c r="M56" s="113"/>
      <c r="N56" s="113"/>
      <c r="O56" s="113"/>
      <c r="P56" s="113"/>
      <c r="Q56" s="115" t="s">
        <v>192</v>
      </c>
      <c r="S56" s="113"/>
      <c r="T56" s="113"/>
      <c r="U56" s="113"/>
      <c r="V56" s="113"/>
      <c r="W56" s="113"/>
      <c r="X56" s="113"/>
      <c r="Y56" s="113"/>
      <c r="Z56" s="101" t="s">
        <v>193</v>
      </c>
      <c r="AB56" s="113"/>
      <c r="AC56" s="113"/>
      <c r="AD56" s="113"/>
      <c r="AE56" s="113"/>
      <c r="AF56" s="113"/>
      <c r="AG56" s="113"/>
      <c r="AH56" s="113"/>
      <c r="AI56" s="102"/>
      <c r="AK56" s="113"/>
      <c r="AL56" s="113"/>
      <c r="AM56" s="113"/>
      <c r="AN56" s="113"/>
      <c r="AO56" s="113"/>
      <c r="AP56" s="113"/>
      <c r="AQ56" s="113"/>
      <c r="AR56" s="102"/>
      <c r="AT56" s="113"/>
      <c r="AU56" s="113"/>
      <c r="AV56" s="113"/>
      <c r="AW56" s="113"/>
      <c r="AX56" s="113"/>
      <c r="AY56" s="113"/>
      <c r="AZ56" s="113"/>
      <c r="BA56" s="102"/>
    </row>
    <row r="57" spans="1:53" s="11" customFormat="1" x14ac:dyDescent="0.15">
      <c r="A57" s="104" t="s">
        <v>497</v>
      </c>
      <c r="B57" s="105"/>
      <c r="C57" s="105"/>
      <c r="D57" s="105"/>
      <c r="E57" s="105"/>
      <c r="F57" s="105"/>
      <c r="G57" s="106"/>
      <c r="H57" s="101" t="s">
        <v>92</v>
      </c>
      <c r="J57" s="113"/>
      <c r="K57" s="113"/>
      <c r="L57" s="113"/>
      <c r="M57" s="113"/>
      <c r="N57" s="113"/>
      <c r="O57" s="113"/>
      <c r="P57" s="113"/>
      <c r="Q57" s="102"/>
      <c r="S57" s="113"/>
      <c r="T57" s="113"/>
      <c r="U57" s="113"/>
      <c r="V57" s="113"/>
      <c r="W57" s="113"/>
      <c r="X57" s="113"/>
      <c r="Y57" s="113"/>
      <c r="Z57" s="102"/>
      <c r="AB57" s="113"/>
      <c r="AC57" s="113"/>
      <c r="AD57" s="113"/>
      <c r="AE57" s="113"/>
      <c r="AF57" s="113"/>
      <c r="AG57" s="113"/>
      <c r="AH57" s="113"/>
      <c r="AI57" s="102"/>
      <c r="AK57" s="113"/>
      <c r="AL57" s="113"/>
      <c r="AM57" s="113"/>
      <c r="AN57" s="113"/>
      <c r="AO57" s="113"/>
      <c r="AP57" s="113"/>
      <c r="AQ57" s="113"/>
      <c r="AR57" s="102"/>
      <c r="AT57" s="113"/>
      <c r="AU57" s="113"/>
      <c r="AV57" s="113"/>
      <c r="AW57" s="113"/>
      <c r="AX57" s="113"/>
      <c r="AY57" s="113"/>
      <c r="AZ57" s="113"/>
      <c r="BA57" s="102"/>
    </row>
    <row r="58" spans="1:53" s="11" customFormat="1" x14ac:dyDescent="0.15">
      <c r="A58" s="107"/>
      <c r="B58" s="108"/>
      <c r="C58" s="108"/>
      <c r="D58" s="108"/>
      <c r="E58" s="108"/>
      <c r="F58" s="108"/>
      <c r="G58" s="109"/>
      <c r="H58" s="102"/>
      <c r="J58" s="113"/>
      <c r="K58" s="113"/>
      <c r="L58" s="113"/>
      <c r="M58" s="113"/>
      <c r="N58" s="113"/>
      <c r="O58" s="113"/>
      <c r="P58" s="113"/>
      <c r="Q58" s="102"/>
      <c r="S58" s="113"/>
      <c r="T58" s="113"/>
      <c r="U58" s="113"/>
      <c r="V58" s="113"/>
      <c r="W58" s="113"/>
      <c r="X58" s="113"/>
      <c r="Y58" s="113"/>
      <c r="Z58" s="102"/>
      <c r="AB58" s="113"/>
      <c r="AC58" s="113"/>
      <c r="AD58" s="113"/>
      <c r="AE58" s="113"/>
      <c r="AF58" s="113"/>
      <c r="AG58" s="113"/>
      <c r="AH58" s="113"/>
      <c r="AI58" s="103"/>
      <c r="AK58" s="113"/>
      <c r="AL58" s="113"/>
      <c r="AM58" s="113"/>
      <c r="AN58" s="113"/>
      <c r="AO58" s="113"/>
      <c r="AP58" s="113"/>
      <c r="AQ58" s="113"/>
      <c r="AR58" s="103"/>
      <c r="AT58" s="113"/>
      <c r="AU58" s="113"/>
      <c r="AV58" s="113"/>
      <c r="AW58" s="113"/>
      <c r="AX58" s="113"/>
      <c r="AY58" s="113"/>
      <c r="AZ58" s="113"/>
      <c r="BA58" s="103"/>
    </row>
    <row r="59" spans="1:53" s="11" customFormat="1" x14ac:dyDescent="0.15">
      <c r="A59" s="110"/>
      <c r="B59" s="111"/>
      <c r="C59" s="111"/>
      <c r="D59" s="111"/>
      <c r="E59" s="111"/>
      <c r="F59" s="111"/>
      <c r="G59" s="112"/>
      <c r="H59" s="103"/>
      <c r="J59" s="113"/>
      <c r="K59" s="113"/>
      <c r="L59" s="113"/>
      <c r="M59" s="113"/>
      <c r="N59" s="113"/>
      <c r="O59" s="113"/>
      <c r="P59" s="113"/>
      <c r="Q59" s="103"/>
      <c r="S59" s="113"/>
      <c r="T59" s="113"/>
      <c r="U59" s="113"/>
      <c r="V59" s="113"/>
      <c r="W59" s="113"/>
      <c r="X59" s="113"/>
      <c r="Y59" s="113"/>
      <c r="Z59" s="103"/>
    </row>
    <row r="61" spans="1:53" x14ac:dyDescent="0.15">
      <c r="A61" s="40" t="s">
        <v>194</v>
      </c>
      <c r="B61" s="40"/>
      <c r="C61" s="40"/>
      <c r="D61" s="40"/>
      <c r="E61" s="40"/>
      <c r="F61" s="13" t="str">
        <f ca="1">IF(AND(B12=1), OKText, IF(COUNTIF(F62:F71, "="&amp;IncompleteText), IncompleteText, IF(COUNTIF(F62:F71, "="&amp;ErrorText), ErrorText, OKText)))</f>
        <v>OK</v>
      </c>
      <c r="G61" s="90" t="s">
        <v>195</v>
      </c>
      <c r="H61" s="91"/>
    </row>
    <row r="62" spans="1:53" x14ac:dyDescent="0.15">
      <c r="A62" s="62" t="s">
        <v>196</v>
      </c>
      <c r="B62" s="62"/>
      <c r="C62" s="63"/>
      <c r="D62" s="88" t="s">
        <v>463</v>
      </c>
      <c r="E62" s="89"/>
      <c r="F62" s="13" t="str">
        <f>IF(B12 &lt;&gt; 1, IF(ISBLANK(D62),IncompleteText,OKText), "")</f>
        <v>OK</v>
      </c>
      <c r="G62" s="70" t="s">
        <v>197</v>
      </c>
      <c r="H62" s="92"/>
    </row>
    <row r="63" spans="1:53" x14ac:dyDescent="0.15">
      <c r="A63" s="62" t="s">
        <v>144</v>
      </c>
      <c r="B63" s="62"/>
      <c r="C63" s="63"/>
      <c r="D63" s="88" t="s">
        <v>468</v>
      </c>
      <c r="E63" s="89"/>
      <c r="F63" s="13" t="str">
        <f>IF(D62 = "Purchased", IF(ISBLANK(D63), IncompleteText, OKText), "")</f>
        <v>OK</v>
      </c>
      <c r="G63" s="93"/>
      <c r="H63" s="94"/>
    </row>
    <row r="64" spans="1:53" x14ac:dyDescent="0.15">
      <c r="A64" s="62" t="s">
        <v>198</v>
      </c>
      <c r="B64" s="62"/>
      <c r="C64" s="63"/>
      <c r="D64" s="4">
        <f ca="1">VLOOKUP(D63, FusesTable, 6, FALSE)</f>
        <v>45</v>
      </c>
      <c r="E64" t="s">
        <v>17</v>
      </c>
      <c r="F64" s="13" t="str">
        <f ca="1">IF(D62="Purchased",  _xlfn.IFNA(IF(D64*B12/3 &gt;= U20, OKText, ErrorText),IncompleteText), "")</f>
        <v>OK</v>
      </c>
      <c r="G64" s="93"/>
      <c r="H64" s="94"/>
    </row>
    <row r="65" spans="1:9" x14ac:dyDescent="0.15">
      <c r="A65" s="62" t="s">
        <v>198</v>
      </c>
      <c r="B65" s="62"/>
      <c r="C65" s="63"/>
      <c r="D65" s="3"/>
      <c r="E65" t="s">
        <v>17</v>
      </c>
      <c r="F65" s="13" t="str">
        <f>IF(D62="Team Designed", _xlfn.IFNA(IF(D65*B12/3 &gt;= U20, OKText, ErrorText),IncompleteText), "")</f>
        <v/>
      </c>
      <c r="G65" s="95"/>
      <c r="H65" s="96"/>
    </row>
    <row r="67" spans="1:9" x14ac:dyDescent="0.15">
      <c r="A67" s="40" t="s">
        <v>199</v>
      </c>
      <c r="B67" s="40"/>
      <c r="C67" s="40"/>
      <c r="D67" s="40"/>
      <c r="E67" s="40"/>
    </row>
    <row r="68" spans="1:9" x14ac:dyDescent="0.15">
      <c r="A68" s="62" t="s">
        <v>200</v>
      </c>
      <c r="B68" s="62"/>
      <c r="C68" s="63"/>
      <c r="D68" s="1">
        <f>COUNTIFS(C75:C90, "&lt;300", C75:C90, "&gt;30")</f>
        <v>0</v>
      </c>
      <c r="E68"/>
      <c r="F68" s="13" t="str">
        <f>IF(D$62 = "Team Designed",IF(D68&gt;=4, OKText, ErrorText), "")</f>
        <v/>
      </c>
    </row>
    <row r="69" spans="1:9" x14ac:dyDescent="0.15">
      <c r="A69" s="62" t="s">
        <v>201</v>
      </c>
      <c r="B69" s="62"/>
      <c r="C69" s="63"/>
      <c r="D69" s="1">
        <f>COUNTIFS(C75:C90, "&lt;15", C75:C90, "&gt;5")</f>
        <v>0</v>
      </c>
      <c r="E69"/>
      <c r="F69" s="13" t="str">
        <f>IF(D$62 = "Team Designed",IF(D69&gt;=4, OKText, ErrorText), "")</f>
        <v/>
      </c>
      <c r="H69" s="2" t="e">
        <f>10^ROUNDDOWN(LOG10(MIN(C75:C90)), 0)</f>
        <v>#NUM!</v>
      </c>
      <c r="I69" s="2">
        <f>D65</f>
        <v>0</v>
      </c>
    </row>
    <row r="70" spans="1:9" x14ac:dyDescent="0.15">
      <c r="A70" s="62" t="s">
        <v>202</v>
      </c>
      <c r="B70" s="62"/>
      <c r="C70" s="63"/>
      <c r="D70" s="1">
        <f>COUNTIFS(C75:C90, "&lt;1", C75:C90, "&gt;0.2")</f>
        <v>0</v>
      </c>
      <c r="E70"/>
      <c r="F70" s="13" t="str">
        <f>IF(D$62 = "Team Designed",IF(D70&gt;=4, OKText, ErrorText), "")</f>
        <v/>
      </c>
      <c r="H70" s="2" t="e">
        <f>10^ROUNDUP(LOG10(MAX(C75:C90)), 0)</f>
        <v>#NUM!</v>
      </c>
      <c r="I70" s="2">
        <f>D65</f>
        <v>0</v>
      </c>
    </row>
    <row r="71" spans="1:9" x14ac:dyDescent="0.15">
      <c r="A71" s="62" t="s">
        <v>203</v>
      </c>
      <c r="B71" s="62"/>
      <c r="C71" s="63"/>
      <c r="D71" s="1">
        <f>COUNTIFS(C75:C90, "&lt;0.15", C75:C90, "&gt;0.05")</f>
        <v>0</v>
      </c>
      <c r="E71"/>
      <c r="F71" s="13" t="str">
        <f>IF(D$62 = "Team Designed",IF(D71&gt;=4, OKText, ErrorText), "")</f>
        <v/>
      </c>
    </row>
    <row r="72" spans="1:9" x14ac:dyDescent="0.15">
      <c r="A72" s="2" t="s">
        <v>204</v>
      </c>
    </row>
    <row r="74" spans="1:9" ht="30" x14ac:dyDescent="0.15">
      <c r="A74" t="s">
        <v>205</v>
      </c>
      <c r="B74" s="18" t="s">
        <v>206</v>
      </c>
      <c r="C74" s="18" t="s">
        <v>207</v>
      </c>
    </row>
    <row r="75" spans="1:9" x14ac:dyDescent="0.15">
      <c r="A75" t="s">
        <v>208</v>
      </c>
      <c r="B75" s="3"/>
      <c r="C75" s="3"/>
    </row>
    <row r="76" spans="1:9" x14ac:dyDescent="0.15">
      <c r="A76" t="s">
        <v>209</v>
      </c>
      <c r="B76" s="3"/>
      <c r="C76" s="3"/>
    </row>
    <row r="77" spans="1:9" x14ac:dyDescent="0.15">
      <c r="A77" t="s">
        <v>210</v>
      </c>
      <c r="B77" s="3"/>
      <c r="C77" s="3"/>
    </row>
    <row r="78" spans="1:9" x14ac:dyDescent="0.15">
      <c r="A78" t="s">
        <v>211</v>
      </c>
      <c r="B78" s="3"/>
      <c r="C78" s="3"/>
    </row>
    <row r="79" spans="1:9" x14ac:dyDescent="0.15">
      <c r="A79" t="s">
        <v>212</v>
      </c>
      <c r="B79" s="3"/>
      <c r="C79" s="3"/>
    </row>
    <row r="80" spans="1:9" x14ac:dyDescent="0.15">
      <c r="A80" t="s">
        <v>213</v>
      </c>
      <c r="B80" s="3"/>
      <c r="C80" s="3"/>
    </row>
    <row r="81" spans="1:3" x14ac:dyDescent="0.15">
      <c r="A81" t="s">
        <v>214</v>
      </c>
      <c r="B81" s="3"/>
      <c r="C81" s="3"/>
    </row>
    <row r="82" spans="1:3" x14ac:dyDescent="0.15">
      <c r="A82" t="s">
        <v>215</v>
      </c>
      <c r="B82" s="3"/>
      <c r="C82" s="3"/>
    </row>
    <row r="83" spans="1:3" x14ac:dyDescent="0.15">
      <c r="A83" t="s">
        <v>216</v>
      </c>
      <c r="B83" s="3"/>
      <c r="C83" s="3"/>
    </row>
    <row r="84" spans="1:3" x14ac:dyDescent="0.15">
      <c r="A84" t="s">
        <v>217</v>
      </c>
      <c r="B84" s="3"/>
      <c r="C84" s="3"/>
    </row>
    <row r="85" spans="1:3" x14ac:dyDescent="0.15">
      <c r="A85" t="s">
        <v>218</v>
      </c>
      <c r="B85" s="3"/>
      <c r="C85" s="3"/>
    </row>
    <row r="86" spans="1:3" x14ac:dyDescent="0.15">
      <c r="A86" t="s">
        <v>219</v>
      </c>
      <c r="B86" s="3"/>
      <c r="C86" s="3"/>
    </row>
    <row r="87" spans="1:3" x14ac:dyDescent="0.15">
      <c r="A87" t="s">
        <v>220</v>
      </c>
      <c r="B87" s="3"/>
      <c r="C87" s="3"/>
    </row>
    <row r="88" spans="1:3" x14ac:dyDescent="0.15">
      <c r="A88" t="s">
        <v>221</v>
      </c>
      <c r="B88" s="3"/>
      <c r="C88" s="3"/>
    </row>
    <row r="89" spans="1:3" x14ac:dyDescent="0.15">
      <c r="A89" t="s">
        <v>222</v>
      </c>
      <c r="B89" s="3"/>
      <c r="C89" s="3"/>
    </row>
    <row r="90" spans="1:3" x14ac:dyDescent="0.15">
      <c r="A90" t="s">
        <v>223</v>
      </c>
      <c r="B90" s="3"/>
      <c r="C90" s="3"/>
    </row>
  </sheetData>
  <sheetProtection algorithmName="SHA-512" hashValue="5G0AmqaoDrsIRuy5+I3R/L2IZTkzNtWi6TI3gjFgF23irMptfaaqq0HUvxAkprKqKmEVLraT5Rwbd9jNbOdcOw==" saltValue="eyHSNWMo9+kDPUMtBH3J0w=="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12">
      <formula>$D$62 = "Purchased"</formula>
    </cfRule>
  </conditionalFormatting>
  <conditionalFormatting sqref="D63 A63:A64 F63:F64 D64:E64">
    <cfRule type="expression" dxfId="18" priority="13">
      <formula>$D$62 = "Team Designed"</formula>
    </cfRule>
  </conditionalFormatting>
  <conditionalFormatting sqref="H53:H55">
    <cfRule type="expression" dxfId="17" priority="11">
      <formula>$D$62 = "Team Designed"</formula>
    </cfRule>
  </conditionalFormatting>
  <conditionalFormatting sqref="K14:K15 O14:O15">
    <cfRule type="expression" dxfId="16" priority="15">
      <formula>$O$10="Purchased"</formula>
    </cfRule>
  </conditionalFormatting>
  <conditionalFormatting sqref="K20 O20:P20">
    <cfRule type="expression" dxfId="15" priority="14">
      <formula>$O$19&lt;&gt;"Other"</formula>
    </cfRule>
  </conditionalFormatting>
  <conditionalFormatting sqref="K24 O24:Q24">
    <cfRule type="expression" dxfId="14" priority="5">
      <formula>$O$23="On cell terminal"</formula>
    </cfRule>
  </conditionalFormatting>
  <conditionalFormatting sqref="K11:L11 N11:O11">
    <cfRule type="expression" dxfId="13" priority="16">
      <formula>$O$10="Team Built"</formula>
    </cfRule>
  </conditionalFormatting>
  <conditionalFormatting sqref="Q53:Q54">
    <cfRule type="expression" dxfId="12" priority="10">
      <formula>$D$62 = "Team Designed"</formula>
    </cfRule>
  </conditionalFormatting>
  <conditionalFormatting sqref="R11:W12">
    <cfRule type="expression" dxfId="11" priority="18">
      <formula>$E$3 ="Series"</formula>
    </cfRule>
  </conditionalFormatting>
  <conditionalFormatting sqref="V12">
    <cfRule type="expression" dxfId="10" priority="17">
      <formula>$N$23="On cell terminal"</formula>
    </cfRule>
  </conditionalFormatting>
  <conditionalFormatting sqref="Z53:Z54">
    <cfRule type="expression" dxfId="9" priority="9">
      <formula>$D$62 = "Team Designed"</formula>
    </cfRule>
  </conditionalFormatting>
  <conditionalFormatting sqref="AI53">
    <cfRule type="expression" dxfId="8" priority="8">
      <formula>$D$62 = "Team Designed"</formula>
    </cfRule>
  </conditionalFormatting>
  <conditionalFormatting sqref="AR53">
    <cfRule type="expression" dxfId="7" priority="7">
      <formula>$D$62 = "Team Designed"</formula>
    </cfRule>
  </conditionalFormatting>
  <conditionalFormatting sqref="BA53">
    <cfRule type="expression" dxfId="6" priority="6">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125" zoomScaleNormal="100" workbookViewId="0">
      <selection activeCell="M19" sqref="M19"/>
    </sheetView>
  </sheetViews>
  <sheetFormatPr baseColWidth="10" defaultColWidth="8.7109375" defaultRowHeight="14" x14ac:dyDescent="0.15"/>
  <cols>
    <col min="1" max="3" width="8.7109375" style="2" customWidth="1"/>
    <col min="4" max="4" width="8.85546875" style="2" bestFit="1" customWidth="1"/>
    <col min="5" max="16384" width="8.7109375" style="2"/>
  </cols>
  <sheetData>
    <row r="1" spans="1:20" x14ac:dyDescent="0.15">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40" t="s">
        <v>108</v>
      </c>
      <c r="B2" s="40"/>
      <c r="C2" s="40"/>
      <c r="D2" s="40"/>
      <c r="E2" s="40"/>
      <c r="F2" s="13" t="str">
        <f ca="1">IF(COUNTIF(F3:F22, "="&amp;IncompleteText), IncompleteText, IF(COUNTIF(F3:F22, "="&amp;ErrorText), ErrorText, OKText))</f>
        <v>OK</v>
      </c>
      <c r="G2" s="40" t="s">
        <v>109</v>
      </c>
      <c r="H2" s="40"/>
      <c r="I2" s="40"/>
      <c r="J2" s="40"/>
      <c r="K2" s="40"/>
      <c r="L2" s="13" t="str">
        <f ca="1">IF(COUNTIF(L3:L16, "="&amp;IncompleteText), IncompleteText, IF(COUNTIF(L3:L16, "="&amp;ErrorText), ErrorText, OKText))</f>
        <v>OK</v>
      </c>
      <c r="M2" s="40" t="s">
        <v>224</v>
      </c>
      <c r="N2" s="40"/>
      <c r="O2" s="40"/>
      <c r="P2" s="40"/>
      <c r="Q2" s="40"/>
      <c r="R2" s="13" t="str">
        <f ca="1">IF(COUNTIF(R3:R8, "="&amp;IncompleteText), IncompleteText, IF(COUNTIF(R3:R8, "="&amp;ErrorText), ErrorText, OKText))</f>
        <v>OK</v>
      </c>
      <c r="S2" s="81" t="s">
        <v>48</v>
      </c>
      <c r="T2" s="117"/>
    </row>
    <row r="3" spans="1:20" x14ac:dyDescent="0.15">
      <c r="A3" s="62" t="s">
        <v>225</v>
      </c>
      <c r="B3" s="62"/>
      <c r="C3" s="63"/>
      <c r="D3" s="88" t="s">
        <v>469</v>
      </c>
      <c r="E3" s="89"/>
      <c r="F3" s="13" t="str">
        <f>IF(ISBLANK(D3), IncompleteText, OKText)</f>
        <v>OK</v>
      </c>
      <c r="G3" s="62" t="s">
        <v>225</v>
      </c>
      <c r="H3" s="62"/>
      <c r="I3" s="63"/>
      <c r="J3" s="88" t="s">
        <v>503</v>
      </c>
      <c r="K3" s="89"/>
      <c r="L3" s="13" t="str">
        <f>IF(ISBLANK(J3), IncompleteText, OKText)</f>
        <v>OK</v>
      </c>
      <c r="M3" s="62" t="s">
        <v>225</v>
      </c>
      <c r="N3" s="62"/>
      <c r="O3" s="63"/>
      <c r="P3" s="88" t="s">
        <v>473</v>
      </c>
      <c r="Q3" s="89"/>
      <c r="R3" s="13" t="str">
        <f>IF(ISBLANK(P3), IncompleteText, OKText)</f>
        <v>OK</v>
      </c>
      <c r="S3" s="119" t="s">
        <v>226</v>
      </c>
      <c r="T3" s="119"/>
    </row>
    <row r="4" spans="1:20" x14ac:dyDescent="0.15">
      <c r="A4" s="62" t="s">
        <v>227</v>
      </c>
      <c r="B4" s="62"/>
      <c r="C4" s="63"/>
      <c r="D4" s="3">
        <v>2</v>
      </c>
      <c r="E4"/>
      <c r="F4" s="13" t="str">
        <f>IF(ISBLANK(D4), IncompleteText, OKText)</f>
        <v>OK</v>
      </c>
      <c r="G4" s="62" t="s">
        <v>227</v>
      </c>
      <c r="H4" s="62"/>
      <c r="I4" s="63"/>
      <c r="J4" s="3">
        <v>4</v>
      </c>
      <c r="K4"/>
      <c r="L4" s="13" t="str">
        <f>IF(ISBLANK(J4), IncompleteText, OKText)</f>
        <v>OK</v>
      </c>
      <c r="M4" s="62" t="s">
        <v>227</v>
      </c>
      <c r="N4" s="62"/>
      <c r="O4" s="63"/>
      <c r="P4" s="64">
        <v>1</v>
      </c>
      <c r="Q4" s="64"/>
      <c r="R4" s="13" t="str">
        <f>IF(ISBLANK(P4), IncompleteText, OKText)</f>
        <v>OK</v>
      </c>
      <c r="S4" s="120"/>
      <c r="T4" s="120"/>
    </row>
    <row r="5" spans="1:20" x14ac:dyDescent="0.15">
      <c r="A5" s="62" t="s">
        <v>228</v>
      </c>
      <c r="B5" s="62"/>
      <c r="C5" s="63"/>
      <c r="D5" s="3">
        <v>1</v>
      </c>
      <c r="E5"/>
      <c r="F5" s="13" t="str">
        <f>IF(ISBLANK(D5), IncompleteText, OKText)</f>
        <v>OK</v>
      </c>
      <c r="G5" s="62" t="s">
        <v>228</v>
      </c>
      <c r="H5" s="62"/>
      <c r="I5" s="63"/>
      <c r="J5" s="3">
        <v>1</v>
      </c>
      <c r="K5"/>
      <c r="L5" s="13" t="str">
        <f>IF(ISBLANK(J5), IncompleteText, OKText)</f>
        <v>OK</v>
      </c>
      <c r="M5" s="62" t="s">
        <v>228</v>
      </c>
      <c r="N5" s="62"/>
      <c r="O5" s="63"/>
      <c r="P5" s="64">
        <v>10</v>
      </c>
      <c r="Q5" s="64"/>
      <c r="R5" s="13" t="str">
        <f>IF(ISBLANK(P5), IncompleteText, OKText)</f>
        <v>OK</v>
      </c>
      <c r="S5" s="120"/>
      <c r="T5" s="120"/>
    </row>
    <row r="6" spans="1:20" x14ac:dyDescent="0.15">
      <c r="A6" s="62" t="s">
        <v>229</v>
      </c>
      <c r="B6" s="62"/>
      <c r="C6" s="63"/>
      <c r="D6" s="1">
        <f ca="1">VLOOKUP(D3, ResistorsTable, 5, )*D5/D4</f>
        <v>375</v>
      </c>
      <c r="E6" t="s">
        <v>230</v>
      </c>
      <c r="G6" s="62" t="s">
        <v>229</v>
      </c>
      <c r="H6" s="62"/>
      <c r="I6" s="63"/>
      <c r="J6" s="1">
        <f ca="1">VLOOKUP(J3, ResistorsTable, 5, )*J5/J4</f>
        <v>7500</v>
      </c>
      <c r="K6" t="s">
        <v>230</v>
      </c>
      <c r="M6" s="62" t="s">
        <v>229</v>
      </c>
      <c r="N6" s="62"/>
      <c r="O6" s="63"/>
      <c r="P6" s="1">
        <f ca="1">VLOOKUP(P3, ResistorsTable, 5, )*P5/P4</f>
        <v>15000</v>
      </c>
      <c r="Q6" t="s">
        <v>230</v>
      </c>
      <c r="R6" s="13" t="str">
        <f ca="1">IF(MaxTSVoltage&lt;=200,IF(P6=5000, OKText, ErrorText),IF(MaxTSVoltage &gt; 400, IF(P6=15000, OKText, ErrorText), IF(P6=10000, OKText, ErrorText)))</f>
        <v>OK</v>
      </c>
      <c r="S6" s="120"/>
      <c r="T6" s="120"/>
    </row>
    <row r="7" spans="1:20" x14ac:dyDescent="0.15">
      <c r="A7" s="62" t="s">
        <v>231</v>
      </c>
      <c r="B7" s="62"/>
      <c r="C7" s="63"/>
      <c r="D7" s="1">
        <f ca="1">VLOOKUP(D3, ResistorsTable, 6, FALSE)*D4*D5</f>
        <v>40</v>
      </c>
      <c r="E7" t="s">
        <v>232</v>
      </c>
      <c r="G7" s="62" t="s">
        <v>231</v>
      </c>
      <c r="H7" s="62"/>
      <c r="I7" s="63"/>
      <c r="J7" s="1">
        <f ca="1">VLOOKUP(J3, ResistorsTable, 6, FALSE)*J4*J5</f>
        <v>36</v>
      </c>
      <c r="K7" t="s">
        <v>232</v>
      </c>
      <c r="M7" s="62" t="s">
        <v>231</v>
      </c>
      <c r="N7" s="62"/>
      <c r="O7" s="63"/>
      <c r="P7" s="1">
        <f ca="1">VLOOKUP(P3, ResistorsTable, 6, FALSE)*P5*P4</f>
        <v>30</v>
      </c>
      <c r="Q7" t="s">
        <v>232</v>
      </c>
      <c r="R7" s="13" t="str">
        <f ca="1">IF(P7&lt;MaxTSVoltage^2/P6, ErrorText, OKText)</f>
        <v>OK</v>
      </c>
      <c r="S7" s="120"/>
      <c r="T7" s="120"/>
    </row>
    <row r="8" spans="1:20" x14ac:dyDescent="0.15">
      <c r="A8" s="62" t="s">
        <v>233</v>
      </c>
      <c r="B8" s="62"/>
      <c r="C8" s="63"/>
      <c r="D8" s="1">
        <f ca="1">VLOOKUP(D3, ResistorsTable, 7, FALSE)*D4*D5</f>
        <v>400</v>
      </c>
      <c r="E8" t="s">
        <v>232</v>
      </c>
      <c r="G8" s="62" t="s">
        <v>233</v>
      </c>
      <c r="H8" s="62"/>
      <c r="I8" s="63"/>
      <c r="J8" s="1">
        <f ca="1">VLOOKUP(J3, ResistorsTable, 7, FALSE)*J4*J5</f>
        <v>36</v>
      </c>
      <c r="K8" t="s">
        <v>232</v>
      </c>
      <c r="L8" s="13" t="str">
        <f ca="1">IF(J8&lt;MaxTSVoltage^2/DischargeRes, ErrorText, OKText)</f>
        <v>OK</v>
      </c>
      <c r="M8" s="62" t="s">
        <v>234</v>
      </c>
      <c r="N8" s="62"/>
      <c r="O8" s="63"/>
      <c r="P8" s="1">
        <f ca="1">VLOOKUP(P3, ResistorsTable, 4, FALSE)*P5</f>
        <v>7500</v>
      </c>
      <c r="Q8" t="s">
        <v>15</v>
      </c>
      <c r="R8" s="13" t="str">
        <f ca="1">IF(P8&lt;MaxTSVoltage, ErrorText, OKText)</f>
        <v>OK</v>
      </c>
      <c r="S8" s="120"/>
      <c r="T8" s="120"/>
    </row>
    <row r="9" spans="1:20" x14ac:dyDescent="0.15">
      <c r="A9" s="62" t="s">
        <v>234</v>
      </c>
      <c r="B9" s="62"/>
      <c r="C9" s="63"/>
      <c r="D9" s="1">
        <f ca="1">VLOOKUP(D3, ResistorsTable, 4, FALSE)*D5</f>
        <v>750</v>
      </c>
      <c r="E9" t="s">
        <v>15</v>
      </c>
      <c r="F9" s="13" t="str">
        <f ca="1">IF(D9&lt;MaxTSVoltage, ErrorText, OKText)</f>
        <v>OK</v>
      </c>
      <c r="G9" s="62" t="s">
        <v>234</v>
      </c>
      <c r="H9" s="62"/>
      <c r="I9" s="63"/>
      <c r="J9" s="1">
        <f ca="1">VLOOKUP(J3, ResistorsTable, 4, FALSE)*J5</f>
        <v>750</v>
      </c>
      <c r="K9" t="s">
        <v>15</v>
      </c>
      <c r="L9" s="13" t="str">
        <f ca="1">IF(J9&lt;MaxTSVoltage, ErrorText, OKText)</f>
        <v>OK</v>
      </c>
    </row>
    <row r="10" spans="1:20" x14ac:dyDescent="0.15">
      <c r="A10" s="62" t="s">
        <v>235</v>
      </c>
      <c r="B10" s="62"/>
      <c r="C10" s="63"/>
      <c r="D10" s="27">
        <v>0.28000000000000003</v>
      </c>
      <c r="E10" t="s">
        <v>236</v>
      </c>
      <c r="F10" s="13" t="str">
        <f>IF(ISBLANK(BusCap), IncompleteText, OKText)</f>
        <v>OK</v>
      </c>
      <c r="G10" s="62" t="s">
        <v>237</v>
      </c>
      <c r="H10" s="62"/>
      <c r="I10" s="63"/>
      <c r="J10" s="1">
        <f ca="1">MaxTSVoltage^2/DischargeRes</f>
        <v>21.676032000000006</v>
      </c>
      <c r="K10" t="s">
        <v>232</v>
      </c>
    </row>
    <row r="11" spans="1:20" x14ac:dyDescent="0.15">
      <c r="A11" s="62" t="s">
        <v>238</v>
      </c>
      <c r="B11" s="62"/>
      <c r="C11" s="63"/>
      <c r="D11" s="56" t="s">
        <v>470</v>
      </c>
      <c r="E11" s="56"/>
      <c r="F11" s="13" t="str">
        <f>IF(ISBLANK(D11), IncompleteText, OKText)</f>
        <v>OK</v>
      </c>
      <c r="G11" s="62" t="s">
        <v>239</v>
      </c>
      <c r="H11" s="62"/>
      <c r="I11" s="63"/>
      <c r="J11" s="5">
        <f ca="1">MaxTSVoltage/DischargeRes</f>
        <v>5.3760000000000009E-2</v>
      </c>
      <c r="K11" t="s">
        <v>17</v>
      </c>
    </row>
    <row r="12" spans="1:20" x14ac:dyDescent="0.15">
      <c r="A12" s="62" t="s">
        <v>240</v>
      </c>
      <c r="B12" s="62"/>
      <c r="C12" s="63"/>
      <c r="D12" s="3">
        <v>2.1</v>
      </c>
      <c r="E12" t="s">
        <v>241</v>
      </c>
      <c r="F12" s="13" t="str">
        <f ca="1">IF(D11&lt;&gt;"Time", "", IF(ISBLANK(D12), IncompleteText, IF(D12 &lt; MAX(D17*2, D17+0.5), ErrorText, OKText)))</f>
        <v>OK</v>
      </c>
      <c r="G12" s="62" t="s">
        <v>242</v>
      </c>
      <c r="H12" s="62"/>
      <c r="I12" s="62"/>
      <c r="J12" s="1">
        <f ca="1">-LN(60/MaxTSVoltage)*DischargeRes*(BusCap/1000)</f>
        <v>4.0006851245236232</v>
      </c>
      <c r="K12" t="s">
        <v>243</v>
      </c>
    </row>
    <row r="13" spans="1:20" x14ac:dyDescent="0.15">
      <c r="A13" s="62" t="s">
        <v>244</v>
      </c>
      <c r="B13" s="62"/>
      <c r="C13" s="63"/>
      <c r="D13" s="3"/>
      <c r="E13" t="s">
        <v>15</v>
      </c>
      <c r="F13" s="13" t="str">
        <f>IF(D11&lt;&gt;"Delta Voltage", "", IF(ISBLANK(D13), IncompleteText, IF(D13 &gt; MaxTSVoltage*0.1, ErrorText, OKText)))</f>
        <v/>
      </c>
      <c r="G13" s="62" t="s">
        <v>245</v>
      </c>
      <c r="H13" s="62"/>
      <c r="I13" s="63"/>
      <c r="J13" s="56" t="s">
        <v>472</v>
      </c>
      <c r="K13" s="56"/>
      <c r="L13" s="13" t="str">
        <f>IF(ISBLANK(J13), IncompleteText, OKText)</f>
        <v>OK</v>
      </c>
    </row>
    <row r="14" spans="1:20" x14ac:dyDescent="0.15">
      <c r="A14" s="62" t="s">
        <v>246</v>
      </c>
      <c r="B14" s="62"/>
      <c r="C14" s="63"/>
      <c r="D14" s="3"/>
      <c r="E14" t="s">
        <v>169</v>
      </c>
      <c r="F14" s="13" t="str">
        <f>IF(D11&lt;&gt;"Ratio", "", IF(ISBLANK(D14), IncompleteText, IF(D14 &lt; 90, ErrorText, OKText)))</f>
        <v/>
      </c>
      <c r="G14" s="62" t="s">
        <v>247</v>
      </c>
      <c r="H14" s="62"/>
      <c r="I14" s="63"/>
      <c r="J14" s="1">
        <f ca="1">VLOOKUP(J13, ContactorsTable, 4, FALSE)</f>
        <v>1500</v>
      </c>
      <c r="K14" t="s">
        <v>15</v>
      </c>
      <c r="L14" s="13" t="str">
        <f ca="1">IF(J14&lt;MaxTSVoltage, ErrorText, OKText)</f>
        <v>OK</v>
      </c>
    </row>
    <row r="15" spans="1:20" x14ac:dyDescent="0.15">
      <c r="A15" s="62" t="s">
        <v>237</v>
      </c>
      <c r="B15" s="62"/>
      <c r="C15" s="63"/>
      <c r="D15" s="1">
        <f ca="1">MaxTSVoltage^2/PrechargeRes</f>
        <v>433.52064000000013</v>
      </c>
      <c r="E15" t="s">
        <v>232</v>
      </c>
      <c r="G15" s="62" t="s">
        <v>248</v>
      </c>
      <c r="H15" s="62"/>
      <c r="I15" s="63"/>
      <c r="J15" s="1">
        <f ca="1">VLOOKUP(J13, ContactorsTable, 5, FALSE)</f>
        <v>30</v>
      </c>
      <c r="K15" t="s">
        <v>17</v>
      </c>
      <c r="L15" s="13" t="str">
        <f ca="1">IF(J15&lt;J11, ErrorText, OKText)</f>
        <v>OK</v>
      </c>
    </row>
    <row r="16" spans="1:20" x14ac:dyDescent="0.15">
      <c r="A16" s="62" t="s">
        <v>239</v>
      </c>
      <c r="B16" s="62"/>
      <c r="C16" s="63"/>
      <c r="D16" s="5">
        <f ca="1">MaxTSVoltage/PrechargeRes</f>
        <v>1.0752000000000002</v>
      </c>
      <c r="E16" t="s">
        <v>17</v>
      </c>
      <c r="G16" s="62" t="s">
        <v>356</v>
      </c>
      <c r="H16" s="62"/>
      <c r="I16" s="63"/>
      <c r="J16" s="1" t="str">
        <f ca="1">VLOOKUP(J13, ContactorsTable, 7, FALSE)</f>
        <v>NC</v>
      </c>
      <c r="K16"/>
      <c r="L16" s="13" t="str">
        <f ca="1">IF(J16&lt;&gt; "NC", ErrorText, OKText)</f>
        <v>OK</v>
      </c>
    </row>
    <row r="17" spans="1:8" x14ac:dyDescent="0.15">
      <c r="A17" s="62" t="s">
        <v>249</v>
      </c>
      <c r="B17" s="62"/>
      <c r="C17" s="63"/>
      <c r="D17" s="5">
        <f ca="1">-LN(0.1)*(BusCap/1000)*PrechargeRes</f>
        <v>0.24177143476437482</v>
      </c>
      <c r="E17" t="s">
        <v>241</v>
      </c>
      <c r="G17" s="81" t="s">
        <v>48</v>
      </c>
      <c r="H17" s="117"/>
    </row>
    <row r="18" spans="1:8" x14ac:dyDescent="0.15">
      <c r="A18" s="65" t="s">
        <v>250</v>
      </c>
      <c r="B18" s="65"/>
      <c r="C18" s="118"/>
      <c r="D18" s="5">
        <f ca="1">MaxTSVoltage^2*(BusCap/1000)/2*(1-EXP(-D17*2/(PrechargeRes*(BusCap/1000))))</f>
        <v>22.532235264000011</v>
      </c>
      <c r="E18" t="s">
        <v>251</v>
      </c>
      <c r="G18" s="34" t="s">
        <v>107</v>
      </c>
      <c r="H18" s="34"/>
    </row>
    <row r="19" spans="1:8" x14ac:dyDescent="0.15">
      <c r="A19" s="62" t="s">
        <v>252</v>
      </c>
      <c r="B19" s="62"/>
      <c r="C19" s="63"/>
      <c r="D19" s="6">
        <f ca="1">D18/D17</f>
        <v>93.196432762867275</v>
      </c>
      <c r="E19" t="s">
        <v>232</v>
      </c>
    </row>
    <row r="20" spans="1:8" x14ac:dyDescent="0.15">
      <c r="A20" s="62" t="s">
        <v>245</v>
      </c>
      <c r="B20" s="62"/>
      <c r="C20" s="63"/>
      <c r="D20" s="56" t="s">
        <v>471</v>
      </c>
      <c r="E20" s="56"/>
      <c r="F20" s="13" t="str">
        <f>IF(ISBLANK(D20), IncompleteText, OKText)</f>
        <v>OK</v>
      </c>
    </row>
    <row r="21" spans="1:8" x14ac:dyDescent="0.15">
      <c r="A21" s="62" t="s">
        <v>247</v>
      </c>
      <c r="B21" s="62"/>
      <c r="C21" s="63"/>
      <c r="D21" s="1">
        <f ca="1">VLOOKUP(D20, ContactorsTable, 4, FALSE)</f>
        <v>1500</v>
      </c>
      <c r="E21" t="s">
        <v>15</v>
      </c>
      <c r="F21" s="13" t="str">
        <f ca="1">IF(D21&lt;MaxTSVoltage, ErrorText, OKText)</f>
        <v>OK</v>
      </c>
    </row>
    <row r="22" spans="1:8" x14ac:dyDescent="0.15">
      <c r="A22" s="62" t="s">
        <v>248</v>
      </c>
      <c r="B22" s="62"/>
      <c r="C22" s="63"/>
      <c r="D22" s="1">
        <f ca="1">VLOOKUP(D20, ContactorsTable, 5, FALSE)</f>
        <v>50</v>
      </c>
      <c r="E22" t="s">
        <v>17</v>
      </c>
      <c r="F22" s="13" t="str">
        <f ca="1">IF(D22&lt;D16, ErrorText, OKText)</f>
        <v>OK</v>
      </c>
    </row>
    <row r="24" spans="1:8" x14ac:dyDescent="0.15">
      <c r="A24" s="55" t="s">
        <v>18</v>
      </c>
      <c r="B24" s="55"/>
      <c r="C24" s="55"/>
      <c r="D24" s="55"/>
      <c r="E24" s="55"/>
      <c r="F24" s="55"/>
      <c r="G24" s="55"/>
    </row>
    <row r="25" spans="1:8" x14ac:dyDescent="0.15">
      <c r="A25" s="46" t="s">
        <v>474</v>
      </c>
      <c r="B25" s="47"/>
      <c r="C25" s="47"/>
      <c r="D25" s="47"/>
      <c r="E25" s="47"/>
      <c r="F25" s="47"/>
      <c r="G25" s="48"/>
    </row>
    <row r="26" spans="1:8" x14ac:dyDescent="0.15">
      <c r="A26" s="49"/>
      <c r="B26" s="50"/>
      <c r="C26" s="50"/>
      <c r="D26" s="50"/>
      <c r="E26" s="50"/>
      <c r="F26" s="50"/>
      <c r="G26" s="51"/>
    </row>
    <row r="27" spans="1:8" x14ac:dyDescent="0.15">
      <c r="A27" s="49"/>
      <c r="B27" s="50"/>
      <c r="C27" s="50"/>
      <c r="D27" s="50"/>
      <c r="E27" s="50"/>
      <c r="F27" s="50"/>
      <c r="G27" s="51"/>
    </row>
    <row r="28" spans="1:8" x14ac:dyDescent="0.15">
      <c r="A28" s="49"/>
      <c r="B28" s="50"/>
      <c r="C28" s="50"/>
      <c r="D28" s="50"/>
      <c r="E28" s="50"/>
      <c r="F28" s="50"/>
      <c r="G28" s="51"/>
    </row>
    <row r="29" spans="1:8" x14ac:dyDescent="0.15">
      <c r="A29" s="49"/>
      <c r="B29" s="50"/>
      <c r="C29" s="50"/>
      <c r="D29" s="50"/>
      <c r="E29" s="50"/>
      <c r="F29" s="50"/>
      <c r="G29" s="51"/>
    </row>
    <row r="30" spans="1:8" x14ac:dyDescent="0.15">
      <c r="A30" s="49"/>
      <c r="B30" s="50"/>
      <c r="C30" s="50"/>
      <c r="D30" s="50"/>
      <c r="E30" s="50"/>
      <c r="F30" s="50"/>
      <c r="G30" s="51"/>
    </row>
    <row r="31" spans="1:8" x14ac:dyDescent="0.15">
      <c r="A31" s="49"/>
      <c r="B31" s="50"/>
      <c r="C31" s="50"/>
      <c r="D31" s="50"/>
      <c r="E31" s="50"/>
      <c r="F31" s="50"/>
      <c r="G31" s="51"/>
    </row>
    <row r="32" spans="1:8" x14ac:dyDescent="0.15">
      <c r="A32" s="49"/>
      <c r="B32" s="50"/>
      <c r="C32" s="50"/>
      <c r="D32" s="50"/>
      <c r="E32" s="50"/>
      <c r="F32" s="50"/>
      <c r="G32" s="51"/>
    </row>
    <row r="33" spans="1:7" x14ac:dyDescent="0.15">
      <c r="A33" s="49"/>
      <c r="B33" s="50"/>
      <c r="C33" s="50"/>
      <c r="D33" s="50"/>
      <c r="E33" s="50"/>
      <c r="F33" s="50"/>
      <c r="G33" s="51"/>
    </row>
    <row r="34" spans="1:7" x14ac:dyDescent="0.15">
      <c r="A34" s="49"/>
      <c r="B34" s="50"/>
      <c r="C34" s="50"/>
      <c r="D34" s="50"/>
      <c r="E34" s="50"/>
      <c r="F34" s="50"/>
      <c r="G34" s="51"/>
    </row>
    <row r="35" spans="1:7" x14ac:dyDescent="0.15">
      <c r="A35" s="49"/>
      <c r="B35" s="50"/>
      <c r="C35" s="50"/>
      <c r="D35" s="50"/>
      <c r="E35" s="50"/>
      <c r="F35" s="50"/>
      <c r="G35" s="51"/>
    </row>
    <row r="36" spans="1:7" x14ac:dyDescent="0.15">
      <c r="A36" s="49"/>
      <c r="B36" s="50"/>
      <c r="C36" s="50"/>
      <c r="D36" s="50"/>
      <c r="E36" s="50"/>
      <c r="F36" s="50"/>
      <c r="G36" s="51"/>
    </row>
    <row r="37" spans="1:7" x14ac:dyDescent="0.15">
      <c r="A37" s="49"/>
      <c r="B37" s="50"/>
      <c r="C37" s="50"/>
      <c r="D37" s="50"/>
      <c r="E37" s="50"/>
      <c r="F37" s="50"/>
      <c r="G37" s="51"/>
    </row>
    <row r="38" spans="1:7" x14ac:dyDescent="0.15">
      <c r="A38" s="49"/>
      <c r="B38" s="50"/>
      <c r="C38" s="50"/>
      <c r="D38" s="50"/>
      <c r="E38" s="50"/>
      <c r="F38" s="50"/>
      <c r="G38" s="51"/>
    </row>
    <row r="39" spans="1:7" x14ac:dyDescent="0.15">
      <c r="A39" s="49"/>
      <c r="B39" s="50"/>
      <c r="C39" s="50"/>
      <c r="D39" s="50"/>
      <c r="E39" s="50"/>
      <c r="F39" s="50"/>
      <c r="G39" s="51"/>
    </row>
    <row r="40" spans="1:7" x14ac:dyDescent="0.15">
      <c r="A40" s="52"/>
      <c r="B40" s="53"/>
      <c r="C40" s="53"/>
      <c r="D40" s="53"/>
      <c r="E40" s="53"/>
      <c r="F40" s="53"/>
      <c r="G40" s="54"/>
    </row>
  </sheetData>
  <sheetProtection algorithmName="SHA-512" hashValue="Uie6Up9mZNuuOviMksw684vE7s2Tx9rN8euwciuXDm6BEptKmEKT2718jjHXkQWjacPi1WWG+8sEBdw4GXCp3A==" saltValue="caFEWMACSrtFVdwIMA4kog=="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zoomScale="139" zoomScaleNormal="190" workbookViewId="0">
      <pane ySplit="1" topLeftCell="A8" activePane="bottomLeft" state="frozen"/>
      <selection pane="bottomLeft" activeCell="D10" sqref="D10"/>
    </sheetView>
  </sheetViews>
  <sheetFormatPr baseColWidth="10" defaultColWidth="8.7109375" defaultRowHeight="14" x14ac:dyDescent="0.15"/>
  <cols>
    <col min="1" max="16384" width="8.7109375" style="2"/>
  </cols>
  <sheetData>
    <row r="1" spans="1:17" x14ac:dyDescent="0.15">
      <c r="A1" s="28" t="s">
        <v>1</v>
      </c>
      <c r="B1" s="13" t="str" cm="1">
        <f t="array" aca="1" ref="B1" ca="1">IF(SUM(COUNTIF(INDIRECT({"Charging!$F$2","Charging!$H$32","Charging!$Q$32"}), "="&amp;IncompleteText)), IncompleteText, IF(SUM(COUNTIF(INDIRECT({"Charging!$F$2","Charging!$H$32","Charging!$Q$32"}), "="&amp;ErrorText)), ErrorText, OKText))</f>
        <v>BLANK</v>
      </c>
    </row>
    <row r="2" spans="1:17" x14ac:dyDescent="0.15">
      <c r="A2" s="40" t="s">
        <v>253</v>
      </c>
      <c r="B2" s="40"/>
      <c r="C2" s="40"/>
      <c r="D2" s="40"/>
      <c r="E2" s="40"/>
      <c r="F2" s="13" t="str">
        <f>IF(COUNTIF(F3:F11, "="&amp;IncompleteText), IncompleteText, IF(COUNTIF(F3:F11, "="&amp;ErrorText), ErrorText, OKText))</f>
        <v>OK</v>
      </c>
      <c r="H2" s="40" t="s">
        <v>18</v>
      </c>
      <c r="I2" s="40"/>
      <c r="J2" s="40"/>
      <c r="K2" s="40"/>
      <c r="L2" s="40"/>
      <c r="M2" s="40"/>
      <c r="N2" s="40"/>
    </row>
    <row r="3" spans="1:17" x14ac:dyDescent="0.15">
      <c r="A3" s="62" t="s">
        <v>26</v>
      </c>
      <c r="B3" s="62"/>
      <c r="C3" s="63"/>
      <c r="D3" s="88" t="s">
        <v>510</v>
      </c>
      <c r="E3" s="89"/>
      <c r="F3" s="13" t="str">
        <f t="shared" ref="F3:F11" si="0">IF(ISBLANK(D3), IncompleteText, OKText)</f>
        <v>OK</v>
      </c>
      <c r="H3" s="47"/>
      <c r="I3" s="47"/>
      <c r="J3" s="47"/>
      <c r="K3" s="47"/>
      <c r="L3" s="47"/>
      <c r="M3" s="47"/>
      <c r="N3" s="47"/>
    </row>
    <row r="4" spans="1:17" x14ac:dyDescent="0.15">
      <c r="A4" s="62" t="s">
        <v>27</v>
      </c>
      <c r="B4" s="62"/>
      <c r="C4" s="62"/>
      <c r="D4" s="145" t="s">
        <v>511</v>
      </c>
      <c r="E4" s="56"/>
      <c r="F4" s="13" t="str">
        <f t="shared" si="0"/>
        <v>OK</v>
      </c>
      <c r="H4" s="50"/>
      <c r="I4" s="50"/>
      <c r="J4" s="50"/>
      <c r="K4" s="50"/>
      <c r="L4" s="50"/>
      <c r="M4" s="50"/>
      <c r="N4" s="50"/>
    </row>
    <row r="5" spans="1:17" x14ac:dyDescent="0.15">
      <c r="A5" s="62" t="s">
        <v>38</v>
      </c>
      <c r="B5" s="62"/>
      <c r="C5" s="63"/>
      <c r="D5" s="56" t="s">
        <v>475</v>
      </c>
      <c r="E5" s="56"/>
      <c r="F5" s="13" t="str">
        <f t="shared" si="0"/>
        <v>OK</v>
      </c>
      <c r="H5" s="50"/>
      <c r="I5" s="50"/>
      <c r="J5" s="50"/>
      <c r="K5" s="50"/>
      <c r="L5" s="50"/>
      <c r="M5" s="50"/>
      <c r="N5" s="50"/>
    </row>
    <row r="6" spans="1:17" x14ac:dyDescent="0.15">
      <c r="A6" s="62" t="s">
        <v>254</v>
      </c>
      <c r="B6" s="62"/>
      <c r="C6" s="63"/>
      <c r="D6" s="27" t="s">
        <v>512</v>
      </c>
      <c r="E6" s="29" t="s">
        <v>15</v>
      </c>
      <c r="F6" s="13" t="str">
        <f t="shared" si="0"/>
        <v>OK</v>
      </c>
      <c r="H6" s="50"/>
      <c r="I6" s="50"/>
      <c r="J6" s="50"/>
      <c r="K6" s="50"/>
      <c r="L6" s="50"/>
      <c r="M6" s="50"/>
      <c r="N6" s="50"/>
    </row>
    <row r="7" spans="1:17" x14ac:dyDescent="0.15">
      <c r="A7" s="62" t="s">
        <v>255</v>
      </c>
      <c r="B7" s="62"/>
      <c r="C7" s="63"/>
      <c r="D7" s="27">
        <v>32</v>
      </c>
      <c r="E7" s="29" t="s">
        <v>17</v>
      </c>
      <c r="F7" s="13" t="str">
        <f t="shared" si="0"/>
        <v>OK</v>
      </c>
      <c r="H7" s="50"/>
      <c r="I7" s="50"/>
      <c r="J7" s="50"/>
      <c r="K7" s="50"/>
      <c r="L7" s="50"/>
      <c r="M7" s="50"/>
      <c r="N7" s="50"/>
    </row>
    <row r="8" spans="1:17" x14ac:dyDescent="0.15">
      <c r="A8" s="62" t="s">
        <v>256</v>
      </c>
      <c r="B8" s="62"/>
      <c r="C8" s="63"/>
      <c r="D8" s="27" t="s">
        <v>513</v>
      </c>
      <c r="E8" s="29" t="s">
        <v>15</v>
      </c>
      <c r="F8" s="13" t="str">
        <f t="shared" si="0"/>
        <v>OK</v>
      </c>
      <c r="H8" s="50"/>
      <c r="I8" s="50"/>
      <c r="J8" s="50"/>
      <c r="K8" s="50"/>
      <c r="L8" s="50"/>
      <c r="M8" s="50"/>
      <c r="N8" s="50"/>
    </row>
    <row r="9" spans="1:17" x14ac:dyDescent="0.15">
      <c r="A9" s="62" t="s">
        <v>257</v>
      </c>
      <c r="B9" s="62"/>
      <c r="C9" s="63"/>
      <c r="D9" s="27">
        <v>14</v>
      </c>
      <c r="E9" s="29" t="s">
        <v>17</v>
      </c>
      <c r="F9" s="13" t="str">
        <f t="shared" si="0"/>
        <v>OK</v>
      </c>
      <c r="H9" s="50"/>
      <c r="I9" s="50"/>
      <c r="J9" s="50"/>
      <c r="K9" s="50"/>
      <c r="L9" s="50"/>
      <c r="M9" s="50"/>
      <c r="N9" s="50"/>
    </row>
    <row r="10" spans="1:17" x14ac:dyDescent="0.15">
      <c r="A10" s="62" t="s">
        <v>258</v>
      </c>
      <c r="B10" s="62"/>
      <c r="C10" s="63"/>
      <c r="D10" s="27">
        <v>6.6</v>
      </c>
      <c r="E10" s="29" t="s">
        <v>259</v>
      </c>
      <c r="F10" s="13" t="str">
        <f t="shared" si="0"/>
        <v>OK</v>
      </c>
      <c r="H10" s="50"/>
      <c r="I10" s="50"/>
      <c r="J10" s="50"/>
      <c r="K10" s="50"/>
      <c r="L10" s="50"/>
      <c r="M10" s="50"/>
      <c r="N10" s="50"/>
    </row>
    <row r="11" spans="1:17" x14ac:dyDescent="0.15">
      <c r="A11" s="62" t="s">
        <v>260</v>
      </c>
      <c r="B11" s="62"/>
      <c r="C11" s="63"/>
      <c r="D11" s="88">
        <v>2000</v>
      </c>
      <c r="E11" s="89"/>
      <c r="F11" s="13" t="str">
        <f t="shared" si="0"/>
        <v>OK</v>
      </c>
    </row>
    <row r="13" spans="1:17" x14ac:dyDescent="0.15">
      <c r="A13" s="114" t="s">
        <v>261</v>
      </c>
      <c r="B13" s="114"/>
      <c r="C13" s="114"/>
      <c r="D13" s="114"/>
      <c r="E13" s="114"/>
      <c r="F13" s="114"/>
      <c r="G13" s="114"/>
      <c r="H13" s="114"/>
      <c r="J13" s="114" t="s">
        <v>262</v>
      </c>
      <c r="K13" s="114"/>
      <c r="L13" s="114"/>
      <c r="M13" s="114"/>
      <c r="N13" s="114"/>
      <c r="O13" s="114"/>
      <c r="P13" s="114"/>
      <c r="Q13" s="114"/>
    </row>
    <row r="14" spans="1:17" x14ac:dyDescent="0.15">
      <c r="A14" s="114"/>
      <c r="B14" s="114"/>
      <c r="C14" s="114"/>
      <c r="D14" s="114"/>
      <c r="E14" s="114"/>
      <c r="F14" s="114"/>
      <c r="G14" s="114"/>
      <c r="H14" s="114"/>
      <c r="J14" s="114"/>
      <c r="K14" s="114"/>
      <c r="L14" s="114"/>
      <c r="M14" s="114"/>
      <c r="N14" s="114"/>
      <c r="O14" s="114"/>
      <c r="P14" s="114"/>
      <c r="Q14" s="114"/>
    </row>
    <row r="15" spans="1:17" x14ac:dyDescent="0.15">
      <c r="A15" s="114"/>
      <c r="B15" s="114"/>
      <c r="C15" s="114"/>
      <c r="D15" s="114"/>
      <c r="E15" s="114"/>
      <c r="F15" s="114"/>
      <c r="G15" s="114"/>
      <c r="H15" s="114"/>
      <c r="J15" s="114"/>
      <c r="K15" s="114"/>
      <c r="L15" s="114"/>
      <c r="M15" s="114"/>
      <c r="N15" s="114"/>
      <c r="O15" s="114"/>
      <c r="P15" s="114"/>
      <c r="Q15" s="114"/>
    </row>
    <row r="16" spans="1:17" x14ac:dyDescent="0.15">
      <c r="A16" s="114"/>
      <c r="B16" s="114"/>
      <c r="C16" s="114"/>
      <c r="D16" s="114"/>
      <c r="E16" s="114"/>
      <c r="F16" s="114"/>
      <c r="G16" s="114"/>
      <c r="H16" s="114"/>
      <c r="J16" s="114"/>
      <c r="K16" s="114"/>
      <c r="L16" s="114"/>
      <c r="M16" s="114"/>
      <c r="N16" s="114"/>
      <c r="O16" s="114"/>
      <c r="P16" s="114"/>
      <c r="Q16" s="114"/>
    </row>
    <row r="17" spans="1:17" x14ac:dyDescent="0.15">
      <c r="A17" s="114"/>
      <c r="B17" s="114"/>
      <c r="C17" s="114"/>
      <c r="D17" s="114"/>
      <c r="E17" s="114"/>
      <c r="F17" s="114"/>
      <c r="G17" s="114"/>
      <c r="H17" s="114"/>
      <c r="J17" s="114"/>
      <c r="K17" s="114"/>
      <c r="L17" s="114"/>
      <c r="M17" s="114"/>
      <c r="N17" s="114"/>
      <c r="O17" s="114"/>
      <c r="P17" s="114"/>
      <c r="Q17" s="114"/>
    </row>
    <row r="18" spans="1:17" x14ac:dyDescent="0.15">
      <c r="A18" s="114"/>
      <c r="B18" s="114"/>
      <c r="C18" s="114"/>
      <c r="D18" s="114"/>
      <c r="E18" s="114"/>
      <c r="F18" s="114"/>
      <c r="G18" s="114"/>
      <c r="H18" s="114"/>
      <c r="J18" s="114"/>
      <c r="K18" s="114"/>
      <c r="L18" s="114"/>
      <c r="M18" s="114"/>
      <c r="N18" s="114"/>
      <c r="O18" s="114"/>
      <c r="P18" s="114"/>
      <c r="Q18" s="114"/>
    </row>
    <row r="19" spans="1:17" x14ac:dyDescent="0.15">
      <c r="A19" s="114"/>
      <c r="B19" s="114"/>
      <c r="C19" s="114"/>
      <c r="D19" s="114"/>
      <c r="E19" s="114"/>
      <c r="F19" s="114"/>
      <c r="G19" s="114"/>
      <c r="H19" s="114"/>
      <c r="J19" s="114"/>
      <c r="K19" s="114"/>
      <c r="L19" s="114"/>
      <c r="M19" s="114"/>
      <c r="N19" s="114"/>
      <c r="O19" s="114"/>
      <c r="P19" s="114"/>
      <c r="Q19" s="114"/>
    </row>
    <row r="20" spans="1:17" x14ac:dyDescent="0.15">
      <c r="A20" s="114"/>
      <c r="B20" s="114"/>
      <c r="C20" s="114"/>
      <c r="D20" s="114"/>
      <c r="E20" s="114"/>
      <c r="F20" s="114"/>
      <c r="G20" s="114"/>
      <c r="H20" s="114"/>
      <c r="J20" s="114"/>
      <c r="K20" s="114"/>
      <c r="L20" s="114"/>
      <c r="M20" s="114"/>
      <c r="N20" s="114"/>
      <c r="O20" s="114"/>
      <c r="P20" s="114"/>
      <c r="Q20" s="114"/>
    </row>
    <row r="21" spans="1:17" x14ac:dyDescent="0.15">
      <c r="A21" s="114"/>
      <c r="B21" s="114"/>
      <c r="C21" s="114"/>
      <c r="D21" s="114"/>
      <c r="E21" s="114"/>
      <c r="F21" s="114"/>
      <c r="G21" s="114"/>
      <c r="H21" s="114"/>
      <c r="J21" s="114"/>
      <c r="K21" s="114"/>
      <c r="L21" s="114"/>
      <c r="M21" s="114"/>
      <c r="N21" s="114"/>
      <c r="O21" s="114"/>
      <c r="P21" s="114"/>
      <c r="Q21" s="114"/>
    </row>
    <row r="22" spans="1:17" x14ac:dyDescent="0.15">
      <c r="A22" s="114"/>
      <c r="B22" s="114"/>
      <c r="C22" s="114"/>
      <c r="D22" s="114"/>
      <c r="E22" s="114"/>
      <c r="F22" s="114"/>
      <c r="G22" s="114"/>
      <c r="H22" s="114"/>
      <c r="J22" s="114"/>
      <c r="K22" s="114"/>
      <c r="L22" s="114"/>
      <c r="M22" s="114"/>
      <c r="N22" s="114"/>
      <c r="O22" s="114"/>
      <c r="P22" s="114"/>
      <c r="Q22" s="114"/>
    </row>
    <row r="23" spans="1:17" x14ac:dyDescent="0.15">
      <c r="A23" s="114"/>
      <c r="B23" s="114"/>
      <c r="C23" s="114"/>
      <c r="D23" s="114"/>
      <c r="E23" s="114"/>
      <c r="F23" s="114"/>
      <c r="G23" s="114"/>
      <c r="H23" s="114"/>
      <c r="J23" s="114"/>
      <c r="K23" s="114"/>
      <c r="L23" s="114"/>
      <c r="M23" s="114"/>
      <c r="N23" s="114"/>
      <c r="O23" s="114"/>
      <c r="P23" s="114"/>
      <c r="Q23" s="114"/>
    </row>
    <row r="24" spans="1:17" x14ac:dyDescent="0.15">
      <c r="A24" s="114"/>
      <c r="B24" s="114"/>
      <c r="C24" s="114"/>
      <c r="D24" s="114"/>
      <c r="E24" s="114"/>
      <c r="F24" s="114"/>
      <c r="G24" s="114"/>
      <c r="H24" s="114"/>
      <c r="J24" s="114"/>
      <c r="K24" s="114"/>
      <c r="L24" s="114"/>
      <c r="M24" s="114"/>
      <c r="N24" s="114"/>
      <c r="O24" s="114"/>
      <c r="P24" s="114"/>
      <c r="Q24" s="114"/>
    </row>
    <row r="25" spans="1:17" x14ac:dyDescent="0.15">
      <c r="A25" s="114"/>
      <c r="B25" s="114"/>
      <c r="C25" s="114"/>
      <c r="D25" s="114"/>
      <c r="E25" s="114"/>
      <c r="F25" s="114"/>
      <c r="G25" s="114"/>
      <c r="H25" s="114"/>
      <c r="J25" s="114"/>
      <c r="K25" s="114"/>
      <c r="L25" s="114"/>
      <c r="M25" s="114"/>
      <c r="N25" s="114"/>
      <c r="O25" s="114"/>
      <c r="P25" s="114"/>
      <c r="Q25" s="114"/>
    </row>
    <row r="26" spans="1:17" x14ac:dyDescent="0.15">
      <c r="A26" s="114"/>
      <c r="B26" s="114"/>
      <c r="C26" s="114"/>
      <c r="D26" s="114"/>
      <c r="E26" s="114"/>
      <c r="F26" s="114"/>
      <c r="G26" s="114"/>
      <c r="H26" s="114"/>
      <c r="J26" s="114"/>
      <c r="K26" s="114"/>
      <c r="L26" s="114"/>
      <c r="M26" s="114"/>
      <c r="N26" s="114"/>
      <c r="O26" s="114"/>
      <c r="P26" s="114"/>
      <c r="Q26" s="114"/>
    </row>
    <row r="27" spans="1:17" x14ac:dyDescent="0.15">
      <c r="A27" s="114"/>
      <c r="B27" s="114"/>
      <c r="C27" s="114"/>
      <c r="D27" s="114"/>
      <c r="E27" s="114"/>
      <c r="F27" s="114"/>
      <c r="G27" s="114"/>
      <c r="H27" s="114"/>
      <c r="J27" s="114"/>
      <c r="K27" s="114"/>
      <c r="L27" s="114"/>
      <c r="M27" s="114"/>
      <c r="N27" s="114"/>
      <c r="O27" s="114"/>
      <c r="P27" s="114"/>
      <c r="Q27" s="114"/>
    </row>
    <row r="28" spans="1:17" x14ac:dyDescent="0.15">
      <c r="A28" s="114"/>
      <c r="B28" s="114"/>
      <c r="C28" s="114"/>
      <c r="D28" s="114"/>
      <c r="E28" s="114"/>
      <c r="F28" s="114"/>
      <c r="G28" s="114"/>
      <c r="H28" s="114"/>
      <c r="J28" s="114"/>
      <c r="K28" s="114"/>
      <c r="L28" s="114"/>
      <c r="M28" s="114"/>
      <c r="N28" s="114"/>
      <c r="O28" s="114"/>
      <c r="P28" s="114"/>
      <c r="Q28" s="114"/>
    </row>
    <row r="29" spans="1:17" x14ac:dyDescent="0.15">
      <c r="A29" s="114"/>
      <c r="B29" s="114"/>
      <c r="C29" s="114"/>
      <c r="D29" s="114"/>
      <c r="E29" s="114"/>
      <c r="F29" s="114"/>
      <c r="G29" s="114"/>
      <c r="H29" s="114"/>
      <c r="J29" s="114"/>
      <c r="K29" s="114"/>
      <c r="L29" s="114"/>
      <c r="M29" s="114"/>
      <c r="N29" s="114"/>
      <c r="O29" s="114"/>
      <c r="P29" s="114"/>
      <c r="Q29" s="114"/>
    </row>
    <row r="30" spans="1:17" x14ac:dyDescent="0.15">
      <c r="A30" s="114"/>
      <c r="B30" s="114"/>
      <c r="C30" s="114"/>
      <c r="D30" s="114"/>
      <c r="E30" s="114"/>
      <c r="F30" s="114"/>
      <c r="G30" s="114"/>
      <c r="H30" s="114"/>
      <c r="J30" s="114"/>
      <c r="K30" s="114"/>
      <c r="L30" s="114"/>
      <c r="M30" s="114"/>
      <c r="N30" s="114"/>
      <c r="O30" s="114"/>
      <c r="P30" s="114"/>
      <c r="Q30" s="114"/>
    </row>
    <row r="31" spans="1:17" x14ac:dyDescent="0.15">
      <c r="A31" s="114"/>
      <c r="B31" s="114"/>
      <c r="C31" s="114"/>
      <c r="D31" s="114"/>
      <c r="E31" s="114"/>
      <c r="F31" s="114"/>
      <c r="G31" s="114"/>
      <c r="H31" s="114"/>
      <c r="J31" s="114"/>
      <c r="K31" s="114"/>
      <c r="L31" s="114"/>
      <c r="M31" s="114"/>
      <c r="N31" s="114"/>
      <c r="O31" s="114"/>
      <c r="P31" s="114"/>
      <c r="Q31" s="114"/>
    </row>
    <row r="32" spans="1:17" x14ac:dyDescent="0.15">
      <c r="A32" s="40" t="s">
        <v>263</v>
      </c>
      <c r="B32" s="40"/>
      <c r="C32" s="40"/>
      <c r="D32" s="40"/>
      <c r="E32" s="40"/>
      <c r="F32" s="40"/>
      <c r="G32" s="40"/>
      <c r="H32" s="79" t="str">
        <f>IF(COUNTIF(H34:H39, "="&amp;IncompleteText), IncompleteText, IF(COUNTIF(H34:H39, "="&amp;ErrorText), ErrorText, OKText))</f>
        <v>OK</v>
      </c>
      <c r="J32" s="40" t="s">
        <v>264</v>
      </c>
      <c r="K32" s="40"/>
      <c r="L32" s="40"/>
      <c r="M32" s="40"/>
      <c r="N32" s="40"/>
      <c r="O32" s="40"/>
      <c r="P32" s="40"/>
      <c r="Q32" s="79" t="str">
        <f>IF(COUNTIF(Q34:Q39, "="&amp;IncompleteText), IncompleteText, IF(COUNTIF(Q34:Q39, "="&amp;ErrorText), ErrorText, OKText))</f>
        <v>BLANK</v>
      </c>
    </row>
    <row r="33" spans="1:17" x14ac:dyDescent="0.15">
      <c r="A33" s="81" t="s">
        <v>48</v>
      </c>
      <c r="B33" s="117"/>
      <c r="C33" s="24"/>
      <c r="D33" s="24"/>
      <c r="E33" s="24"/>
      <c r="F33" s="24"/>
      <c r="G33" s="24"/>
      <c r="H33" s="80"/>
      <c r="J33" s="81" t="s">
        <v>48</v>
      </c>
      <c r="K33" s="117"/>
      <c r="L33" s="24"/>
      <c r="M33" s="24"/>
      <c r="N33" s="24"/>
      <c r="O33" s="24"/>
      <c r="P33" s="24"/>
      <c r="Q33" s="80"/>
    </row>
    <row r="34" spans="1:17" x14ac:dyDescent="0.15">
      <c r="A34" s="78"/>
      <c r="B34" s="78"/>
      <c r="C34" s="62" t="s">
        <v>265</v>
      </c>
      <c r="D34" s="62"/>
      <c r="E34" s="62"/>
      <c r="F34" s="63"/>
      <c r="G34" s="3" t="b">
        <v>1</v>
      </c>
      <c r="H34" s="13" t="str">
        <f t="shared" ref="H34:H39" si="1">IF(ISBLANK(G34),IncompleteText, IF(G34, OKText, ErrorText))</f>
        <v>OK</v>
      </c>
      <c r="J34" s="78" t="s">
        <v>266</v>
      </c>
      <c r="K34" s="78"/>
      <c r="L34" s="62" t="s">
        <v>267</v>
      </c>
      <c r="M34" s="62"/>
      <c r="N34" s="62"/>
      <c r="O34" s="63"/>
      <c r="P34" s="3" t="b">
        <v>1</v>
      </c>
      <c r="Q34" s="13" t="str">
        <f t="shared" ref="Q34:Q39" si="2">IF(ISBLANK(P34),IncompleteText, IF(P34, OKText, ErrorText))</f>
        <v>OK</v>
      </c>
    </row>
    <row r="35" spans="1:17" x14ac:dyDescent="0.15">
      <c r="A35" s="78"/>
      <c r="B35" s="78"/>
      <c r="C35" s="62" t="s">
        <v>67</v>
      </c>
      <c r="D35" s="62"/>
      <c r="E35" s="62"/>
      <c r="F35" s="63"/>
      <c r="G35" s="3" t="b">
        <v>1</v>
      </c>
      <c r="H35" s="13" t="str">
        <f t="shared" si="1"/>
        <v>OK</v>
      </c>
      <c r="J35" s="78" t="s">
        <v>266</v>
      </c>
      <c r="K35" s="78"/>
      <c r="L35" s="62" t="s">
        <v>268</v>
      </c>
      <c r="M35" s="62"/>
      <c r="N35" s="62"/>
      <c r="O35" s="63"/>
      <c r="P35" s="3" t="b">
        <v>1</v>
      </c>
      <c r="Q35" s="13" t="str">
        <f t="shared" si="2"/>
        <v>OK</v>
      </c>
    </row>
    <row r="36" spans="1:17" x14ac:dyDescent="0.15">
      <c r="A36" s="78"/>
      <c r="B36" s="78"/>
      <c r="C36" s="62" t="s">
        <v>269</v>
      </c>
      <c r="D36" s="62"/>
      <c r="E36" s="62"/>
      <c r="F36" s="63"/>
      <c r="G36" s="3" t="b">
        <v>1</v>
      </c>
      <c r="H36" s="13" t="str">
        <f t="shared" si="1"/>
        <v>OK</v>
      </c>
      <c r="J36" s="78" t="s">
        <v>270</v>
      </c>
      <c r="K36" s="78"/>
      <c r="L36" s="62" t="s">
        <v>271</v>
      </c>
      <c r="M36" s="62"/>
      <c r="N36" s="62"/>
      <c r="O36" s="63"/>
      <c r="P36" s="3" t="b">
        <v>1</v>
      </c>
      <c r="Q36" s="13" t="str">
        <f t="shared" si="2"/>
        <v>OK</v>
      </c>
    </row>
    <row r="37" spans="1:17" x14ac:dyDescent="0.15">
      <c r="A37" s="78" t="s">
        <v>272</v>
      </c>
      <c r="B37" s="78"/>
      <c r="C37" s="62" t="s">
        <v>104</v>
      </c>
      <c r="D37" s="62"/>
      <c r="E37" s="62"/>
      <c r="F37" s="63"/>
      <c r="G37" s="3" t="b">
        <v>1</v>
      </c>
      <c r="H37" s="13" t="str">
        <f t="shared" si="1"/>
        <v>OK</v>
      </c>
      <c r="J37" s="78" t="s">
        <v>272</v>
      </c>
      <c r="K37" s="78"/>
      <c r="L37" s="62" t="s">
        <v>91</v>
      </c>
      <c r="M37" s="62"/>
      <c r="N37" s="62"/>
      <c r="O37" s="63"/>
      <c r="P37" s="3" t="b">
        <v>1</v>
      </c>
      <c r="Q37" s="13" t="str">
        <f t="shared" si="2"/>
        <v>OK</v>
      </c>
    </row>
    <row r="38" spans="1:17" x14ac:dyDescent="0.15">
      <c r="A38" s="78" t="s">
        <v>273</v>
      </c>
      <c r="B38" s="78"/>
      <c r="C38" s="62" t="s">
        <v>91</v>
      </c>
      <c r="D38" s="62"/>
      <c r="E38" s="62"/>
      <c r="F38" s="63"/>
      <c r="G38" s="3" t="b">
        <v>1</v>
      </c>
      <c r="H38" s="13" t="str">
        <f t="shared" si="1"/>
        <v>OK</v>
      </c>
      <c r="J38" s="62"/>
      <c r="K38" s="62"/>
      <c r="L38" s="62" t="s">
        <v>274</v>
      </c>
      <c r="M38" s="62"/>
      <c r="N38" s="62"/>
      <c r="O38" s="63"/>
      <c r="P38" s="3" t="b">
        <v>1</v>
      </c>
      <c r="Q38" s="13" t="str">
        <f t="shared" si="2"/>
        <v>OK</v>
      </c>
    </row>
    <row r="39" spans="1:17" x14ac:dyDescent="0.15">
      <c r="A39" s="78" t="s">
        <v>275</v>
      </c>
      <c r="B39" s="78"/>
      <c r="C39" s="62" t="s">
        <v>95</v>
      </c>
      <c r="D39" s="62"/>
      <c r="E39" s="62"/>
      <c r="F39" s="63"/>
      <c r="G39" s="3" t="b">
        <v>1</v>
      </c>
      <c r="H39" s="13" t="str">
        <f t="shared" si="1"/>
        <v>OK</v>
      </c>
      <c r="J39" s="62"/>
      <c r="K39" s="62"/>
      <c r="L39" s="62" t="s">
        <v>276</v>
      </c>
      <c r="M39" s="62"/>
      <c r="N39" s="62"/>
      <c r="O39" s="63"/>
      <c r="P39" s="3"/>
      <c r="Q39" s="13" t="str">
        <f t="shared" si="2"/>
        <v>BLANK</v>
      </c>
    </row>
    <row r="40" spans="1:17" x14ac:dyDescent="0.15">
      <c r="A40" s="40" t="s">
        <v>18</v>
      </c>
      <c r="B40" s="40"/>
      <c r="C40" s="40"/>
      <c r="D40" s="40"/>
      <c r="E40" s="40"/>
      <c r="F40" s="40"/>
      <c r="G40" s="40"/>
      <c r="J40" s="40" t="s">
        <v>18</v>
      </c>
      <c r="K40" s="40"/>
      <c r="L40" s="40"/>
      <c r="M40" s="40"/>
      <c r="N40" s="40"/>
      <c r="O40" s="40"/>
      <c r="P40" s="40"/>
    </row>
    <row r="41" spans="1:17" x14ac:dyDescent="0.15">
      <c r="A41" s="113"/>
      <c r="B41" s="113"/>
      <c r="C41" s="113"/>
      <c r="D41" s="113"/>
      <c r="E41" s="113"/>
      <c r="F41" s="113"/>
      <c r="G41" s="113"/>
      <c r="J41" s="113"/>
      <c r="K41" s="113"/>
      <c r="L41" s="113"/>
      <c r="M41" s="113"/>
      <c r="N41" s="113"/>
      <c r="O41" s="113"/>
      <c r="P41" s="113"/>
    </row>
    <row r="42" spans="1:17" x14ac:dyDescent="0.15">
      <c r="A42" s="113"/>
      <c r="B42" s="113"/>
      <c r="C42" s="113"/>
      <c r="D42" s="113"/>
      <c r="E42" s="113"/>
      <c r="F42" s="113"/>
      <c r="G42" s="113"/>
      <c r="J42" s="113"/>
      <c r="K42" s="113"/>
      <c r="L42" s="113"/>
      <c r="M42" s="113"/>
      <c r="N42" s="113"/>
      <c r="O42" s="113"/>
      <c r="P42" s="113"/>
    </row>
    <row r="43" spans="1:17" x14ac:dyDescent="0.15">
      <c r="A43" s="113"/>
      <c r="B43" s="113"/>
      <c r="C43" s="113"/>
      <c r="D43" s="113"/>
      <c r="E43" s="113"/>
      <c r="F43" s="113"/>
      <c r="G43" s="113"/>
      <c r="J43" s="113"/>
      <c r="K43" s="113"/>
      <c r="L43" s="113"/>
      <c r="M43" s="113"/>
      <c r="N43" s="113"/>
      <c r="O43" s="113"/>
      <c r="P43" s="113"/>
    </row>
    <row r="44" spans="1:17" x14ac:dyDescent="0.15">
      <c r="A44" s="113"/>
      <c r="B44" s="113"/>
      <c r="C44" s="113"/>
      <c r="D44" s="113"/>
      <c r="E44" s="113"/>
      <c r="F44" s="113"/>
      <c r="G44" s="113"/>
      <c r="J44" s="113"/>
      <c r="K44" s="113"/>
      <c r="L44" s="113"/>
      <c r="M44" s="113"/>
      <c r="N44" s="113"/>
      <c r="O44" s="113"/>
      <c r="P44" s="113"/>
    </row>
  </sheetData>
  <sheetProtection algorithmName="SHA-512" hashValue="8UGjOur+APRSAGtBeGORuUB3xwSQHK/gTiN2NaaGNoJCBiNOH2celYgsgqnApKlO/FLGpHugjSW4GOdw/hBo+w==" saltValue="x2xWcABdJS46AOCyrtn/g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topLeftCell="B1" zoomScaleNormal="160" workbookViewId="0">
      <pane ySplit="1" topLeftCell="A45" activePane="bottomLeft" state="frozen"/>
      <selection pane="bottomLeft" activeCell="X70" sqref="X70"/>
    </sheetView>
  </sheetViews>
  <sheetFormatPr baseColWidth="10" defaultColWidth="8.7109375" defaultRowHeight="14" x14ac:dyDescent="0.15"/>
  <cols>
    <col min="1" max="16384" width="8.7109375" style="2"/>
  </cols>
  <sheetData>
    <row r="1" spans="1:23" x14ac:dyDescent="0.15">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x14ac:dyDescent="0.15">
      <c r="A2" s="40" t="s">
        <v>104</v>
      </c>
      <c r="B2" s="40"/>
      <c r="C2" s="40"/>
      <c r="D2" s="40"/>
      <c r="E2" s="40"/>
      <c r="F2" s="80" t="str">
        <f>IF(COUNTIF(F4:F5, "="&amp;IncompleteText), IncompleteText, IF(COUNTIF(F4:F5, "="&amp;ErrorText), ErrorText, OKText))</f>
        <v>OK</v>
      </c>
      <c r="H2" s="40" t="s">
        <v>277</v>
      </c>
      <c r="I2" s="40"/>
      <c r="J2" s="40"/>
      <c r="K2" s="40"/>
      <c r="L2" s="40"/>
      <c r="M2" s="80" t="str">
        <f>IF(COUNTIF(M4:M8, "="&amp;IncompleteText), IncompleteText, IF(COUNTIF(M4:M8, "="&amp;ErrorText), ErrorText, OKText))</f>
        <v>OK</v>
      </c>
    </row>
    <row r="3" spans="1:23" x14ac:dyDescent="0.15">
      <c r="A3" s="123" t="s">
        <v>278</v>
      </c>
      <c r="B3" s="124"/>
      <c r="C3" s="124"/>
      <c r="D3" s="126" t="s">
        <v>103</v>
      </c>
      <c r="E3" s="127"/>
      <c r="F3" s="80"/>
      <c r="H3" s="123" t="s">
        <v>278</v>
      </c>
      <c r="I3" s="124"/>
      <c r="J3" s="125"/>
      <c r="K3" s="126" t="s">
        <v>279</v>
      </c>
      <c r="L3" s="127"/>
      <c r="M3" s="80"/>
    </row>
    <row r="4" spans="1:23" x14ac:dyDescent="0.15">
      <c r="A4" s="62" t="s">
        <v>144</v>
      </c>
      <c r="B4" s="62"/>
      <c r="C4" s="62"/>
      <c r="D4" s="122" t="s">
        <v>476</v>
      </c>
      <c r="E4" s="122"/>
      <c r="F4" s="13" t="str">
        <f>IF(ISBLANK(D4), IncompleteText, OKText)</f>
        <v>OK</v>
      </c>
      <c r="H4" s="62" t="s">
        <v>280</v>
      </c>
      <c r="I4" s="62"/>
      <c r="J4" s="62"/>
      <c r="K4" s="121" t="s">
        <v>489</v>
      </c>
      <c r="L4" s="121"/>
      <c r="M4" s="13" t="str">
        <f>IF(ISBLANK(K4), IncompleteText, OKText)</f>
        <v>OK</v>
      </c>
    </row>
    <row r="5" spans="1:23" ht="15" x14ac:dyDescent="0.2">
      <c r="A5" s="62" t="s">
        <v>281</v>
      </c>
      <c r="B5" s="62"/>
      <c r="C5" s="62"/>
      <c r="D5" s="3">
        <v>270</v>
      </c>
      <c r="E5" t="s">
        <v>282</v>
      </c>
      <c r="F5" s="13" t="str">
        <f>IF(ISBLANK(D5), IncompleteText, IF(D5&lt;(MaxTSVoltage*0.5), ErrorText, OKText))</f>
        <v>OK</v>
      </c>
      <c r="H5" s="62" t="s">
        <v>283</v>
      </c>
      <c r="I5" s="62"/>
      <c r="J5" s="62"/>
      <c r="K5" s="121" t="s">
        <v>490</v>
      </c>
      <c r="L5" s="121"/>
      <c r="M5" s="13" t="str">
        <f>IF(ISBLANK(K5), IncompleteText, OKText)</f>
        <v>OK</v>
      </c>
    </row>
    <row r="6" spans="1:23" x14ac:dyDescent="0.15">
      <c r="H6" s="62" t="s">
        <v>284</v>
      </c>
      <c r="I6" s="62"/>
      <c r="J6" s="62"/>
      <c r="K6" s="3">
        <v>2.2999999999999998</v>
      </c>
      <c r="L6" t="s">
        <v>17</v>
      </c>
      <c r="M6" s="13" t="str">
        <f>IF(ISBLANK(K6),IncompleteText,IF(K6&gt;(5000/NominalTSVoltage),ErrorText,OKText))</f>
        <v>OK</v>
      </c>
    </row>
    <row r="7" spans="1:23" x14ac:dyDescent="0.15">
      <c r="H7" s="62" t="s">
        <v>285</v>
      </c>
      <c r="I7" s="62"/>
      <c r="J7" s="62"/>
      <c r="K7" s="3">
        <v>2.5920000000000001</v>
      </c>
      <c r="L7" t="s">
        <v>15</v>
      </c>
      <c r="M7" s="13" t="str">
        <f>IF(ISBLANK(K7), IncompleteText, OKText)</f>
        <v>OK</v>
      </c>
    </row>
    <row r="8" spans="1:23" x14ac:dyDescent="0.15">
      <c r="H8" s="62" t="s">
        <v>286</v>
      </c>
      <c r="I8" s="62"/>
      <c r="J8" s="62"/>
      <c r="K8" s="3">
        <v>2.3E-2</v>
      </c>
      <c r="L8" t="s">
        <v>17</v>
      </c>
      <c r="M8" s="13" t="str">
        <f>IF(ISBLANK(K8), IncompleteText, OKText)</f>
        <v>OK</v>
      </c>
    </row>
    <row r="10" spans="1:23" x14ac:dyDescent="0.15">
      <c r="A10" s="86" t="s">
        <v>287</v>
      </c>
      <c r="B10" s="86"/>
      <c r="C10" s="86"/>
      <c r="D10" s="86"/>
      <c r="E10" s="86"/>
      <c r="F10" s="86"/>
      <c r="G10" s="86"/>
      <c r="H10" s="86"/>
      <c r="I10" s="86"/>
      <c r="J10" s="86"/>
      <c r="K10" s="86"/>
      <c r="M10" s="86" t="s">
        <v>288</v>
      </c>
      <c r="N10" s="86"/>
      <c r="O10" s="86"/>
      <c r="P10" s="86"/>
      <c r="Q10" s="86"/>
      <c r="R10" s="86"/>
      <c r="S10" s="86"/>
      <c r="T10" s="86"/>
      <c r="U10" s="86"/>
      <c r="V10" s="86"/>
      <c r="W10" s="86"/>
    </row>
    <row r="11" spans="1:23" x14ac:dyDescent="0.15">
      <c r="A11" s="86"/>
      <c r="B11" s="86"/>
      <c r="C11" s="86"/>
      <c r="D11" s="86"/>
      <c r="E11" s="86"/>
      <c r="F11" s="86"/>
      <c r="G11" s="86"/>
      <c r="H11" s="86"/>
      <c r="I11" s="86"/>
      <c r="J11" s="86"/>
      <c r="K11" s="86"/>
      <c r="M11" s="86"/>
      <c r="N11" s="86"/>
      <c r="O11" s="86"/>
      <c r="P11" s="86"/>
      <c r="Q11" s="86"/>
      <c r="R11" s="86"/>
      <c r="S11" s="86"/>
      <c r="T11" s="86"/>
      <c r="U11" s="86"/>
      <c r="V11" s="86"/>
      <c r="W11" s="86"/>
    </row>
    <row r="12" spans="1:23" x14ac:dyDescent="0.15">
      <c r="A12" s="86"/>
      <c r="B12" s="86"/>
      <c r="C12" s="86"/>
      <c r="D12" s="86"/>
      <c r="E12" s="86"/>
      <c r="F12" s="86"/>
      <c r="G12" s="86"/>
      <c r="H12" s="86"/>
      <c r="I12" s="86"/>
      <c r="J12" s="86"/>
      <c r="K12" s="86"/>
      <c r="M12" s="86"/>
      <c r="N12" s="86"/>
      <c r="O12" s="86"/>
      <c r="P12" s="86"/>
      <c r="Q12" s="86"/>
      <c r="R12" s="86"/>
      <c r="S12" s="86"/>
      <c r="T12" s="86"/>
      <c r="U12" s="86"/>
      <c r="V12" s="86"/>
      <c r="W12" s="86"/>
    </row>
    <row r="13" spans="1:23" x14ac:dyDescent="0.15">
      <c r="A13" s="86"/>
      <c r="B13" s="86"/>
      <c r="C13" s="86"/>
      <c r="D13" s="86"/>
      <c r="E13" s="86"/>
      <c r="F13" s="86"/>
      <c r="G13" s="86"/>
      <c r="H13" s="86"/>
      <c r="I13" s="86"/>
      <c r="J13" s="86"/>
      <c r="K13" s="86"/>
      <c r="M13" s="86"/>
      <c r="N13" s="86"/>
      <c r="O13" s="86"/>
      <c r="P13" s="86"/>
      <c r="Q13" s="86"/>
      <c r="R13" s="86"/>
      <c r="S13" s="86"/>
      <c r="T13" s="86"/>
      <c r="U13" s="86"/>
      <c r="V13" s="86"/>
      <c r="W13" s="86"/>
    </row>
    <row r="14" spans="1:23" x14ac:dyDescent="0.15">
      <c r="A14" s="86"/>
      <c r="B14" s="86"/>
      <c r="C14" s="86"/>
      <c r="D14" s="86"/>
      <c r="E14" s="86"/>
      <c r="F14" s="86"/>
      <c r="G14" s="86"/>
      <c r="H14" s="86"/>
      <c r="I14" s="86"/>
      <c r="J14" s="86"/>
      <c r="K14" s="86"/>
      <c r="M14" s="86"/>
      <c r="N14" s="86"/>
      <c r="O14" s="86"/>
      <c r="P14" s="86"/>
      <c r="Q14" s="86"/>
      <c r="R14" s="86"/>
      <c r="S14" s="86"/>
      <c r="T14" s="86"/>
      <c r="U14" s="86"/>
      <c r="V14" s="86"/>
      <c r="W14" s="86"/>
    </row>
    <row r="15" spans="1:23" x14ac:dyDescent="0.15">
      <c r="A15" s="86"/>
      <c r="B15" s="86"/>
      <c r="C15" s="86"/>
      <c r="D15" s="86"/>
      <c r="E15" s="86"/>
      <c r="F15" s="86"/>
      <c r="G15" s="86"/>
      <c r="H15" s="86"/>
      <c r="I15" s="86"/>
      <c r="J15" s="86"/>
      <c r="K15" s="86"/>
      <c r="M15" s="86"/>
      <c r="N15" s="86"/>
      <c r="O15" s="86"/>
      <c r="P15" s="86"/>
      <c r="Q15" s="86"/>
      <c r="R15" s="86"/>
      <c r="S15" s="86"/>
      <c r="T15" s="86"/>
      <c r="U15" s="86"/>
      <c r="V15" s="86"/>
      <c r="W15" s="86"/>
    </row>
    <row r="16" spans="1:23" x14ac:dyDescent="0.15">
      <c r="A16" s="86"/>
      <c r="B16" s="86"/>
      <c r="C16" s="86"/>
      <c r="D16" s="86"/>
      <c r="E16" s="86"/>
      <c r="F16" s="86"/>
      <c r="G16" s="86"/>
      <c r="H16" s="86"/>
      <c r="I16" s="86"/>
      <c r="J16" s="86"/>
      <c r="K16" s="86"/>
      <c r="M16" s="86"/>
      <c r="N16" s="86"/>
      <c r="O16" s="86"/>
      <c r="P16" s="86"/>
      <c r="Q16" s="86"/>
      <c r="R16" s="86"/>
      <c r="S16" s="86"/>
      <c r="T16" s="86"/>
      <c r="U16" s="86"/>
      <c r="V16" s="86"/>
      <c r="W16" s="86"/>
    </row>
    <row r="17" spans="1:23" x14ac:dyDescent="0.15">
      <c r="A17" s="86"/>
      <c r="B17" s="86"/>
      <c r="C17" s="86"/>
      <c r="D17" s="86"/>
      <c r="E17" s="86"/>
      <c r="F17" s="86"/>
      <c r="G17" s="86"/>
      <c r="H17" s="86"/>
      <c r="I17" s="86"/>
      <c r="J17" s="86"/>
      <c r="K17" s="86"/>
      <c r="M17" s="86"/>
      <c r="N17" s="86"/>
      <c r="O17" s="86"/>
      <c r="P17" s="86"/>
      <c r="Q17" s="86"/>
      <c r="R17" s="86"/>
      <c r="S17" s="86"/>
      <c r="T17" s="86"/>
      <c r="U17" s="86"/>
      <c r="V17" s="86"/>
      <c r="W17" s="86"/>
    </row>
    <row r="18" spans="1:23" x14ac:dyDescent="0.15">
      <c r="A18" s="86"/>
      <c r="B18" s="86"/>
      <c r="C18" s="86"/>
      <c r="D18" s="86"/>
      <c r="E18" s="86"/>
      <c r="F18" s="86"/>
      <c r="G18" s="86"/>
      <c r="H18" s="86"/>
      <c r="I18" s="86"/>
      <c r="J18" s="86"/>
      <c r="K18" s="86"/>
      <c r="M18" s="86"/>
      <c r="N18" s="86"/>
      <c r="O18" s="86"/>
      <c r="P18" s="86"/>
      <c r="Q18" s="86"/>
      <c r="R18" s="86"/>
      <c r="S18" s="86"/>
      <c r="T18" s="86"/>
      <c r="U18" s="86"/>
      <c r="V18" s="86"/>
      <c r="W18" s="86"/>
    </row>
    <row r="19" spans="1:23" x14ac:dyDescent="0.15">
      <c r="A19" s="86"/>
      <c r="B19" s="86"/>
      <c r="C19" s="86"/>
      <c r="D19" s="86"/>
      <c r="E19" s="86"/>
      <c r="F19" s="86"/>
      <c r="G19" s="86"/>
      <c r="H19" s="86"/>
      <c r="I19" s="86"/>
      <c r="J19" s="86"/>
      <c r="K19" s="86"/>
      <c r="M19" s="86"/>
      <c r="N19" s="86"/>
      <c r="O19" s="86"/>
      <c r="P19" s="86"/>
      <c r="Q19" s="86"/>
      <c r="R19" s="86"/>
      <c r="S19" s="86"/>
      <c r="T19" s="86"/>
      <c r="U19" s="86"/>
      <c r="V19" s="86"/>
      <c r="W19" s="86"/>
    </row>
    <row r="20" spans="1:23" x14ac:dyDescent="0.15">
      <c r="A20" s="86"/>
      <c r="B20" s="86"/>
      <c r="C20" s="86"/>
      <c r="D20" s="86"/>
      <c r="E20" s="86"/>
      <c r="F20" s="86"/>
      <c r="G20" s="86"/>
      <c r="H20" s="86"/>
      <c r="I20" s="86"/>
      <c r="J20" s="86"/>
      <c r="K20" s="86"/>
      <c r="M20" s="86"/>
      <c r="N20" s="86"/>
      <c r="O20" s="86"/>
      <c r="P20" s="86"/>
      <c r="Q20" s="86"/>
      <c r="R20" s="86"/>
      <c r="S20" s="86"/>
      <c r="T20" s="86"/>
      <c r="U20" s="86"/>
      <c r="V20" s="86"/>
      <c r="W20" s="86"/>
    </row>
    <row r="21" spans="1:23" x14ac:dyDescent="0.15">
      <c r="A21" s="86"/>
      <c r="B21" s="86"/>
      <c r="C21" s="86"/>
      <c r="D21" s="86"/>
      <c r="E21" s="86"/>
      <c r="F21" s="86"/>
      <c r="G21" s="86"/>
      <c r="H21" s="86"/>
      <c r="I21" s="86"/>
      <c r="J21" s="86"/>
      <c r="K21" s="86"/>
      <c r="M21" s="86"/>
      <c r="N21" s="86"/>
      <c r="O21" s="86"/>
      <c r="P21" s="86"/>
      <c r="Q21" s="86"/>
      <c r="R21" s="86"/>
      <c r="S21" s="86"/>
      <c r="T21" s="86"/>
      <c r="U21" s="86"/>
      <c r="V21" s="86"/>
      <c r="W21" s="86"/>
    </row>
    <row r="22" spans="1:23" x14ac:dyDescent="0.15">
      <c r="A22" s="86"/>
      <c r="B22" s="86"/>
      <c r="C22" s="86"/>
      <c r="D22" s="86"/>
      <c r="E22" s="86"/>
      <c r="F22" s="86"/>
      <c r="G22" s="86"/>
      <c r="H22" s="86"/>
      <c r="I22" s="86"/>
      <c r="J22" s="86"/>
      <c r="K22" s="86"/>
      <c r="M22" s="86"/>
      <c r="N22" s="86"/>
      <c r="O22" s="86"/>
      <c r="P22" s="86"/>
      <c r="Q22" s="86"/>
      <c r="R22" s="86"/>
      <c r="S22" s="86"/>
      <c r="T22" s="86"/>
      <c r="U22" s="86"/>
      <c r="V22" s="86"/>
      <c r="W22" s="86"/>
    </row>
    <row r="23" spans="1:23" x14ac:dyDescent="0.15">
      <c r="A23" s="86"/>
      <c r="B23" s="86"/>
      <c r="C23" s="86"/>
      <c r="D23" s="86"/>
      <c r="E23" s="86"/>
      <c r="F23" s="86"/>
      <c r="G23" s="86"/>
      <c r="H23" s="86"/>
      <c r="I23" s="86"/>
      <c r="J23" s="86"/>
      <c r="K23" s="86"/>
      <c r="M23" s="86"/>
      <c r="N23" s="86"/>
      <c r="O23" s="86"/>
      <c r="P23" s="86"/>
      <c r="Q23" s="86"/>
      <c r="R23" s="86"/>
      <c r="S23" s="86"/>
      <c r="T23" s="86"/>
      <c r="U23" s="86"/>
      <c r="V23" s="86"/>
      <c r="W23" s="86"/>
    </row>
    <row r="24" spans="1:23" x14ac:dyDescent="0.15">
      <c r="A24" s="86"/>
      <c r="B24" s="86"/>
      <c r="C24" s="86"/>
      <c r="D24" s="86"/>
      <c r="E24" s="86"/>
      <c r="F24" s="86"/>
      <c r="G24" s="86"/>
      <c r="H24" s="86"/>
      <c r="I24" s="86"/>
      <c r="J24" s="86"/>
      <c r="K24" s="86"/>
      <c r="M24" s="86"/>
      <c r="N24" s="86"/>
      <c r="O24" s="86"/>
      <c r="P24" s="86"/>
      <c r="Q24" s="86"/>
      <c r="R24" s="86"/>
      <c r="S24" s="86"/>
      <c r="T24" s="86"/>
      <c r="U24" s="86"/>
      <c r="V24" s="86"/>
      <c r="W24" s="86"/>
    </row>
    <row r="25" spans="1:23" x14ac:dyDescent="0.15">
      <c r="A25" s="86"/>
      <c r="B25" s="86"/>
      <c r="C25" s="86"/>
      <c r="D25" s="86"/>
      <c r="E25" s="86"/>
      <c r="F25" s="86"/>
      <c r="G25" s="86"/>
      <c r="H25" s="86"/>
      <c r="I25" s="86"/>
      <c r="J25" s="86"/>
      <c r="K25" s="86"/>
      <c r="M25" s="86"/>
      <c r="N25" s="86"/>
      <c r="O25" s="86"/>
      <c r="P25" s="86"/>
      <c r="Q25" s="86"/>
      <c r="R25" s="86"/>
      <c r="S25" s="86"/>
      <c r="T25" s="86"/>
      <c r="U25" s="86"/>
      <c r="V25" s="86"/>
      <c r="W25" s="86"/>
    </row>
    <row r="26" spans="1:23" x14ac:dyDescent="0.15">
      <c r="A26" s="86"/>
      <c r="B26" s="86"/>
      <c r="C26" s="86"/>
      <c r="D26" s="86"/>
      <c r="E26" s="86"/>
      <c r="F26" s="86"/>
      <c r="G26" s="86"/>
      <c r="H26" s="86"/>
      <c r="I26" s="86"/>
      <c r="J26" s="86"/>
      <c r="K26" s="86"/>
      <c r="M26" s="86"/>
      <c r="N26" s="86"/>
      <c r="O26" s="86"/>
      <c r="P26" s="86"/>
      <c r="Q26" s="86"/>
      <c r="R26" s="86"/>
      <c r="S26" s="86"/>
      <c r="T26" s="86"/>
      <c r="U26" s="86"/>
      <c r="V26" s="86"/>
      <c r="W26" s="86"/>
    </row>
    <row r="27" spans="1:23" x14ac:dyDescent="0.15">
      <c r="A27" s="86"/>
      <c r="B27" s="86"/>
      <c r="C27" s="86"/>
      <c r="D27" s="86"/>
      <c r="E27" s="86"/>
      <c r="F27" s="86"/>
      <c r="G27" s="86"/>
      <c r="H27" s="86"/>
      <c r="I27" s="86"/>
      <c r="J27" s="86"/>
      <c r="K27" s="86"/>
      <c r="M27" s="86"/>
      <c r="N27" s="86"/>
      <c r="O27" s="86"/>
      <c r="P27" s="86"/>
      <c r="Q27" s="86"/>
      <c r="R27" s="86"/>
      <c r="S27" s="86"/>
      <c r="T27" s="86"/>
      <c r="U27" s="86"/>
      <c r="V27" s="86"/>
      <c r="W27" s="86"/>
    </row>
    <row r="28" spans="1:23" x14ac:dyDescent="0.15">
      <c r="A28" s="86"/>
      <c r="B28" s="86"/>
      <c r="C28" s="86"/>
      <c r="D28" s="86"/>
      <c r="E28" s="86"/>
      <c r="F28" s="86"/>
      <c r="G28" s="86"/>
      <c r="H28" s="86"/>
      <c r="I28" s="86"/>
      <c r="J28" s="86"/>
      <c r="K28" s="86"/>
      <c r="M28" s="86"/>
      <c r="N28" s="86"/>
      <c r="O28" s="86"/>
      <c r="P28" s="86"/>
      <c r="Q28" s="86"/>
      <c r="R28" s="86"/>
      <c r="S28" s="86"/>
      <c r="T28" s="86"/>
      <c r="U28" s="86"/>
      <c r="V28" s="86"/>
      <c r="W28" s="86"/>
    </row>
    <row r="29" spans="1:23" x14ac:dyDescent="0.15">
      <c r="A29" s="86"/>
      <c r="B29" s="86"/>
      <c r="C29" s="86"/>
      <c r="D29" s="86"/>
      <c r="E29" s="86"/>
      <c r="F29" s="86"/>
      <c r="G29" s="86"/>
      <c r="H29" s="86"/>
      <c r="I29" s="86"/>
      <c r="J29" s="86"/>
      <c r="K29" s="86"/>
      <c r="M29" s="86"/>
      <c r="N29" s="86"/>
      <c r="O29" s="86"/>
      <c r="P29" s="86"/>
      <c r="Q29" s="86"/>
      <c r="R29" s="86"/>
      <c r="S29" s="86"/>
      <c r="T29" s="86"/>
      <c r="U29" s="86"/>
      <c r="V29" s="86"/>
      <c r="W29" s="86"/>
    </row>
    <row r="30" spans="1:23" x14ac:dyDescent="0.15">
      <c r="A30" s="86"/>
      <c r="B30" s="86"/>
      <c r="C30" s="86"/>
      <c r="D30" s="86"/>
      <c r="E30" s="86"/>
      <c r="F30" s="86"/>
      <c r="G30" s="86"/>
      <c r="H30" s="86"/>
      <c r="I30" s="86"/>
      <c r="J30" s="86"/>
      <c r="K30" s="86"/>
      <c r="M30" s="86"/>
      <c r="N30" s="86"/>
      <c r="O30" s="86"/>
      <c r="P30" s="86"/>
      <c r="Q30" s="86"/>
      <c r="R30" s="86"/>
      <c r="S30" s="86"/>
      <c r="T30" s="86"/>
      <c r="U30" s="86"/>
      <c r="V30" s="86"/>
      <c r="W30" s="86"/>
    </row>
    <row r="31" spans="1:23" x14ac:dyDescent="0.15">
      <c r="A31" s="86"/>
      <c r="B31" s="86"/>
      <c r="C31" s="86"/>
      <c r="D31" s="86"/>
      <c r="E31" s="86"/>
      <c r="F31" s="86"/>
      <c r="G31" s="86"/>
      <c r="H31" s="86"/>
      <c r="I31" s="86"/>
      <c r="J31" s="86"/>
      <c r="K31" s="86"/>
      <c r="M31" s="86"/>
      <c r="N31" s="86"/>
      <c r="O31" s="86"/>
      <c r="P31" s="86"/>
      <c r="Q31" s="86"/>
      <c r="R31" s="86"/>
      <c r="S31" s="86"/>
      <c r="T31" s="86"/>
      <c r="U31" s="86"/>
      <c r="V31" s="86"/>
      <c r="W31" s="86"/>
    </row>
    <row r="32" spans="1:23" x14ac:dyDescent="0.15">
      <c r="A32" s="86"/>
      <c r="B32" s="86"/>
      <c r="C32" s="86"/>
      <c r="D32" s="86"/>
      <c r="E32" s="86"/>
      <c r="F32" s="86"/>
      <c r="G32" s="86"/>
      <c r="H32" s="86"/>
      <c r="I32" s="86"/>
      <c r="J32" s="86"/>
      <c r="K32" s="86"/>
      <c r="M32" s="86"/>
      <c r="N32" s="86"/>
      <c r="O32" s="86"/>
      <c r="P32" s="86"/>
      <c r="Q32" s="86"/>
      <c r="R32" s="86"/>
      <c r="S32" s="86"/>
      <c r="T32" s="86"/>
      <c r="U32" s="86"/>
      <c r="V32" s="86"/>
      <c r="W32" s="86"/>
    </row>
    <row r="33" spans="1:23" x14ac:dyDescent="0.15">
      <c r="A33" s="86"/>
      <c r="B33" s="86"/>
      <c r="C33" s="86"/>
      <c r="D33" s="86"/>
      <c r="E33" s="86"/>
      <c r="F33" s="86"/>
      <c r="G33" s="86"/>
      <c r="H33" s="86"/>
      <c r="I33" s="86"/>
      <c r="J33" s="86"/>
      <c r="K33" s="86"/>
      <c r="M33" s="86"/>
      <c r="N33" s="86"/>
      <c r="O33" s="86"/>
      <c r="P33" s="86"/>
      <c r="Q33" s="86"/>
      <c r="R33" s="86"/>
      <c r="S33" s="86"/>
      <c r="T33" s="86"/>
      <c r="U33" s="86"/>
      <c r="V33" s="86"/>
      <c r="W33" s="86"/>
    </row>
    <row r="34" spans="1:23" x14ac:dyDescent="0.15">
      <c r="A34" s="86"/>
      <c r="B34" s="86"/>
      <c r="C34" s="86"/>
      <c r="D34" s="86"/>
      <c r="E34" s="86"/>
      <c r="F34" s="86"/>
      <c r="G34" s="86"/>
      <c r="H34" s="86"/>
      <c r="I34" s="86"/>
      <c r="J34" s="86"/>
      <c r="K34" s="86"/>
      <c r="M34" s="86"/>
      <c r="N34" s="86"/>
      <c r="O34" s="86"/>
      <c r="P34" s="86"/>
      <c r="Q34" s="86"/>
      <c r="R34" s="86"/>
      <c r="S34" s="86"/>
      <c r="T34" s="86"/>
      <c r="U34" s="86"/>
      <c r="V34" s="86"/>
      <c r="W34" s="86"/>
    </row>
    <row r="35" spans="1:23" x14ac:dyDescent="0.15">
      <c r="A35" s="86"/>
      <c r="B35" s="86"/>
      <c r="C35" s="86"/>
      <c r="D35" s="86"/>
      <c r="E35" s="86"/>
      <c r="F35" s="86"/>
      <c r="G35" s="86"/>
      <c r="H35" s="86"/>
      <c r="I35" s="86"/>
      <c r="J35" s="86"/>
      <c r="K35" s="86"/>
      <c r="M35" s="86"/>
      <c r="N35" s="86"/>
      <c r="O35" s="86"/>
      <c r="P35" s="86"/>
      <c r="Q35" s="86"/>
      <c r="R35" s="86"/>
      <c r="S35" s="86"/>
      <c r="T35" s="86"/>
      <c r="U35" s="86"/>
      <c r="V35" s="86"/>
      <c r="W35" s="86"/>
    </row>
    <row r="36" spans="1:23" x14ac:dyDescent="0.15">
      <c r="A36" s="40" t="s">
        <v>289</v>
      </c>
      <c r="B36" s="40"/>
      <c r="C36" s="40"/>
      <c r="D36" s="40"/>
      <c r="E36" s="40"/>
      <c r="F36" s="40"/>
      <c r="G36" s="40"/>
      <c r="H36" s="40"/>
      <c r="I36" s="40"/>
      <c r="J36" s="40"/>
      <c r="K36" s="79" t="str">
        <f>IF(COUNTIF(K38:K61, "="&amp;IncompleteText), IncompleteText, IF(COUNTIF(K38:K61, "="&amp;ErrorText), ErrorText, OKText))</f>
        <v>WARNING</v>
      </c>
      <c r="M36" s="40" t="s">
        <v>290</v>
      </c>
      <c r="N36" s="40"/>
      <c r="O36" s="40"/>
      <c r="P36" s="40"/>
      <c r="Q36" s="40"/>
      <c r="R36" s="40"/>
      <c r="S36" s="40"/>
      <c r="T36" s="40"/>
      <c r="U36" s="40"/>
      <c r="V36" s="40"/>
      <c r="W36" s="79" t="str">
        <f>IF(COUNTIF(W38:W40, "="&amp;IncompleteText), IncompleteText, IF(COUNTIF(W38:W40, "="&amp;ErrorText), ErrorText, OKText))</f>
        <v>OK</v>
      </c>
    </row>
    <row r="37" spans="1:23" x14ac:dyDescent="0.15">
      <c r="A37" s="81" t="s">
        <v>48</v>
      </c>
      <c r="B37" s="117"/>
      <c r="C37" s="24"/>
      <c r="D37" s="24"/>
      <c r="E37" s="24"/>
      <c r="F37" s="24"/>
      <c r="G37" s="24"/>
      <c r="H37" s="24"/>
      <c r="I37" s="24"/>
      <c r="J37" s="24"/>
      <c r="K37" s="80"/>
      <c r="M37" s="24"/>
      <c r="N37" s="24"/>
      <c r="O37" s="24"/>
      <c r="P37" s="24"/>
      <c r="Q37" s="24"/>
      <c r="R37" s="24"/>
      <c r="S37" s="24"/>
      <c r="T37" s="24"/>
      <c r="U37" s="24"/>
      <c r="V37" s="24"/>
      <c r="W37" s="80"/>
    </row>
    <row r="38" spans="1:23" x14ac:dyDescent="0.15">
      <c r="A38" s="78" t="s">
        <v>291</v>
      </c>
      <c r="B38" s="78"/>
      <c r="C38" s="62" t="s">
        <v>292</v>
      </c>
      <c r="D38" s="62"/>
      <c r="E38" s="62"/>
      <c r="F38" s="62"/>
      <c r="G38" s="62"/>
      <c r="H38" s="62"/>
      <c r="I38" s="63"/>
      <c r="J38" s="3" t="b">
        <v>1</v>
      </c>
      <c r="K38" s="13" t="str">
        <f t="shared" ref="K38:K61" si="0">IF(ISBLANK(J38),IncompleteText, IF(J38, OKText, ErrorText))</f>
        <v>OK</v>
      </c>
      <c r="M38" s="62" t="s">
        <v>293</v>
      </c>
      <c r="N38" s="62"/>
      <c r="O38" s="62"/>
      <c r="P38" s="62"/>
      <c r="Q38" s="62"/>
      <c r="R38" s="62"/>
      <c r="S38" s="62"/>
      <c r="T38" s="62"/>
      <c r="U38" s="63"/>
      <c r="V38" s="3" t="b">
        <v>1</v>
      </c>
      <c r="W38" s="13" t="str">
        <f>IF(ISBLANK(V38),IncompleteText, IF(V38, OKText, ErrorText))</f>
        <v>OK</v>
      </c>
    </row>
    <row r="39" spans="1:23" x14ac:dyDescent="0.15">
      <c r="A39" s="78" t="s">
        <v>291</v>
      </c>
      <c r="B39" s="78"/>
      <c r="C39" s="62" t="s">
        <v>294</v>
      </c>
      <c r="D39" s="62"/>
      <c r="E39" s="62"/>
      <c r="F39" s="62"/>
      <c r="G39" s="62"/>
      <c r="H39" s="62"/>
      <c r="I39" s="63"/>
      <c r="J39" s="3" t="b">
        <v>1</v>
      </c>
      <c r="K39" s="13" t="str">
        <f t="shared" si="0"/>
        <v>OK</v>
      </c>
      <c r="M39" s="62" t="s">
        <v>295</v>
      </c>
      <c r="N39" s="62"/>
      <c r="O39" s="62"/>
      <c r="P39" s="62"/>
      <c r="Q39" s="62"/>
      <c r="R39" s="62"/>
      <c r="S39" s="62"/>
      <c r="T39" s="62"/>
      <c r="U39" s="63"/>
      <c r="V39" s="3" t="b">
        <v>1</v>
      </c>
      <c r="W39" s="13" t="str">
        <f>IF(ISBLANK(V39),IncompleteText, IF(V39, OKText, ErrorText))</f>
        <v>OK</v>
      </c>
    </row>
    <row r="40" spans="1:23" x14ac:dyDescent="0.15">
      <c r="A40" s="78" t="s">
        <v>296</v>
      </c>
      <c r="B40" s="78"/>
      <c r="C40" s="62" t="s">
        <v>297</v>
      </c>
      <c r="D40" s="62"/>
      <c r="E40" s="62"/>
      <c r="F40" s="62"/>
      <c r="G40" s="62"/>
      <c r="H40" s="62"/>
      <c r="I40" s="63"/>
      <c r="J40" s="3" t="b">
        <v>1</v>
      </c>
      <c r="K40" s="13" t="str">
        <f>IF(ISBLANK(J40),IncompleteText, IF(J40, OKText, ErrorText))</f>
        <v>OK</v>
      </c>
      <c r="M40" s="62" t="s">
        <v>298</v>
      </c>
      <c r="N40" s="62"/>
      <c r="O40" s="62"/>
      <c r="P40" s="62"/>
      <c r="Q40" s="62"/>
      <c r="R40" s="62"/>
      <c r="S40" s="62"/>
      <c r="T40" s="62"/>
      <c r="U40" s="63"/>
      <c r="V40" s="3" t="b">
        <v>1</v>
      </c>
      <c r="W40" s="13" t="str">
        <f>IF(ISBLANK(V40),IncompleteText, IF(V40, OKText, ErrorText))</f>
        <v>OK</v>
      </c>
    </row>
    <row r="41" spans="1:23" x14ac:dyDescent="0.15">
      <c r="A41" s="78" t="s">
        <v>296</v>
      </c>
      <c r="B41" s="78"/>
      <c r="C41" s="62" t="s">
        <v>299</v>
      </c>
      <c r="D41" s="62"/>
      <c r="E41" s="62"/>
      <c r="F41" s="62"/>
      <c r="G41" s="62"/>
      <c r="H41" s="62"/>
      <c r="I41" s="63"/>
      <c r="J41" s="3" t="b">
        <v>1</v>
      </c>
      <c r="K41" s="13" t="str">
        <f>IF(ISBLANK(J41),IncompleteText, IF(J41, OKText, ErrorText))</f>
        <v>OK</v>
      </c>
      <c r="M41" s="40" t="s">
        <v>18</v>
      </c>
      <c r="N41" s="40"/>
      <c r="O41" s="40"/>
      <c r="P41" s="40"/>
      <c r="Q41" s="40"/>
      <c r="R41" s="40"/>
      <c r="S41" s="40"/>
      <c r="T41" s="40"/>
      <c r="U41" s="40"/>
      <c r="V41" s="90" t="s">
        <v>48</v>
      </c>
      <c r="W41" s="91"/>
    </row>
    <row r="42" spans="1:23" x14ac:dyDescent="0.15">
      <c r="A42" s="78" t="s">
        <v>300</v>
      </c>
      <c r="B42" s="78"/>
      <c r="C42" s="62" t="s">
        <v>301</v>
      </c>
      <c r="D42" s="62"/>
      <c r="E42" s="62"/>
      <c r="F42" s="62"/>
      <c r="G42" s="62"/>
      <c r="H42" s="62"/>
      <c r="I42" s="63"/>
      <c r="J42" s="3" t="b">
        <v>1</v>
      </c>
      <c r="K42" s="13" t="str">
        <f t="shared" si="0"/>
        <v>OK</v>
      </c>
      <c r="M42" s="49"/>
      <c r="N42" s="50"/>
      <c r="O42" s="50"/>
      <c r="P42" s="50"/>
      <c r="Q42" s="50"/>
      <c r="R42" s="50"/>
      <c r="S42" s="50"/>
      <c r="T42" s="50"/>
      <c r="U42" s="50"/>
      <c r="V42" s="70" t="s">
        <v>279</v>
      </c>
      <c r="W42" s="92"/>
    </row>
    <row r="43" spans="1:23" x14ac:dyDescent="0.15">
      <c r="A43" s="78" t="s">
        <v>302</v>
      </c>
      <c r="B43" s="78"/>
      <c r="C43" s="62" t="s">
        <v>303</v>
      </c>
      <c r="D43" s="62"/>
      <c r="E43" s="62"/>
      <c r="F43" s="62"/>
      <c r="G43" s="62"/>
      <c r="H43" s="62"/>
      <c r="I43" s="63"/>
      <c r="J43" s="3" t="b">
        <v>1</v>
      </c>
      <c r="K43" s="13" t="str">
        <f>IF(ISBLANK(J43),IncompleteText, IF(J43, OKText, ErrorText))</f>
        <v>OK</v>
      </c>
      <c r="M43" s="49"/>
      <c r="N43" s="50"/>
      <c r="O43" s="50"/>
      <c r="P43" s="50"/>
      <c r="Q43" s="50"/>
      <c r="R43" s="50"/>
      <c r="S43" s="50"/>
      <c r="T43" s="50"/>
      <c r="U43" s="50"/>
      <c r="V43" s="93"/>
      <c r="W43" s="94"/>
    </row>
    <row r="44" spans="1:23" x14ac:dyDescent="0.15">
      <c r="A44" s="78" t="s">
        <v>304</v>
      </c>
      <c r="B44" s="78"/>
      <c r="C44" s="62" t="s">
        <v>268</v>
      </c>
      <c r="D44" s="62"/>
      <c r="E44" s="62"/>
      <c r="F44" s="62"/>
      <c r="G44" s="62"/>
      <c r="H44" s="62"/>
      <c r="I44" s="63"/>
      <c r="J44" s="3" t="b">
        <v>1</v>
      </c>
      <c r="K44" s="13" t="str">
        <f>IF(ISBLANK(J44),IncompleteText, IF(J44, OKText, ErrorText))</f>
        <v>OK</v>
      </c>
      <c r="M44" s="49"/>
      <c r="N44" s="50"/>
      <c r="O44" s="50"/>
      <c r="P44" s="50"/>
      <c r="Q44" s="50"/>
      <c r="R44" s="50"/>
      <c r="S44" s="50"/>
      <c r="T44" s="50"/>
      <c r="U44" s="50"/>
      <c r="V44" s="93"/>
      <c r="W44" s="94"/>
    </row>
    <row r="45" spans="1:23" x14ac:dyDescent="0.15">
      <c r="A45" s="78" t="s">
        <v>103</v>
      </c>
      <c r="B45" s="78"/>
      <c r="C45" s="62" t="s">
        <v>104</v>
      </c>
      <c r="D45" s="62"/>
      <c r="E45" s="62"/>
      <c r="F45" s="62"/>
      <c r="G45" s="62"/>
      <c r="H45" s="62"/>
      <c r="I45" s="63"/>
      <c r="J45" s="3" t="b">
        <v>1</v>
      </c>
      <c r="K45" s="13" t="str">
        <f t="shared" si="0"/>
        <v>OK</v>
      </c>
      <c r="M45" s="49"/>
      <c r="N45" s="50"/>
      <c r="O45" s="50"/>
      <c r="P45" s="50"/>
      <c r="Q45" s="50"/>
      <c r="R45" s="50"/>
      <c r="S45" s="50"/>
      <c r="T45" s="50"/>
      <c r="U45" s="50"/>
      <c r="V45" s="95"/>
      <c r="W45" s="96"/>
    </row>
    <row r="46" spans="1:23" x14ac:dyDescent="0.15">
      <c r="A46" s="78" t="s">
        <v>279</v>
      </c>
      <c r="B46" s="78"/>
      <c r="C46" s="62" t="s">
        <v>277</v>
      </c>
      <c r="D46" s="62"/>
      <c r="E46" s="62"/>
      <c r="F46" s="62"/>
      <c r="G46" s="62"/>
      <c r="H46" s="62"/>
      <c r="I46" s="63"/>
      <c r="J46" s="3" t="b">
        <v>1</v>
      </c>
      <c r="K46" s="13" t="str">
        <f t="shared" si="0"/>
        <v>OK</v>
      </c>
    </row>
    <row r="47" spans="1:23" x14ac:dyDescent="0.15">
      <c r="A47" s="78" t="s">
        <v>305</v>
      </c>
      <c r="B47" s="78"/>
      <c r="C47" s="62" t="s">
        <v>306</v>
      </c>
      <c r="D47" s="62"/>
      <c r="E47" s="62"/>
      <c r="F47" s="62"/>
      <c r="G47" s="62"/>
      <c r="H47" s="62"/>
      <c r="I47" s="63"/>
      <c r="J47" s="3" t="b">
        <v>1</v>
      </c>
      <c r="K47" s="13" t="str">
        <f t="shared" si="0"/>
        <v>OK</v>
      </c>
      <c r="M47" s="86" t="s">
        <v>307</v>
      </c>
      <c r="N47" s="86"/>
      <c r="O47" s="86"/>
      <c r="P47" s="86"/>
      <c r="Q47" s="86"/>
      <c r="R47" s="86"/>
      <c r="S47" s="86"/>
      <c r="T47" s="86"/>
      <c r="U47" s="86"/>
      <c r="V47" s="86"/>
      <c r="W47" s="86"/>
    </row>
    <row r="48" spans="1:23" x14ac:dyDescent="0.15">
      <c r="A48" s="78" t="s">
        <v>308</v>
      </c>
      <c r="B48" s="78"/>
      <c r="C48" s="62" t="s">
        <v>309</v>
      </c>
      <c r="D48" s="62"/>
      <c r="E48" s="62"/>
      <c r="F48" s="62"/>
      <c r="G48" s="62"/>
      <c r="H48" s="62"/>
      <c r="I48" s="63"/>
      <c r="J48" s="3" t="b">
        <v>1</v>
      </c>
      <c r="K48" s="13" t="str">
        <f t="shared" si="0"/>
        <v>OK</v>
      </c>
      <c r="M48" s="86"/>
      <c r="N48" s="86"/>
      <c r="O48" s="86"/>
      <c r="P48" s="86"/>
      <c r="Q48" s="86"/>
      <c r="R48" s="86"/>
      <c r="S48" s="86"/>
      <c r="T48" s="86"/>
      <c r="U48" s="86"/>
      <c r="V48" s="86"/>
      <c r="W48" s="86"/>
    </row>
    <row r="49" spans="1:23" x14ac:dyDescent="0.15">
      <c r="A49" s="78" t="s">
        <v>355</v>
      </c>
      <c r="B49" s="78"/>
      <c r="C49" s="62" t="s">
        <v>354</v>
      </c>
      <c r="D49" s="62"/>
      <c r="E49" s="62"/>
      <c r="F49" s="62"/>
      <c r="G49" s="62"/>
      <c r="H49" s="62"/>
      <c r="I49" s="63"/>
      <c r="J49" s="3" t="b">
        <v>0</v>
      </c>
      <c r="K49" s="13" t="str">
        <f t="shared" si="0"/>
        <v>WARNING</v>
      </c>
      <c r="M49" s="86"/>
      <c r="N49" s="86"/>
      <c r="O49" s="86"/>
      <c r="P49" s="86"/>
      <c r="Q49" s="86"/>
      <c r="R49" s="86"/>
      <c r="S49" s="86"/>
      <c r="T49" s="86"/>
      <c r="U49" s="86"/>
      <c r="V49" s="86"/>
      <c r="W49" s="86"/>
    </row>
    <row r="50" spans="1:23" x14ac:dyDescent="0.15">
      <c r="A50" s="78"/>
      <c r="B50" s="78"/>
      <c r="C50" s="62" t="s">
        <v>310</v>
      </c>
      <c r="D50" s="62"/>
      <c r="E50" s="62"/>
      <c r="F50" s="62"/>
      <c r="G50" s="62"/>
      <c r="H50" s="62"/>
      <c r="I50" s="63"/>
      <c r="J50" s="3" t="b">
        <v>1</v>
      </c>
      <c r="K50" s="13" t="str">
        <f t="shared" si="0"/>
        <v>OK</v>
      </c>
      <c r="M50" s="86"/>
      <c r="N50" s="86"/>
      <c r="O50" s="86"/>
      <c r="P50" s="86"/>
      <c r="Q50" s="86"/>
      <c r="R50" s="86"/>
      <c r="S50" s="86"/>
      <c r="T50" s="86"/>
      <c r="U50" s="86"/>
      <c r="V50" s="86"/>
      <c r="W50" s="86"/>
    </row>
    <row r="51" spans="1:23" x14ac:dyDescent="0.15">
      <c r="A51" s="78"/>
      <c r="B51" s="78"/>
      <c r="C51" s="62" t="s">
        <v>311</v>
      </c>
      <c r="D51" s="62"/>
      <c r="E51" s="62"/>
      <c r="F51" s="62"/>
      <c r="G51" s="62"/>
      <c r="H51" s="62"/>
      <c r="I51" s="63"/>
      <c r="J51" s="3" t="b">
        <v>1</v>
      </c>
      <c r="K51" s="13" t="str">
        <f t="shared" si="0"/>
        <v>OK</v>
      </c>
      <c r="M51" s="86"/>
      <c r="N51" s="86"/>
      <c r="O51" s="86"/>
      <c r="P51" s="86"/>
      <c r="Q51" s="86"/>
      <c r="R51" s="86"/>
      <c r="S51" s="86"/>
      <c r="T51" s="86"/>
      <c r="U51" s="86"/>
      <c r="V51" s="86"/>
      <c r="W51" s="86"/>
    </row>
    <row r="52" spans="1:23" x14ac:dyDescent="0.15">
      <c r="A52" s="78"/>
      <c r="B52" s="78"/>
      <c r="C52" s="62" t="s">
        <v>269</v>
      </c>
      <c r="D52" s="62"/>
      <c r="E52" s="62"/>
      <c r="F52" s="62"/>
      <c r="G52" s="62"/>
      <c r="H52" s="62"/>
      <c r="I52" s="63"/>
      <c r="J52" s="3" t="b">
        <v>1</v>
      </c>
      <c r="K52" s="13" t="str">
        <f t="shared" si="0"/>
        <v>OK</v>
      </c>
      <c r="M52" s="86"/>
      <c r="N52" s="86"/>
      <c r="O52" s="86"/>
      <c r="P52" s="86"/>
      <c r="Q52" s="86"/>
      <c r="R52" s="86"/>
      <c r="S52" s="86"/>
      <c r="T52" s="86"/>
      <c r="U52" s="86"/>
      <c r="V52" s="86"/>
      <c r="W52" s="86"/>
    </row>
    <row r="53" spans="1:23" x14ac:dyDescent="0.15">
      <c r="A53" s="78" t="s">
        <v>312</v>
      </c>
      <c r="B53" s="78"/>
      <c r="C53" s="62" t="s">
        <v>313</v>
      </c>
      <c r="D53" s="62"/>
      <c r="E53" s="62"/>
      <c r="F53" s="62"/>
      <c r="G53" s="62"/>
      <c r="H53" s="62"/>
      <c r="I53" s="63"/>
      <c r="J53" s="3" t="b">
        <v>1</v>
      </c>
      <c r="K53" s="13" t="str">
        <f t="shared" si="0"/>
        <v>OK</v>
      </c>
      <c r="M53" s="86"/>
      <c r="N53" s="86"/>
      <c r="O53" s="86"/>
      <c r="P53" s="86"/>
      <c r="Q53" s="86"/>
      <c r="R53" s="86"/>
      <c r="S53" s="86"/>
      <c r="T53" s="86"/>
      <c r="U53" s="86"/>
      <c r="V53" s="86"/>
      <c r="W53" s="86"/>
    </row>
    <row r="54" spans="1:23" x14ac:dyDescent="0.15">
      <c r="A54" s="78" t="s">
        <v>312</v>
      </c>
      <c r="B54" s="78"/>
      <c r="C54" s="62" t="s">
        <v>314</v>
      </c>
      <c r="D54" s="62"/>
      <c r="E54" s="62"/>
      <c r="F54" s="62"/>
      <c r="G54" s="62"/>
      <c r="H54" s="62"/>
      <c r="I54" s="63"/>
      <c r="J54" s="3" t="b">
        <v>1</v>
      </c>
      <c r="K54" s="13" t="str">
        <f t="shared" si="0"/>
        <v>OK</v>
      </c>
      <c r="M54" s="86"/>
      <c r="N54" s="86"/>
      <c r="O54" s="86"/>
      <c r="P54" s="86"/>
      <c r="Q54" s="86"/>
      <c r="R54" s="86"/>
      <c r="S54" s="86"/>
      <c r="T54" s="86"/>
      <c r="U54" s="86"/>
      <c r="V54" s="86"/>
      <c r="W54" s="86"/>
    </row>
    <row r="55" spans="1:23" x14ac:dyDescent="0.15">
      <c r="A55" s="78" t="s">
        <v>312</v>
      </c>
      <c r="B55" s="78"/>
      <c r="C55" s="62" t="s">
        <v>315</v>
      </c>
      <c r="D55" s="62"/>
      <c r="E55" s="62"/>
      <c r="F55" s="62"/>
      <c r="G55" s="62"/>
      <c r="H55" s="62"/>
      <c r="I55" s="63"/>
      <c r="J55" s="3" t="b">
        <v>1</v>
      </c>
      <c r="K55" s="13" t="str">
        <f t="shared" si="0"/>
        <v>OK</v>
      </c>
      <c r="M55" s="86"/>
      <c r="N55" s="86"/>
      <c r="O55" s="86"/>
      <c r="P55" s="86"/>
      <c r="Q55" s="86"/>
      <c r="R55" s="86"/>
      <c r="S55" s="86"/>
      <c r="T55" s="86"/>
      <c r="U55" s="86"/>
      <c r="V55" s="86"/>
      <c r="W55" s="86"/>
    </row>
    <row r="56" spans="1:23" x14ac:dyDescent="0.15">
      <c r="A56" s="78"/>
      <c r="B56" s="78"/>
      <c r="C56" s="62" t="s">
        <v>316</v>
      </c>
      <c r="D56" s="62"/>
      <c r="E56" s="62"/>
      <c r="F56" s="62"/>
      <c r="G56" s="62"/>
      <c r="H56" s="62"/>
      <c r="I56" s="63"/>
      <c r="J56" s="3" t="b">
        <v>1</v>
      </c>
      <c r="K56" s="13" t="e">
        <f>IF(ISBLANK(#REF!),IncompleteText, IF(#REF!, OKText, ErrorText))</f>
        <v>#REF!</v>
      </c>
      <c r="M56" s="86"/>
      <c r="N56" s="86"/>
      <c r="O56" s="86"/>
      <c r="P56" s="86"/>
      <c r="Q56" s="86"/>
      <c r="R56" s="86"/>
      <c r="S56" s="86"/>
      <c r="T56" s="86"/>
      <c r="U56" s="86"/>
      <c r="V56" s="86"/>
      <c r="W56" s="86"/>
    </row>
    <row r="57" spans="1:23" x14ac:dyDescent="0.15">
      <c r="A57" s="78" t="s">
        <v>317</v>
      </c>
      <c r="B57" s="78"/>
      <c r="C57" s="62" t="s">
        <v>318</v>
      </c>
      <c r="D57" s="62"/>
      <c r="E57" s="62"/>
      <c r="F57" s="62"/>
      <c r="G57" s="62"/>
      <c r="H57" s="62"/>
      <c r="I57" s="63"/>
      <c r="J57" s="3" t="b">
        <v>1</v>
      </c>
      <c r="K57" s="13" t="str">
        <f>IF(ISBLANK(J56),IncompleteText, IF(J56, OKText, ErrorText))</f>
        <v>OK</v>
      </c>
      <c r="M57" s="86"/>
      <c r="N57" s="86"/>
      <c r="O57" s="86"/>
      <c r="P57" s="86"/>
      <c r="Q57" s="86"/>
      <c r="R57" s="86"/>
      <c r="S57" s="86"/>
      <c r="T57" s="86"/>
      <c r="U57" s="86"/>
      <c r="V57" s="86"/>
      <c r="W57" s="86"/>
    </row>
    <row r="58" spans="1:23" x14ac:dyDescent="0.15">
      <c r="A58" s="78" t="s">
        <v>319</v>
      </c>
      <c r="B58" s="78"/>
      <c r="C58" s="62" t="s">
        <v>320</v>
      </c>
      <c r="D58" s="62"/>
      <c r="E58" s="62"/>
      <c r="F58" s="62"/>
      <c r="G58" s="62"/>
      <c r="H58" s="62"/>
      <c r="I58" s="63"/>
      <c r="J58" s="37" t="b">
        <v>1</v>
      </c>
      <c r="K58" s="13" t="str">
        <f>IF(ISBLANK(J57),IncompleteText, IF(J57, OKText, ErrorText))</f>
        <v>OK</v>
      </c>
      <c r="M58" s="86"/>
      <c r="N58" s="86"/>
      <c r="O58" s="86"/>
      <c r="P58" s="86"/>
      <c r="Q58" s="86"/>
      <c r="R58" s="86"/>
      <c r="S58" s="86"/>
      <c r="T58" s="86"/>
      <c r="U58" s="86"/>
      <c r="V58" s="86"/>
      <c r="W58" s="86"/>
    </row>
    <row r="59" spans="1:23" x14ac:dyDescent="0.15">
      <c r="A59" s="78"/>
      <c r="B59" s="78"/>
      <c r="C59" s="62" t="s">
        <v>321</v>
      </c>
      <c r="D59" s="62"/>
      <c r="E59" s="62"/>
      <c r="F59" s="62"/>
      <c r="G59" s="62"/>
      <c r="H59" s="62"/>
      <c r="I59" s="63"/>
      <c r="J59" s="3" t="b">
        <v>1</v>
      </c>
      <c r="K59" s="13" t="str">
        <f t="shared" si="0"/>
        <v>OK</v>
      </c>
      <c r="M59" s="86"/>
      <c r="N59" s="86"/>
      <c r="O59" s="86"/>
      <c r="P59" s="86"/>
      <c r="Q59" s="86"/>
      <c r="R59" s="86"/>
      <c r="S59" s="86"/>
      <c r="T59" s="86"/>
      <c r="U59" s="86"/>
      <c r="V59" s="86"/>
      <c r="W59" s="86"/>
    </row>
    <row r="60" spans="1:23" x14ac:dyDescent="0.15">
      <c r="A60" s="78"/>
      <c r="B60" s="78"/>
      <c r="C60" s="62" t="s">
        <v>322</v>
      </c>
      <c r="D60" s="62"/>
      <c r="E60" s="62"/>
      <c r="F60" s="62"/>
      <c r="G60" s="62"/>
      <c r="H60" s="62"/>
      <c r="I60" s="63"/>
      <c r="J60" s="3" t="b">
        <v>1</v>
      </c>
      <c r="K60" s="13" t="str">
        <f t="shared" si="0"/>
        <v>OK</v>
      </c>
      <c r="M60" s="86"/>
      <c r="N60" s="86"/>
      <c r="O60" s="86"/>
      <c r="P60" s="86"/>
      <c r="Q60" s="86"/>
      <c r="R60" s="86"/>
      <c r="S60" s="86"/>
      <c r="T60" s="86"/>
      <c r="U60" s="86"/>
      <c r="V60" s="86"/>
      <c r="W60" s="86"/>
    </row>
    <row r="61" spans="1:23" x14ac:dyDescent="0.15">
      <c r="A61" s="78" t="s">
        <v>323</v>
      </c>
      <c r="B61" s="78"/>
      <c r="C61" s="62" t="s">
        <v>324</v>
      </c>
      <c r="D61" s="62"/>
      <c r="E61" s="62"/>
      <c r="F61" s="62"/>
      <c r="G61" s="62"/>
      <c r="H61" s="62"/>
      <c r="I61" s="63"/>
      <c r="J61" s="3" t="b">
        <v>1</v>
      </c>
      <c r="K61" s="13" t="str">
        <f t="shared" si="0"/>
        <v>OK</v>
      </c>
      <c r="M61" s="86"/>
      <c r="N61" s="86"/>
      <c r="O61" s="86"/>
      <c r="P61" s="86"/>
      <c r="Q61" s="86"/>
      <c r="R61" s="86"/>
      <c r="S61" s="86"/>
      <c r="T61" s="86"/>
      <c r="U61" s="86"/>
      <c r="V61" s="86"/>
      <c r="W61" s="86"/>
    </row>
    <row r="62" spans="1:23" x14ac:dyDescent="0.15">
      <c r="A62" s="40" t="s">
        <v>18</v>
      </c>
      <c r="B62" s="40"/>
      <c r="C62" s="40"/>
      <c r="D62" s="40"/>
      <c r="E62" s="40"/>
      <c r="F62" s="40"/>
      <c r="G62" s="40"/>
      <c r="H62" s="40"/>
      <c r="I62" s="40"/>
      <c r="J62" s="90" t="s">
        <v>48</v>
      </c>
      <c r="K62" s="91"/>
      <c r="M62" s="86"/>
      <c r="N62" s="86"/>
      <c r="O62" s="86"/>
      <c r="P62" s="86"/>
      <c r="Q62" s="86"/>
      <c r="R62" s="86"/>
      <c r="S62" s="86"/>
      <c r="T62" s="86"/>
      <c r="U62" s="86"/>
      <c r="V62" s="86"/>
      <c r="W62" s="86"/>
    </row>
    <row r="63" spans="1:23" x14ac:dyDescent="0.15">
      <c r="A63" s="49" t="s">
        <v>491</v>
      </c>
      <c r="B63" s="50"/>
      <c r="C63" s="50"/>
      <c r="D63" s="50"/>
      <c r="E63" s="50"/>
      <c r="F63" s="50"/>
      <c r="G63" s="50"/>
      <c r="H63" s="50"/>
      <c r="I63" s="50"/>
      <c r="J63" s="70" t="s">
        <v>325</v>
      </c>
      <c r="K63" s="92"/>
      <c r="M63" s="86"/>
      <c r="N63" s="86"/>
      <c r="O63" s="86"/>
      <c r="P63" s="86"/>
      <c r="Q63" s="86"/>
      <c r="R63" s="86"/>
      <c r="S63" s="86"/>
      <c r="T63" s="86"/>
      <c r="U63" s="86"/>
      <c r="V63" s="86"/>
      <c r="W63" s="86"/>
    </row>
    <row r="64" spans="1:23" x14ac:dyDescent="0.15">
      <c r="A64" s="49"/>
      <c r="B64" s="50"/>
      <c r="C64" s="50"/>
      <c r="D64" s="50"/>
      <c r="E64" s="50"/>
      <c r="F64" s="50"/>
      <c r="G64" s="50"/>
      <c r="H64" s="50"/>
      <c r="I64" s="50"/>
      <c r="J64" s="93"/>
      <c r="K64" s="94"/>
      <c r="M64" s="86"/>
      <c r="N64" s="86"/>
      <c r="O64" s="86"/>
      <c r="P64" s="86"/>
      <c r="Q64" s="86"/>
      <c r="R64" s="86"/>
      <c r="S64" s="86"/>
      <c r="T64" s="86"/>
      <c r="U64" s="86"/>
      <c r="V64" s="86"/>
      <c r="W64" s="86"/>
    </row>
    <row r="65" spans="1:23" x14ac:dyDescent="0.15">
      <c r="A65" s="49"/>
      <c r="B65" s="50"/>
      <c r="C65" s="50"/>
      <c r="D65" s="50"/>
      <c r="E65" s="50"/>
      <c r="F65" s="50"/>
      <c r="G65" s="50"/>
      <c r="H65" s="50"/>
      <c r="I65" s="50"/>
      <c r="J65" s="93"/>
      <c r="K65" s="94"/>
      <c r="M65" s="86"/>
      <c r="N65" s="86"/>
      <c r="O65" s="86"/>
      <c r="P65" s="86"/>
      <c r="Q65" s="86"/>
      <c r="R65" s="86"/>
      <c r="S65" s="86"/>
      <c r="T65" s="86"/>
      <c r="U65" s="86"/>
      <c r="V65" s="86"/>
      <c r="W65" s="86"/>
    </row>
    <row r="66" spans="1:23" x14ac:dyDescent="0.15">
      <c r="A66" s="49"/>
      <c r="B66" s="50"/>
      <c r="C66" s="50"/>
      <c r="D66" s="50"/>
      <c r="E66" s="50"/>
      <c r="F66" s="50"/>
      <c r="G66" s="50"/>
      <c r="H66" s="50"/>
      <c r="I66" s="50"/>
      <c r="J66" s="95"/>
      <c r="K66" s="96"/>
      <c r="M66" s="86"/>
      <c r="N66" s="86"/>
      <c r="O66" s="86"/>
      <c r="P66" s="86"/>
      <c r="Q66" s="86"/>
      <c r="R66" s="86"/>
      <c r="S66" s="86"/>
      <c r="T66" s="86"/>
      <c r="U66" s="86"/>
      <c r="V66" s="86"/>
      <c r="W66" s="86"/>
    </row>
    <row r="67" spans="1:23" x14ac:dyDescent="0.15">
      <c r="M67" s="86"/>
      <c r="N67" s="86"/>
      <c r="O67" s="86"/>
      <c r="P67" s="86"/>
      <c r="Q67" s="86"/>
      <c r="R67" s="86"/>
      <c r="S67" s="86"/>
      <c r="T67" s="86"/>
      <c r="U67" s="86"/>
      <c r="V67" s="86"/>
      <c r="W67" s="86"/>
    </row>
    <row r="68" spans="1:23" x14ac:dyDescent="0.15">
      <c r="M68" s="86"/>
      <c r="N68" s="86"/>
      <c r="O68" s="86"/>
      <c r="P68" s="86"/>
      <c r="Q68" s="86"/>
      <c r="R68" s="86"/>
      <c r="S68" s="86"/>
      <c r="T68" s="86"/>
      <c r="U68" s="86"/>
      <c r="V68" s="86"/>
      <c r="W68" s="86"/>
    </row>
    <row r="69" spans="1:23" x14ac:dyDescent="0.15">
      <c r="M69" s="86"/>
      <c r="N69" s="86"/>
      <c r="O69" s="86"/>
      <c r="P69" s="86"/>
      <c r="Q69" s="86"/>
      <c r="R69" s="86"/>
      <c r="S69" s="86"/>
      <c r="T69" s="86"/>
      <c r="U69" s="86"/>
      <c r="V69" s="86"/>
      <c r="W69" s="86"/>
    </row>
    <row r="70" spans="1:23" x14ac:dyDescent="0.15">
      <c r="M70" s="86"/>
      <c r="N70" s="86"/>
      <c r="O70" s="86"/>
      <c r="P70" s="86"/>
      <c r="Q70" s="86"/>
      <c r="R70" s="86"/>
      <c r="S70" s="86"/>
      <c r="T70" s="86"/>
      <c r="U70" s="86"/>
      <c r="V70" s="86"/>
      <c r="W70" s="86"/>
    </row>
    <row r="71" spans="1:23" x14ac:dyDescent="0.15">
      <c r="M71" s="86"/>
      <c r="N71" s="86"/>
      <c r="O71" s="86"/>
      <c r="P71" s="86"/>
      <c r="Q71" s="86"/>
      <c r="R71" s="86"/>
      <c r="S71" s="86"/>
      <c r="T71" s="86"/>
      <c r="U71" s="86"/>
      <c r="V71" s="86"/>
      <c r="W71" s="86"/>
    </row>
    <row r="72" spans="1:23" x14ac:dyDescent="0.15">
      <c r="M72" s="86"/>
      <c r="N72" s="86"/>
      <c r="O72" s="86"/>
      <c r="P72" s="86"/>
      <c r="Q72" s="86"/>
      <c r="R72" s="86"/>
      <c r="S72" s="86"/>
      <c r="T72" s="86"/>
      <c r="U72" s="86"/>
      <c r="V72" s="86"/>
      <c r="W72" s="86"/>
    </row>
    <row r="73" spans="1:23" x14ac:dyDescent="0.15">
      <c r="M73" s="86"/>
      <c r="N73" s="86"/>
      <c r="O73" s="86"/>
      <c r="P73" s="86"/>
      <c r="Q73" s="86"/>
      <c r="R73" s="86"/>
      <c r="S73" s="86"/>
      <c r="T73" s="86"/>
      <c r="U73" s="86"/>
      <c r="V73" s="86"/>
      <c r="W73" s="86"/>
    </row>
    <row r="74" spans="1:23" x14ac:dyDescent="0.15">
      <c r="M74" s="40" t="s">
        <v>326</v>
      </c>
      <c r="N74" s="40"/>
      <c r="O74" s="40"/>
      <c r="P74" s="40"/>
      <c r="Q74" s="40"/>
      <c r="R74" s="40"/>
      <c r="S74" s="40"/>
      <c r="T74" s="40"/>
      <c r="U74" s="40"/>
      <c r="V74" s="40"/>
      <c r="W74" s="30" t="str">
        <f>IF(COUNTIF(W75:W77, "="&amp;IncompleteText), IncompleteText, IF(COUNTIF(W75:W77, "="&amp;ErrorText), ErrorText, OKText))</f>
        <v>OK</v>
      </c>
    </row>
    <row r="75" spans="1:23" x14ac:dyDescent="0.15">
      <c r="M75" s="62" t="s">
        <v>327</v>
      </c>
      <c r="N75" s="62"/>
      <c r="O75" s="62"/>
      <c r="P75" s="62"/>
      <c r="Q75" s="62"/>
      <c r="R75" s="62"/>
      <c r="S75" s="62"/>
      <c r="T75" s="62"/>
      <c r="U75" s="63"/>
      <c r="V75" s="3" t="b">
        <v>1</v>
      </c>
      <c r="W75" s="13" t="str">
        <f>IF(ISBLANK(V75),IncompleteText, IF(V75, OKText, ErrorText))</f>
        <v>OK</v>
      </c>
    </row>
    <row r="76" spans="1:23" x14ac:dyDescent="0.15">
      <c r="M76" s="62" t="s">
        <v>328</v>
      </c>
      <c r="N76" s="62"/>
      <c r="O76" s="62"/>
      <c r="P76" s="62"/>
      <c r="Q76" s="62"/>
      <c r="R76" s="62"/>
      <c r="S76" s="62"/>
      <c r="T76" s="62"/>
      <c r="U76" s="63"/>
      <c r="V76" s="3" t="b">
        <v>1</v>
      </c>
      <c r="W76" s="13" t="str">
        <f>IF(ISBLANK(V76),IncompleteText, IF(V76, OKText, ErrorText))</f>
        <v>OK</v>
      </c>
    </row>
    <row r="77" spans="1:23" x14ac:dyDescent="0.15">
      <c r="M77" s="62" t="s">
        <v>329</v>
      </c>
      <c r="N77" s="62"/>
      <c r="O77" s="62"/>
      <c r="P77" s="62"/>
      <c r="Q77" s="62"/>
      <c r="R77" s="62"/>
      <c r="S77" s="62"/>
      <c r="T77" s="62"/>
      <c r="U77" s="63"/>
      <c r="V77" s="3" t="b">
        <v>1</v>
      </c>
      <c r="W77" s="13" t="str">
        <f>IF(ISBLANK(V77),IncompleteText, IF(V77, OKText, ErrorText))</f>
        <v>OK</v>
      </c>
    </row>
    <row r="78" spans="1:23" x14ac:dyDescent="0.15">
      <c r="M78" s="40" t="s">
        <v>18</v>
      </c>
      <c r="N78" s="40"/>
      <c r="O78" s="40"/>
      <c r="P78" s="40"/>
      <c r="Q78" s="40"/>
      <c r="R78" s="40"/>
      <c r="S78" s="40"/>
      <c r="T78" s="40"/>
      <c r="U78" s="40"/>
      <c r="V78" s="90" t="s">
        <v>48</v>
      </c>
      <c r="W78" s="91"/>
    </row>
    <row r="79" spans="1:23" x14ac:dyDescent="0.15">
      <c r="M79" s="49" t="s">
        <v>496</v>
      </c>
      <c r="N79" s="50"/>
      <c r="O79" s="50"/>
      <c r="P79" s="50"/>
      <c r="Q79" s="50"/>
      <c r="R79" s="50"/>
      <c r="S79" s="50"/>
      <c r="T79" s="50"/>
      <c r="U79" s="50"/>
      <c r="V79" s="70" t="s">
        <v>330</v>
      </c>
      <c r="W79" s="92"/>
    </row>
    <row r="80" spans="1:23" x14ac:dyDescent="0.15">
      <c r="M80" s="49"/>
      <c r="N80" s="50"/>
      <c r="O80" s="50"/>
      <c r="P80" s="50"/>
      <c r="Q80" s="50"/>
      <c r="R80" s="50"/>
      <c r="S80" s="50"/>
      <c r="T80" s="50"/>
      <c r="U80" s="50"/>
      <c r="V80" s="93"/>
      <c r="W80" s="94"/>
    </row>
    <row r="81" spans="13:23" x14ac:dyDescent="0.15">
      <c r="M81" s="49"/>
      <c r="N81" s="50"/>
      <c r="O81" s="50"/>
      <c r="P81" s="50"/>
      <c r="Q81" s="50"/>
      <c r="R81" s="50"/>
      <c r="S81" s="50"/>
      <c r="T81" s="50"/>
      <c r="U81" s="50"/>
      <c r="V81" s="93"/>
      <c r="W81" s="94"/>
    </row>
    <row r="82" spans="13:23" x14ac:dyDescent="0.15">
      <c r="M82" s="49"/>
      <c r="N82" s="50"/>
      <c r="O82" s="50"/>
      <c r="P82" s="50"/>
      <c r="Q82" s="50"/>
      <c r="R82" s="50"/>
      <c r="S82" s="50"/>
      <c r="T82" s="50"/>
      <c r="U82" s="50"/>
      <c r="V82" s="95"/>
      <c r="W82" s="96"/>
    </row>
  </sheetData>
  <sheetProtection algorithmName="SHA-512" hashValue="uZxEkseIZLvN/jjfBo9LYLbmQEjt+RVf+OR7BSB9yn4Zkoi82i7jJJKSn6xkZFv/YsH2JZVBaO9fx0+3hNFzLg==" saltValue="c/G76iUMjFLEHM4nPLuwwQ=="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activeCell="M13" sqref="M13"/>
    </sheetView>
  </sheetViews>
  <sheetFormatPr baseColWidth="10" defaultColWidth="8.7109375" defaultRowHeight="14" x14ac:dyDescent="0.15"/>
  <cols>
    <col min="1" max="11" width="8.7109375" style="2"/>
    <col min="12" max="12" width="12.5703125" style="2" customWidth="1"/>
    <col min="13" max="16384" width="8.7109375" style="2"/>
  </cols>
  <sheetData>
    <row r="1" spans="1:24" x14ac:dyDescent="0.15">
      <c r="A1" s="28" t="s">
        <v>1</v>
      </c>
      <c r="B1" s="13" t="str">
        <f ca="1">IF(SUM(COUNTIF(INDIRECT({"'Torque Security'!$F$2","'Torque Security'!$S$2"}), "="&amp;IncompleteText)), IncompleteText, IF(SUM(COUNTIF(INDIRECT({"'Torque Security'!$F$2","'Torque Security'!$S$2"}), "="&amp;ErrorText)), ErrorText, OKText))</f>
        <v>OK</v>
      </c>
    </row>
    <row r="2" spans="1:24" x14ac:dyDescent="0.15">
      <c r="A2" s="40" t="s">
        <v>331</v>
      </c>
      <c r="B2" s="40"/>
      <c r="C2" s="40"/>
      <c r="D2" s="40"/>
      <c r="E2" s="40"/>
      <c r="F2" s="80" t="str">
        <f>IF(COUNTIF(F5:F10, "="&amp;IncompleteText), IncompleteText, IF(COUNTIF(F5:F10, "="&amp;ErrorText), ErrorText, OKText))</f>
        <v>OK</v>
      </c>
      <c r="H2" s="40" t="s">
        <v>332</v>
      </c>
      <c r="I2" s="40"/>
      <c r="J2" s="40"/>
      <c r="K2" s="40"/>
      <c r="L2" s="40"/>
      <c r="M2" s="40"/>
      <c r="N2" s="40"/>
      <c r="O2" s="40"/>
      <c r="P2" s="40"/>
      <c r="Q2" s="40"/>
      <c r="R2" s="40"/>
      <c r="S2" s="80" t="str">
        <f>IF(COUNTIF(S6:S11, "="&amp;IncompleteText), IncompleteText, IF(COUNTIF(S6:S11, "="&amp;ErrorText), ErrorText, OKText))</f>
        <v>OK</v>
      </c>
    </row>
    <row r="3" spans="1:24" x14ac:dyDescent="0.15">
      <c r="A3" s="81" t="s">
        <v>278</v>
      </c>
      <c r="B3" s="82"/>
      <c r="C3" s="126" t="s">
        <v>333</v>
      </c>
      <c r="D3" s="130"/>
      <c r="E3" s="127"/>
      <c r="F3" s="80"/>
      <c r="H3" s="24"/>
      <c r="I3" s="24"/>
      <c r="J3" s="24"/>
      <c r="K3" s="24"/>
      <c r="L3" s="24"/>
      <c r="M3" s="24"/>
      <c r="N3" s="24"/>
      <c r="O3" s="24"/>
      <c r="P3" s="24"/>
      <c r="Q3" s="24"/>
      <c r="R3" s="24"/>
      <c r="S3" s="80"/>
    </row>
    <row r="4" spans="1:24" x14ac:dyDescent="0.15">
      <c r="A4" t="s">
        <v>334</v>
      </c>
      <c r="B4" s="65" t="s">
        <v>335</v>
      </c>
      <c r="C4" s="65"/>
      <c r="D4" s="65" t="s">
        <v>336</v>
      </c>
      <c r="E4" s="65"/>
      <c r="H4" s="69" t="s">
        <v>337</v>
      </c>
      <c r="I4" s="69"/>
      <c r="J4" s="69" t="s">
        <v>338</v>
      </c>
      <c r="K4" s="69"/>
      <c r="L4" s="69" t="s">
        <v>339</v>
      </c>
      <c r="M4" s="69" t="s">
        <v>340</v>
      </c>
      <c r="N4" s="69" t="s">
        <v>341</v>
      </c>
      <c r="O4" s="69" t="s">
        <v>342</v>
      </c>
      <c r="P4" s="69" t="s">
        <v>343</v>
      </c>
      <c r="Q4" s="69" t="s">
        <v>344</v>
      </c>
      <c r="R4" s="69" t="s">
        <v>10</v>
      </c>
      <c r="T4" s="65" t="s">
        <v>18</v>
      </c>
      <c r="U4" s="65"/>
      <c r="V4" s="65"/>
      <c r="W4" s="65"/>
      <c r="X4" s="65"/>
    </row>
    <row r="5" spans="1:24" x14ac:dyDescent="0.15">
      <c r="A5" s="8">
        <v>0</v>
      </c>
      <c r="B5" s="64">
        <v>4.58</v>
      </c>
      <c r="C5" s="64"/>
      <c r="D5" s="64">
        <v>2.0499999999999998</v>
      </c>
      <c r="E5" s="64"/>
      <c r="F5" s="13" t="str">
        <f>IF(OR(ISBLANK(B5),ISBLANK(D5)), IncompleteText, OKText)</f>
        <v>OK</v>
      </c>
      <c r="H5" s="69"/>
      <c r="I5" s="69"/>
      <c r="J5" s="61"/>
      <c r="K5" s="61"/>
      <c r="L5" s="128"/>
      <c r="M5" s="128"/>
      <c r="N5" s="61"/>
      <c r="O5" s="61"/>
      <c r="P5" s="61"/>
      <c r="Q5" s="61"/>
      <c r="R5" s="61"/>
      <c r="T5" s="129"/>
      <c r="U5" s="129"/>
      <c r="V5" s="129"/>
      <c r="W5" s="129"/>
      <c r="X5" s="129"/>
    </row>
    <row r="6" spans="1:24" x14ac:dyDescent="0.15">
      <c r="A6" s="8">
        <v>0.2</v>
      </c>
      <c r="B6" s="64">
        <v>3.8</v>
      </c>
      <c r="C6" s="64"/>
      <c r="D6" s="64">
        <v>1.69</v>
      </c>
      <c r="E6" s="64"/>
      <c r="F6" s="13" t="str">
        <f>IF(OR(ISBLANK(B6),ISBLANK(D6)),IncompleteText,IF(OR(AND(_xlfn.XOR(B6&lt;D6,B5&lt;D5),B5&lt;&gt;D5),B6=D6),ErrorText,OKText))</f>
        <v>OK</v>
      </c>
      <c r="H6" s="78" t="s">
        <v>345</v>
      </c>
      <c r="I6" s="78"/>
      <c r="J6" s="56" t="s">
        <v>477</v>
      </c>
      <c r="K6" s="56"/>
      <c r="L6" s="33" t="s">
        <v>481</v>
      </c>
      <c r="M6" s="33" t="s">
        <v>480</v>
      </c>
      <c r="N6" s="33" t="s">
        <v>482</v>
      </c>
      <c r="O6" s="33" t="s">
        <v>482</v>
      </c>
      <c r="P6" s="33" t="s">
        <v>482</v>
      </c>
      <c r="Q6" s="33" t="s">
        <v>482</v>
      </c>
      <c r="R6" s="27"/>
      <c r="S6" s="13" t="str">
        <f>IF(COUNTBLANK(J6:L6)&gt;1, IncompleteText, OKText)</f>
        <v>OK</v>
      </c>
      <c r="T6" s="56"/>
      <c r="U6" s="56"/>
      <c r="V6" s="56"/>
      <c r="W6" s="56"/>
      <c r="X6" s="56"/>
    </row>
    <row r="7" spans="1:24" x14ac:dyDescent="0.15">
      <c r="A7" s="8">
        <v>0.4</v>
      </c>
      <c r="B7" s="64">
        <v>2.92</v>
      </c>
      <c r="C7" s="64"/>
      <c r="D7" s="64">
        <v>1.35</v>
      </c>
      <c r="E7" s="64"/>
      <c r="F7" s="13" t="str">
        <f>IF(OR(ISBLANK(B7),ISBLANK(D7)), IncompleteText, IF(OR(_xlfn.XOR(B7&lt;D7,B6&lt;D6),B7=D7), ErrorText, OKText))</f>
        <v>OK</v>
      </c>
      <c r="H7" s="56" t="s">
        <v>477</v>
      </c>
      <c r="I7" s="56"/>
      <c r="J7" s="56" t="s">
        <v>478</v>
      </c>
      <c r="K7" s="56"/>
      <c r="L7" s="33" t="s">
        <v>479</v>
      </c>
      <c r="M7" s="33" t="s">
        <v>480</v>
      </c>
      <c r="N7" s="33" t="s">
        <v>480</v>
      </c>
      <c r="O7" s="33" t="s">
        <v>480</v>
      </c>
      <c r="P7" s="33" t="s">
        <v>480</v>
      </c>
      <c r="Q7" s="33" t="s">
        <v>480</v>
      </c>
      <c r="R7" s="27"/>
      <c r="S7" s="13" t="str">
        <f>IF(ISBLANK(J7), "", IF(ISBLANK(L7), IncompleteText, OKText))</f>
        <v>OK</v>
      </c>
      <c r="T7" s="56"/>
      <c r="U7" s="56"/>
      <c r="V7" s="56"/>
      <c r="W7" s="56"/>
      <c r="X7" s="56"/>
    </row>
    <row r="8" spans="1:24" x14ac:dyDescent="0.15">
      <c r="A8" s="8">
        <v>0.6</v>
      </c>
      <c r="B8" s="64">
        <v>2.27</v>
      </c>
      <c r="C8" s="64"/>
      <c r="D8" s="64">
        <v>1.03</v>
      </c>
      <c r="E8" s="64"/>
      <c r="F8" s="13" t="str">
        <f>IF(OR(ISBLANK(B8),ISBLANK(D8)), IncompleteText, IF(OR(_xlfn.XOR(B8&lt;D8,B7&lt;D7),B8=D8), ErrorText, OKText))</f>
        <v>OK</v>
      </c>
      <c r="H8" s="56" t="s">
        <v>478</v>
      </c>
      <c r="I8" s="56"/>
      <c r="J8" s="56" t="s">
        <v>99</v>
      </c>
      <c r="K8" s="56"/>
      <c r="L8" s="33" t="s">
        <v>481</v>
      </c>
      <c r="M8" s="33" t="s">
        <v>480</v>
      </c>
      <c r="N8" s="33" t="s">
        <v>482</v>
      </c>
      <c r="O8" s="33" t="s">
        <v>482</v>
      </c>
      <c r="P8" s="33" t="s">
        <v>482</v>
      </c>
      <c r="Q8" s="33" t="s">
        <v>482</v>
      </c>
      <c r="R8" s="27"/>
      <c r="S8" s="13" t="str">
        <f>IF(ISBLANK(J8), "", IF(ISBLANK(L8), IncompleteText, OKText))</f>
        <v>OK</v>
      </c>
      <c r="T8" s="56"/>
      <c r="U8" s="56"/>
      <c r="V8" s="56"/>
      <c r="W8" s="56"/>
      <c r="X8" s="56"/>
    </row>
    <row r="9" spans="1:24" x14ac:dyDescent="0.15">
      <c r="A9" s="8">
        <v>0.8</v>
      </c>
      <c r="B9" s="64">
        <v>1.5</v>
      </c>
      <c r="C9" s="64"/>
      <c r="D9" s="64">
        <v>0.70399999999999996</v>
      </c>
      <c r="E9" s="64"/>
      <c r="F9" s="13" t="str">
        <f>IF(OR(ISBLANK(B9),ISBLANK(D9)), IncompleteText, IF(OR(_xlfn.XOR(B9&lt;D9,B8&lt;D8),B9=D9), ErrorText, OKText))</f>
        <v>OK</v>
      </c>
      <c r="H9" s="56"/>
      <c r="I9" s="56"/>
      <c r="J9" s="56"/>
      <c r="K9" s="56"/>
      <c r="L9" s="33"/>
      <c r="M9" s="33"/>
      <c r="N9" s="33"/>
      <c r="O9" s="33"/>
      <c r="P9" s="33"/>
      <c r="Q9" s="33"/>
      <c r="R9" s="27"/>
      <c r="S9" s="13" t="str">
        <f>IF(ISBLANK(J9), "", IF(ISBLANK(L9), IncompleteText, OKText))</f>
        <v/>
      </c>
      <c r="T9" s="56"/>
      <c r="U9" s="56"/>
      <c r="V9" s="56"/>
      <c r="W9" s="56"/>
      <c r="X9" s="56"/>
    </row>
    <row r="10" spans="1:24" x14ac:dyDescent="0.15">
      <c r="A10" s="8">
        <v>1</v>
      </c>
      <c r="B10" s="64">
        <v>0.73099999999999998</v>
      </c>
      <c r="C10" s="64"/>
      <c r="D10" s="64">
        <v>0.36099999999999999</v>
      </c>
      <c r="E10" s="64"/>
      <c r="F10" s="13" t="str">
        <f>IF(OR(ISBLANK(B10),ISBLANK(D10)), IncompleteText, IF(OR(_xlfn.XOR(B10&lt;D10,B9&lt;D9),B10=D10), ErrorText, OKText))</f>
        <v>OK</v>
      </c>
      <c r="H10" s="56" t="str">
        <f>IF(ISBLANK(J9),"",J9)</f>
        <v/>
      </c>
      <c r="I10" s="56"/>
      <c r="J10" s="56"/>
      <c r="K10" s="56"/>
      <c r="L10" s="33"/>
      <c r="M10" s="33"/>
      <c r="N10" s="33"/>
      <c r="O10" s="33"/>
      <c r="P10" s="33"/>
      <c r="Q10" s="33"/>
      <c r="R10" s="27"/>
      <c r="S10" s="13" t="str">
        <f>IF(ISBLANK(J10), "", IF(ISBLANK(L10), IncompleteText, OKText))</f>
        <v/>
      </c>
      <c r="T10" s="56"/>
      <c r="U10" s="56"/>
      <c r="V10" s="56"/>
      <c r="W10" s="56"/>
      <c r="X10" s="56"/>
    </row>
    <row r="11" spans="1:24" x14ac:dyDescent="0.15">
      <c r="H11" s="56" t="str">
        <f>IF(ISBLANK(J10),"",J10)</f>
        <v/>
      </c>
      <c r="I11" s="56"/>
      <c r="J11" s="56"/>
      <c r="K11" s="56"/>
      <c r="L11" s="33"/>
      <c r="M11" s="33"/>
      <c r="N11" s="33"/>
      <c r="O11" s="33"/>
      <c r="P11" s="33"/>
      <c r="Q11" s="33"/>
      <c r="R11" s="27"/>
      <c r="S11" s="13" t="str">
        <f>IF(ISBLANK(J11), "", IF(ISBLANK(L11), IncompleteText, OKText))</f>
        <v/>
      </c>
      <c r="T11" s="56" t="s">
        <v>498</v>
      </c>
      <c r="U11" s="56"/>
      <c r="V11" s="56"/>
      <c r="W11" s="56"/>
      <c r="X11" s="56"/>
    </row>
    <row r="26" spans="1:1" ht="15" customHeight="1" x14ac:dyDescent="0.15"/>
    <row r="28" spans="1:1" x14ac:dyDescent="0.15">
      <c r="A28" s="7"/>
    </row>
  </sheetData>
  <sheetProtection algorithmName="SHA-512" hashValue="SFIIq+U30TtKj2sHy/FKJjnBzCoQLzjV1mMwtMATDsej8y5ACEmaOxv4GFSmAOG6dozeC5NoalaD4ESnz0bTvg==" saltValue="ZCaZhKBTuCR0NTkj/h6/xQ=="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topLeftCell="A2" zoomScaleNormal="100" workbookViewId="0">
      <selection activeCell="K30" sqref="K30"/>
    </sheetView>
  </sheetViews>
  <sheetFormatPr baseColWidth="10" defaultColWidth="8.7109375" defaultRowHeight="14" x14ac:dyDescent="0.15"/>
  <cols>
    <col min="1" max="16384" width="8.7109375" style="2"/>
  </cols>
  <sheetData>
    <row r="1" spans="1:12" x14ac:dyDescent="0.15">
      <c r="A1" s="28" t="s">
        <v>1</v>
      </c>
      <c r="B1" s="13" t="str">
        <f ca="1">IF(SUM(COUNTIF(INDIRECT({"Other!$F$2","Other!$L$2","Other!$H$28"}), "="&amp;IncompleteText)), IncompleteText, IF(SUM(COUNTIF(INDIRECT({"Other!$F$2","Other!$L$2","Other!$H$28"}), "="&amp;ErrorText)), ErrorText, OKText))</f>
        <v>OK</v>
      </c>
    </row>
    <row r="2" spans="1:12" x14ac:dyDescent="0.15">
      <c r="A2" s="40" t="s">
        <v>97</v>
      </c>
      <c r="B2" s="40"/>
      <c r="C2" s="40"/>
      <c r="D2" s="40"/>
      <c r="E2" s="40"/>
      <c r="F2" s="13" t="str">
        <f>IF(COUNTIF(F3:F7, "="&amp;IncompleteText), IncompleteText, IF(COUNTIF(F3:F7, "="&amp;ErrorText), ErrorText, OKText))</f>
        <v>OK</v>
      </c>
      <c r="G2" s="40" t="s">
        <v>99</v>
      </c>
      <c r="H2" s="40"/>
      <c r="I2" s="40"/>
      <c r="J2" s="40"/>
      <c r="K2" s="40"/>
      <c r="L2" s="13" t="str">
        <f>IF(COUNTIF(L3:L5, "="&amp;IncompleteText), IncompleteText, IF(COUNTIF(L3:L5, "="&amp;ErrorText), ErrorText, OKText))</f>
        <v>OK</v>
      </c>
    </row>
    <row r="3" spans="1:12" x14ac:dyDescent="0.15">
      <c r="A3" s="62" t="s">
        <v>26</v>
      </c>
      <c r="B3" s="62"/>
      <c r="C3" s="63"/>
      <c r="D3" s="88" t="s">
        <v>483</v>
      </c>
      <c r="E3" s="89"/>
      <c r="F3" s="13" t="str">
        <f>IF(ISBLANK(D3), IncompleteText, OKText)</f>
        <v>OK</v>
      </c>
      <c r="G3" s="62" t="s">
        <v>26</v>
      </c>
      <c r="H3" s="62"/>
      <c r="I3" s="63"/>
      <c r="J3" s="88" t="s">
        <v>486</v>
      </c>
      <c r="K3" s="89"/>
      <c r="L3" s="13" t="str">
        <f>IF(ISBLANK(J3), IncompleteText, OKText)</f>
        <v>OK</v>
      </c>
    </row>
    <row r="4" spans="1:12" x14ac:dyDescent="0.15">
      <c r="A4" s="62" t="s">
        <v>27</v>
      </c>
      <c r="B4" s="62"/>
      <c r="C4" s="62"/>
      <c r="D4" s="56" t="s">
        <v>484</v>
      </c>
      <c r="E4" s="56"/>
      <c r="F4" s="13" t="str">
        <f>IF(ISBLANK(D4), IncompleteText, OKText)</f>
        <v>OK</v>
      </c>
      <c r="G4" s="62" t="s">
        <v>27</v>
      </c>
      <c r="H4" s="62"/>
      <c r="I4" s="62"/>
      <c r="J4" s="56" t="s">
        <v>487</v>
      </c>
      <c r="K4" s="56"/>
      <c r="L4" s="13" t="str">
        <f>IF(ISBLANK(J4), IncompleteText, OKText)</f>
        <v>OK</v>
      </c>
    </row>
    <row r="5" spans="1:12" x14ac:dyDescent="0.15">
      <c r="A5" s="62" t="s">
        <v>38</v>
      </c>
      <c r="B5" s="62"/>
      <c r="C5" s="63"/>
      <c r="D5" s="56" t="s">
        <v>485</v>
      </c>
      <c r="E5" s="56"/>
      <c r="F5" s="13" t="str">
        <f>IF(ISBLANK(D5), IncompleteText, OKText)</f>
        <v>OK</v>
      </c>
      <c r="G5" s="62" t="s">
        <v>38</v>
      </c>
      <c r="H5" s="62"/>
      <c r="I5" s="63"/>
      <c r="J5" s="56" t="s">
        <v>488</v>
      </c>
      <c r="K5" s="56"/>
      <c r="L5" s="13" t="str">
        <f>IF(ISBLANK(J5), IncompleteText, OKText)</f>
        <v>OK</v>
      </c>
    </row>
    <row r="6" spans="1:12" x14ac:dyDescent="0.15">
      <c r="A6" s="140" t="s">
        <v>346</v>
      </c>
      <c r="B6" s="140"/>
      <c r="C6" s="140"/>
      <c r="D6" s="141">
        <v>10000</v>
      </c>
      <c r="E6" s="142" t="s">
        <v>15</v>
      </c>
      <c r="F6" s="143" t="str">
        <f>IF(ISBLANK(D6),IncompleteText,IF(D6&lt;MaxTSVoltage,ErrorText,OKText))</f>
        <v>OK</v>
      </c>
    </row>
    <row r="7" spans="1:12" x14ac:dyDescent="0.15">
      <c r="A7" s="140"/>
      <c r="B7" s="140"/>
      <c r="C7" s="140"/>
      <c r="D7" s="122"/>
      <c r="E7" s="78"/>
      <c r="F7" s="143"/>
    </row>
    <row r="9" spans="1:12" x14ac:dyDescent="0.15">
      <c r="A9" s="131" t="s">
        <v>350</v>
      </c>
      <c r="B9" s="132"/>
      <c r="C9" s="132"/>
      <c r="D9" s="132"/>
      <c r="E9" s="132"/>
      <c r="F9" s="132"/>
      <c r="G9" s="132"/>
      <c r="H9" s="133"/>
    </row>
    <row r="10" spans="1:12" x14ac:dyDescent="0.15">
      <c r="A10" s="134"/>
      <c r="B10" s="135"/>
      <c r="C10" s="135"/>
      <c r="D10" s="135"/>
      <c r="E10" s="135"/>
      <c r="F10" s="135"/>
      <c r="G10" s="135"/>
      <c r="H10" s="136"/>
    </row>
    <row r="11" spans="1:12" x14ac:dyDescent="0.15">
      <c r="A11" s="134"/>
      <c r="B11" s="135"/>
      <c r="C11" s="135"/>
      <c r="D11" s="135"/>
      <c r="E11" s="135"/>
      <c r="F11" s="135"/>
      <c r="G11" s="135"/>
      <c r="H11" s="136"/>
    </row>
    <row r="12" spans="1:12" x14ac:dyDescent="0.15">
      <c r="A12" s="134"/>
      <c r="B12" s="135"/>
      <c r="C12" s="135"/>
      <c r="D12" s="135"/>
      <c r="E12" s="135"/>
      <c r="F12" s="135"/>
      <c r="G12" s="135"/>
      <c r="H12" s="136"/>
    </row>
    <row r="13" spans="1:12" x14ac:dyDescent="0.15">
      <c r="A13" s="134"/>
      <c r="B13" s="135"/>
      <c r="C13" s="135"/>
      <c r="D13" s="135"/>
      <c r="E13" s="135"/>
      <c r="F13" s="135"/>
      <c r="G13" s="135"/>
      <c r="H13" s="136"/>
    </row>
    <row r="14" spans="1:12" x14ac:dyDescent="0.15">
      <c r="A14" s="134"/>
      <c r="B14" s="135"/>
      <c r="C14" s="135"/>
      <c r="D14" s="135"/>
      <c r="E14" s="135"/>
      <c r="F14" s="135"/>
      <c r="G14" s="135"/>
      <c r="H14" s="136"/>
    </row>
    <row r="15" spans="1:12" x14ac:dyDescent="0.15">
      <c r="A15" s="134"/>
      <c r="B15" s="135"/>
      <c r="C15" s="135"/>
      <c r="D15" s="135"/>
      <c r="E15" s="135"/>
      <c r="F15" s="135"/>
      <c r="G15" s="135"/>
      <c r="H15" s="136"/>
    </row>
    <row r="16" spans="1:12" x14ac:dyDescent="0.15">
      <c r="A16" s="134"/>
      <c r="B16" s="135"/>
      <c r="C16" s="135"/>
      <c r="D16" s="135"/>
      <c r="E16" s="135"/>
      <c r="F16" s="135"/>
      <c r="G16" s="135"/>
      <c r="H16" s="136"/>
    </row>
    <row r="17" spans="1:8" x14ac:dyDescent="0.15">
      <c r="A17" s="134"/>
      <c r="B17" s="135"/>
      <c r="C17" s="135"/>
      <c r="D17" s="135"/>
      <c r="E17" s="135"/>
      <c r="F17" s="135"/>
      <c r="G17" s="135"/>
      <c r="H17" s="136"/>
    </row>
    <row r="18" spans="1:8" x14ac:dyDescent="0.15">
      <c r="A18" s="134"/>
      <c r="B18" s="135"/>
      <c r="C18" s="135"/>
      <c r="D18" s="135"/>
      <c r="E18" s="135"/>
      <c r="F18" s="135"/>
      <c r="G18" s="135"/>
      <c r="H18" s="136"/>
    </row>
    <row r="19" spans="1:8" x14ac:dyDescent="0.15">
      <c r="A19" s="134"/>
      <c r="B19" s="135"/>
      <c r="C19" s="135"/>
      <c r="D19" s="135"/>
      <c r="E19" s="135"/>
      <c r="F19" s="135"/>
      <c r="G19" s="135"/>
      <c r="H19" s="136"/>
    </row>
    <row r="20" spans="1:8" x14ac:dyDescent="0.15">
      <c r="A20" s="134"/>
      <c r="B20" s="135"/>
      <c r="C20" s="135"/>
      <c r="D20" s="135"/>
      <c r="E20" s="135"/>
      <c r="F20" s="135"/>
      <c r="G20" s="135"/>
      <c r="H20" s="136"/>
    </row>
    <row r="21" spans="1:8" x14ac:dyDescent="0.15">
      <c r="A21" s="134"/>
      <c r="B21" s="135"/>
      <c r="C21" s="135"/>
      <c r="D21" s="135"/>
      <c r="E21" s="135"/>
      <c r="F21" s="135"/>
      <c r="G21" s="135"/>
      <c r="H21" s="136"/>
    </row>
    <row r="22" spans="1:8" x14ac:dyDescent="0.15">
      <c r="A22" s="134"/>
      <c r="B22" s="135"/>
      <c r="C22" s="135"/>
      <c r="D22" s="135"/>
      <c r="E22" s="135"/>
      <c r="F22" s="135"/>
      <c r="G22" s="135"/>
      <c r="H22" s="136"/>
    </row>
    <row r="23" spans="1:8" x14ac:dyDescent="0.15">
      <c r="A23" s="134"/>
      <c r="B23" s="135"/>
      <c r="C23" s="135"/>
      <c r="D23" s="135"/>
      <c r="E23" s="135"/>
      <c r="F23" s="135"/>
      <c r="G23" s="135"/>
      <c r="H23" s="136"/>
    </row>
    <row r="24" spans="1:8" x14ac:dyDescent="0.15">
      <c r="A24" s="134"/>
      <c r="B24" s="135"/>
      <c r="C24" s="135"/>
      <c r="D24" s="135"/>
      <c r="E24" s="135"/>
      <c r="F24" s="135"/>
      <c r="G24" s="135"/>
      <c r="H24" s="136"/>
    </row>
    <row r="25" spans="1:8" x14ac:dyDescent="0.15">
      <c r="A25" s="134"/>
      <c r="B25" s="135"/>
      <c r="C25" s="135"/>
      <c r="D25" s="135"/>
      <c r="E25" s="135"/>
      <c r="F25" s="135"/>
      <c r="G25" s="135"/>
      <c r="H25" s="136"/>
    </row>
    <row r="26" spans="1:8" x14ac:dyDescent="0.15">
      <c r="A26" s="134"/>
      <c r="B26" s="135"/>
      <c r="C26" s="135"/>
      <c r="D26" s="135"/>
      <c r="E26" s="135"/>
      <c r="F26" s="135"/>
      <c r="G26" s="135"/>
      <c r="H26" s="136"/>
    </row>
    <row r="27" spans="1:8" x14ac:dyDescent="0.15">
      <c r="A27" s="137"/>
      <c r="B27" s="138"/>
      <c r="C27" s="138"/>
      <c r="D27" s="138"/>
      <c r="E27" s="138"/>
      <c r="F27" s="138"/>
      <c r="G27" s="138"/>
      <c r="H27" s="139"/>
    </row>
    <row r="28" spans="1:8" x14ac:dyDescent="0.15">
      <c r="A28" s="40" t="s">
        <v>347</v>
      </c>
      <c r="B28" s="40"/>
      <c r="C28" s="40"/>
      <c r="D28" s="40"/>
      <c r="E28" s="40"/>
      <c r="F28" s="40"/>
      <c r="G28" s="40"/>
      <c r="H28" s="13" t="str">
        <f>IF(COUNTIF(H29, "="&amp;IncompleteText), IncompleteText, IF(COUNTIF(H29, "="&amp;ErrorText), ErrorText, OKText))</f>
        <v>OK</v>
      </c>
    </row>
    <row r="29" spans="1:8" x14ac:dyDescent="0.15">
      <c r="A29" s="62" t="s">
        <v>348</v>
      </c>
      <c r="B29" s="62"/>
      <c r="C29" s="62"/>
      <c r="D29" s="62"/>
      <c r="E29" s="62"/>
      <c r="F29" s="63"/>
      <c r="G29" s="3" t="b">
        <v>1</v>
      </c>
      <c r="H29" s="13" t="str">
        <f>IF(ISBLANK(G29),IncompleteText, IF(G29, OKText, ErrorText))</f>
        <v>OK</v>
      </c>
    </row>
    <row r="30" spans="1:8" x14ac:dyDescent="0.15">
      <c r="A30" s="40" t="s">
        <v>18</v>
      </c>
      <c r="B30" s="40"/>
      <c r="C30" s="40"/>
      <c r="D30" s="40"/>
      <c r="E30" s="40"/>
      <c r="F30" s="40"/>
      <c r="G30" s="40"/>
    </row>
    <row r="31" spans="1:8" x14ac:dyDescent="0.15">
      <c r="A31" s="49"/>
      <c r="B31" s="50"/>
      <c r="C31" s="50"/>
      <c r="D31" s="50"/>
      <c r="E31" s="50"/>
      <c r="F31" s="50"/>
      <c r="G31" s="50"/>
    </row>
    <row r="32" spans="1:8" x14ac:dyDescent="0.15">
      <c r="A32" s="49"/>
      <c r="B32" s="50"/>
      <c r="C32" s="50"/>
      <c r="D32" s="50"/>
      <c r="E32" s="50"/>
      <c r="F32" s="50"/>
      <c r="G32" s="50"/>
    </row>
    <row r="33" spans="1:7" x14ac:dyDescent="0.15">
      <c r="A33" s="49"/>
      <c r="B33" s="50"/>
      <c r="C33" s="50"/>
      <c r="D33" s="50"/>
      <c r="E33" s="50"/>
      <c r="F33" s="50"/>
      <c r="G33" s="50"/>
    </row>
    <row r="34" spans="1:7" x14ac:dyDescent="0.15">
      <c r="A34" s="49"/>
      <c r="B34" s="50"/>
      <c r="C34" s="50"/>
      <c r="D34" s="50"/>
      <c r="E34" s="50"/>
      <c r="F34" s="50"/>
      <c r="G34" s="50"/>
    </row>
  </sheetData>
  <sheetProtection algorithmName="SHA-512" hashValue="EFUYjzGyJAN41JDq0Vx4FhQgnnpCR/UREV+o2MTohhkIa9XZbW1nOBqgLqW/i0bVb2JPNzBSWas6c1lQJaYmAw==" saltValue="Wj3kCR1k+cUSscRm0QRxN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Sonia Zhang</cp:lastModifiedBy>
  <cp:revision/>
  <dcterms:created xsi:type="dcterms:W3CDTF">2016-02-19T16:36:42Z</dcterms:created>
  <dcterms:modified xsi:type="dcterms:W3CDTF">2024-03-05T05:28:12Z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