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drawing7.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media/image13.png" ContentType="image/png"/>
  <Override PartName="/xl/media/image4.png" ContentType="image/png"/>
  <Override PartName="/xl/media/image9.png" ContentType="image/png"/>
  <Override PartName="/xl/media/image18.png" ContentType="image/png"/>
  <Override PartName="/xl/media/image14.png" ContentType="image/png"/>
  <Override PartName="/xl/media/image5.png" ContentType="image/png"/>
  <Override PartName="/xl/media/image15.png" ContentType="image/png"/>
  <Override PartName="/xl/media/image6.png" ContentType="image/png"/>
  <Override PartName="/xl/media/image10.png" ContentType="image/png"/>
  <Override PartName="/xl/media/image1.png" ContentType="image/png"/>
  <Override PartName="/xl/media/image16.png" ContentType="image/png"/>
  <Override PartName="/xl/media/image7.png" ContentType="image/png"/>
  <Override PartName="/xl/media/image11.png" ContentType="image/png"/>
  <Override PartName="/xl/media/image2.png" ContentType="image/png"/>
  <Override PartName="/xl/media/image17.png" ContentType="image/png"/>
  <Override PartName="/xl/media/image8.png" ContentType="image/png"/>
  <Override PartName="/xl/media/image12.png" ContentType="image/png"/>
  <Override PartName="/xl/media/image3.png" ContentType="image/png"/>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Overview" sheetId="1" state="visible" r:id="rId3"/>
    <sheet name="Datasheets" sheetId="2" state="visible" r:id="rId4"/>
    <sheet name="TS Schematics" sheetId="3" state="visible" r:id="rId5"/>
    <sheet name="Accumulator" sheetId="4" state="visible" r:id="rId6"/>
    <sheet name="PrechargeDischarge" sheetId="5" state="visible" r:id="rId7"/>
    <sheet name="Charging" sheetId="6" state="visible" r:id="rId8"/>
    <sheet name="Shutdown Circuit" sheetId="7" state="visible" r:id="rId9"/>
    <sheet name="Torque Security" sheetId="8" state="visible" r:id="rId10"/>
    <sheet name="Other" sheetId="9" state="visible" r:id="rId11"/>
  </sheets>
  <definedNames>
    <definedName function="false" hidden="false" name="AccumulatorStatuses" vbProcedure="false">INDIRECT({"Accumulator!$I$8","Accumulator!$P$8","Accumulator!$V$8","Accumulator!$AC$8","Accumulator!$Z$52","Accumulator!$Q$52","Accumulator!$H$52","Accumulator!$F$58"})</definedName>
    <definedName function="false" hidden="false" name="BattCellCapacity" vbProcedure="false">Datasheets!$D$5</definedName>
    <definedName function="false" hidden="false" name="BattCellMaxV" vbProcedure="false">Datasheets!$D$6</definedName>
    <definedName function="false" hidden="false" name="BattCellNomV" vbProcedure="false">Datasheets!$D$7</definedName>
    <definedName function="false" hidden="false" name="BusCap" vbProcedure="false">PrechargeDischarge!$D$10</definedName>
    <definedName function="false" hidden="false" name="CellsPerTempSensor" vbProcedure="false">Accumulator!$O$25</definedName>
    <definedName function="false" hidden="false" name="ConductorNames" vbProcedure="false">Datasheets!$A$19:$A$37</definedName>
    <definedName function="false" hidden="false" name="ConductorsTable" vbProcedure="false">Datasheets!$A$19:$I$37</definedName>
    <definedName function="false" hidden="false" name="ConnectorNames" vbProcedure="false">Datasheets!$A$73:$A$91</definedName>
    <definedName function="false" hidden="false" name="ConnectorsTable" vbProcedure="false">Datasheets!$A$73:$F$91</definedName>
    <definedName function="false" hidden="false" name="ContactorNames" vbProcedure="false">Datasheets!$A$65:$A$69</definedName>
    <definedName function="false" hidden="false" name="ContactorsTable" vbProcedure="false">Datasheets!$A$65:$G$69</definedName>
    <definedName function="false" hidden="false" name="DischargeRes" vbProcedure="false">PrechargeDischarge!$J$6</definedName>
    <definedName function="false" hidden="false" name="ErrorText" vbProcedure="false">"WARNING"</definedName>
    <definedName function="false" hidden="false" name="FuseNames" vbProcedure="false">Datasheets!$A$41:$A$52</definedName>
    <definedName function="false" hidden="false" name="FusesTable" vbProcedure="false">Datasheets!$A$41:$G$52</definedName>
    <definedName function="false" hidden="false" name="FusibleLink_Current1" vbProcedure="false">accumulator!#ref!</definedName>
    <definedName function="false" hidden="false" name="FusibleLink_Current10" vbProcedure="false">accumulator!#ref!</definedName>
    <definedName function="false" hidden="false" name="FusibleLink_Current11" vbProcedure="false">accumulator!#ref!</definedName>
    <definedName function="false" hidden="false" name="FusibleLink_Current12" vbProcedure="false">accumulator!#ref!</definedName>
    <definedName function="false" hidden="false" name="FusibleLink_Current13" vbProcedure="false">accumulator!#ref!</definedName>
    <definedName function="false" hidden="false" name="FusibleLink_Current14" vbProcedure="false">accumulator!#ref!</definedName>
    <definedName function="false" hidden="false" name="FusibleLink_Current15" vbProcedure="false">accumulator!#ref!</definedName>
    <definedName function="false" hidden="false" name="FusibleLink_Current16" vbProcedure="false">accumulator!#ref!</definedName>
    <definedName function="false" hidden="false" name="FusibleLink_Current2" vbProcedure="false">accumulator!#ref!</definedName>
    <definedName function="false" hidden="false" name="FusibleLink_Current3" vbProcedure="false">accumulator!#ref!</definedName>
    <definedName function="false" hidden="false" name="FusibleLink_Current4" vbProcedure="false">accumulator!#ref!</definedName>
    <definedName function="false" hidden="false" name="FusibleLink_Current5" vbProcedure="false">accumulator!#ref!</definedName>
    <definedName function="false" hidden="false" name="FusibleLink_Current6" vbProcedure="false">accumulator!#ref!</definedName>
    <definedName function="false" hidden="false" name="FusibleLink_Current7" vbProcedure="false">accumulator!#ref!</definedName>
    <definedName function="false" hidden="false" name="FusibleLink_Current8" vbProcedure="false">accumulator!#ref!</definedName>
    <definedName function="false" hidden="false" name="FusibleLink_Current9" vbProcedure="false">accumulator!#ref!</definedName>
    <definedName function="false" hidden="false" name="FusibleLink_Time1" vbProcedure="false">accumulator!#ref!</definedName>
    <definedName function="false" hidden="false" name="FusibleLink_Time10" vbProcedure="false">accumulator!#ref!</definedName>
    <definedName function="false" hidden="false" name="FusibleLink_Time11" vbProcedure="false">accumulator!#ref!</definedName>
    <definedName function="false" hidden="false" name="FusibleLink_Time12" vbProcedure="false">accumulator!#ref!</definedName>
    <definedName function="false" hidden="false" name="FusibleLink_Time13" vbProcedure="false">accumulator!#ref!</definedName>
    <definedName function="false" hidden="false" name="FusibleLink_Time14" vbProcedure="false">accumulator!#ref!</definedName>
    <definedName function="false" hidden="false" name="FusibleLink_Time15" vbProcedure="false">accumulator!#ref!</definedName>
    <definedName function="false" hidden="false" name="FusibleLink_Time16" vbProcedure="false">accumulator!#ref!</definedName>
    <definedName function="false" hidden="false" name="FusibleLink_Time2" vbProcedure="false">accumulator!#ref!</definedName>
    <definedName function="false" hidden="false" name="FusibleLink_Time3" vbProcedure="false">accumulator!#ref!</definedName>
    <definedName function="false" hidden="false" name="FusibleLink_Time4" vbProcedure="false">accumulator!#ref!</definedName>
    <definedName function="false" hidden="false" name="FusibleLink_Time5" vbProcedure="false">accumulator!#ref!</definedName>
    <definedName function="false" hidden="false" name="FusibleLink_Time6" vbProcedure="false">accumulator!#ref!</definedName>
    <definedName function="false" hidden="false" name="FusibleLink_Time7" vbProcedure="false">accumulator!#ref!</definedName>
    <definedName function="false" hidden="false" name="FusibleLink_Time8" vbProcedure="false">accumulator!#ref!</definedName>
    <definedName function="false" hidden="false" name="FusibleLink_Time9" vbProcedure="false">accumulator!#ref!</definedName>
    <definedName function="false" hidden="false" name="IncompleteText" vbProcedure="false">"BLANK"</definedName>
    <definedName function="false" hidden="false" name="InsulationNames" vbProcedure="false">Datasheets!$A$95:$A$104</definedName>
    <definedName function="false" hidden="false" name="InsulationsTable" vbProcedure="false">Datasheets!$A$95:$H$104</definedName>
    <definedName function="false" hidden="false" name="MaxTSVoltage" vbProcedure="false">Accumulator!$E$4</definedName>
    <definedName function="false" hidden="false" name="NominalTSVoltage" vbProcedure="false">Accumulator!$E$5</definedName>
    <definedName function="false" hidden="false" name="NumAccum" vbProcedure="false">Accumulator!$E$3</definedName>
    <definedName function="false" hidden="false" name="OKText" vbProcedure="false">"OK"</definedName>
    <definedName function="false" hidden="false" name="PrechargeRes" vbProcedure="false">PrechargeDischarge!$D$6</definedName>
    <definedName function="false" hidden="false" name="ResistorsNames" vbProcedure="false">Datasheets!$A$56:$A$61</definedName>
    <definedName function="false" hidden="false" name="ResistorsTable" vbProcedure="false">Datasheets!$A$56:$J$61</definedName>
    <definedName function="false" hidden="false" name="TotalCells" vbProcedure="false">Accumulator!$E$6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Unknown Author</author>
  </authors>
  <commentList>
    <comment ref="C75"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r>
      </text>
    </comment>
    <comment ref="C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C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E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E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F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 ref="F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r>
      </text>
    </comment>
    <comment ref="J51"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r>
      </text>
    </comment>
    <comment ref="M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A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D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r>
      </text>
    </comment>
    <comment ref="O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r>
      </text>
    </comment>
    <comment ref="O1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r>
      </text>
    </comment>
    <comment ref="U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incomplete</t>
        </r>
      </text>
    </comment>
    <comment ref="AK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J1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does not meet EV.7.2.2.c</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 ref="J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M4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F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APPS sensor signals cannot cross.</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<sst xmlns="http://schemas.openxmlformats.org/spreadsheetml/2006/main" count="801" uniqueCount="516">
  <si>
    <t xml:space="preserve">Instructions</t>
  </si>
  <si>
    <t xml:space="preserve">Status</t>
  </si>
  <si>
    <t xml:space="preserve">-All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</si>
  <si>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 xml:space="preserve">Datasheets</t>
  </si>
  <si>
    <t xml:space="preserve">TS Schematics</t>
  </si>
  <si>
    <t xml:space="preserve">Accumulator</t>
  </si>
  <si>
    <t xml:space="preserve">Precharge/Discharge</t>
  </si>
  <si>
    <t xml:space="preserve">Charging</t>
  </si>
  <si>
    <t xml:space="preserve">Shutdown Circuit</t>
  </si>
  <si>
    <t xml:space="preserve">Torque Security</t>
  </si>
  <si>
    <t xml:space="preserve">Other</t>
  </si>
  <si>
    <t xml:space="preserve">Team Name</t>
  </si>
  <si>
    <t xml:space="preserve">SC Formula Electric</t>
  </si>
  <si>
    <t xml:space="preserve">University</t>
  </si>
  <si>
    <t xml:space="preserve">University of Southern California</t>
  </si>
  <si>
    <t xml:space="preserve">Competition Year</t>
  </si>
  <si>
    <t xml:space="preserve">Max TS Voltage</t>
  </si>
  <si>
    <t xml:space="preserve">V</t>
  </si>
  <si>
    <t xml:space="preserve">Accumulator Fuse</t>
  </si>
  <si>
    <t xml:space="preserve">A</t>
  </si>
  <si>
    <t xml:space="preserve">Additional Comments</t>
  </si>
  <si>
    <t xml:space="preserve">Template Revision History</t>
  </si>
  <si>
    <t xml:space="preserve">Version</t>
  </si>
  <si>
    <t xml:space="preserve">Date</t>
  </si>
  <si>
    <t xml:space="preserve">Comment</t>
  </si>
  <si>
    <t xml:space="preserve">Updated for 2023 season.</t>
  </si>
  <si>
    <t xml:space="preserve">Updated for 2022 season.</t>
  </si>
  <si>
    <t xml:space="preserve">2.0</t>
  </si>
  <si>
    <t xml:space="preserve">Multiple updates and bug fixes.</t>
  </si>
  <si>
    <t xml:space="preserve">Battery Cell</t>
  </si>
  <si>
    <t xml:space="preserve">Make</t>
  </si>
  <si>
    <t xml:space="preserve">Murata </t>
  </si>
  <si>
    <t xml:space="preserve">Model</t>
  </si>
  <si>
    <t xml:space="preserve">VTC6 18650</t>
  </si>
  <si>
    <t xml:space="preserve">Nominal Capacity</t>
  </si>
  <si>
    <t xml:space="preserve">Ahr</t>
  </si>
  <si>
    <t xml:space="preserve">Maximum Voltage</t>
  </si>
  <si>
    <t xml:space="preserve">Nominal Voltage</t>
  </si>
  <si>
    <t xml:space="preserve">Minimum Voltage</t>
  </si>
  <si>
    <t xml:space="preserve">Max output current</t>
  </si>
  <si>
    <t xml:space="preserve">Max continuous current</t>
  </si>
  <si>
    <t xml:space="preserve">Max Cell temp</t>
  </si>
  <si>
    <t xml:space="preserve">C</t>
  </si>
  <si>
    <t xml:space="preserve">Cell Chemistry</t>
  </si>
  <si>
    <t xml:space="preserve">Li-Ion</t>
  </si>
  <si>
    <t xml:space="preserve">Datasheet</t>
  </si>
  <si>
    <t xml:space="preserve">https://www.imrbatteries.com/content/sony_us18650vtc6-2.pdf</t>
  </si>
  <si>
    <t xml:space="preserve">SDS</t>
  </si>
  <si>
    <t xml:space="preserve">https://www.murata.com/-/media/webrenewal/products/batteries/cylindrical/pdf-sds/us18650vtc6-sds.ashx?la=en-US&amp;cvid=20210215080000000000</t>
  </si>
  <si>
    <t xml:space="preserve">38% Lithium Nickel Cobalt Oxide / 18% Graphite </t>
  </si>
  <si>
    <t xml:space="preserve">Conductors</t>
  </si>
  <si>
    <t xml:space="preserve">Manufacturer</t>
  </si>
  <si>
    <t xml:space="preserve">Part Number</t>
  </si>
  <si>
    <r>
      <rPr>
        <sz val="11"/>
        <color theme="1"/>
        <rFont val="Verdana"/>
        <family val="2"/>
        <charset val="1"/>
      </rPr>
      <t xml:space="preserve">Size 
[mm</t>
    </r>
    <r>
      <rPr>
        <vertAlign val="superscript"/>
        <sz val="10"/>
        <color theme="1"/>
        <rFont val="Verdana"/>
        <family val="2"/>
        <charset val="1"/>
      </rPr>
      <t xml:space="preserve">2</t>
    </r>
    <r>
      <rPr>
        <sz val="11"/>
        <color theme="1"/>
        <rFont val="Verdana"/>
        <family val="2"/>
        <charset val="1"/>
      </rPr>
      <t xml:space="preserve">]</t>
    </r>
  </si>
  <si>
    <t xml:space="preserve">Voltage [V]</t>
  </si>
  <si>
    <t xml:space="preserve">Ampacity
[A]</t>
  </si>
  <si>
    <t xml:space="preserve">Max Temp [C]</t>
  </si>
  <si>
    <t xml:space="preserve">Location Used</t>
  </si>
  <si>
    <t xml:space="preserve">Rules References</t>
  </si>
  <si>
    <t xml:space="preserve">Energus</t>
  </si>
  <si>
    <t xml:space="preserve">Busbar</t>
  </si>
  <si>
    <t xml:space="preserve">https://www.energusps.com/page/technology</t>
  </si>
  <si>
    <t xml:space="preserve">Cell terminals</t>
  </si>
  <si>
    <t xml:space="preserve">Energus did not give additional data to the 600A ampacity of the busbars. 600A is more than twice as much as our team's calculated maximum potential discharge current. </t>
  </si>
  <si>
    <t xml:space="preserve">EV.6.2.1
EV.6.2.5
EV.7.3
EV.7.6.4
EV.7.3.2</t>
  </si>
  <si>
    <t xml:space="preserve">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</si>
  <si>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 xml:space="preserve">Size based on thickness of Energus busbar. Temperature is estimate.</t>
  </si>
  <si>
    <t xml:space="preserve">Champlain cable</t>
  </si>
  <si>
    <t xml:space="preserve">EXRAD-HVX6X</t>
  </si>
  <si>
    <t xml:space="preserve">https://www.champcable.com/wp-content/uploads/2018/08/212.-SAE-EXRAD-150-HVFX-XLE-Shielded-Battery-Cable.pdf</t>
  </si>
  <si>
    <t xml:space="preserve">Fuseholder to AIRS</t>
  </si>
  <si>
    <t xml:space="preserve">AIRs to connector exiting accumulator</t>
  </si>
  <si>
    <t xml:space="preserve">Accumulator to HVD</t>
  </si>
  <si>
    <t xml:space="preserve">HVD to motor controller</t>
  </si>
  <si>
    <t xml:space="preserve">Motor controller to motor</t>
  </si>
  <si>
    <t xml:space="preserve">Pack to fuseholder</t>
  </si>
  <si>
    <t xml:space="preserve">Eaton</t>
  </si>
  <si>
    <t xml:space="preserve">BK/PCS</t>
  </si>
  <si>
    <t xml:space="preserve">https://www.eaton.com/content/dam/eaton/products/electronic-components/resources/data-sheet/eaton-pcs-fuse-holder-data-sheet.pdf</t>
  </si>
  <si>
    <t xml:space="preserve">Fuse holder for voltage sense overcurrent protection</t>
  </si>
  <si>
    <t xml:space="preserve">Fuses</t>
  </si>
  <si>
    <t xml:space="preserve">Voltage 
[V]</t>
  </si>
  <si>
    <t xml:space="preserve">AC/DC</t>
  </si>
  <si>
    <t xml:space="preserve">Current 
[A]</t>
  </si>
  <si>
    <t xml:space="preserve">Interrupt 
[A]</t>
  </si>
  <si>
    <t xml:space="preserve">Eaton - Electronic Division</t>
  </si>
  <si>
    <t xml:space="preserve">BK/PCC-3/4-R</t>
  </si>
  <si>
    <t xml:space="preserve">DC</t>
  </si>
  <si>
    <t xml:space="preserve">https://www.eaton.com/content/dam/eaton/products/electronic-components/resources/data-sheet/eaton-pc-tron-subminiature-radial-leaded-fuses-data-sheet.pdf</t>
  </si>
  <si>
    <t xml:space="preserve">Cell Tep Fusing, and general circuit card fusing</t>
  </si>
  <si>
    <t xml:space="preserve">EV.6.2.1
EV.7.6</t>
  </si>
  <si>
    <t xml:space="preserve">Mersen Semiconductor</t>
  </si>
  <si>
    <t xml:space="preserve">A50QS75-4Y</t>
  </si>
  <si>
    <t xml:space="preserve">https://www.grainger.com/ec/pdf/6XPF4_1.pdf</t>
  </si>
  <si>
    <t xml:space="preserve">Main Fuse in accumulator</t>
  </si>
  <si>
    <t xml:space="preserve">Bel Fuse Inc</t>
  </si>
  <si>
    <t xml:space="preserve">0ADAP6000-RE</t>
  </si>
  <si>
    <t xml:space="preserve">https://www.belfuse.com/resources/datasheets/circuitprotection/ds-cp-0adax-series.pdf</t>
  </si>
  <si>
    <t xml:space="preserve">IMD</t>
  </si>
  <si>
    <t xml:space="preserve">0ADGC9200-BE</t>
  </si>
  <si>
    <t xml:space="preserve">https://www.belfuse.com/resources/datasheets/circuitprotection/ds-CP-0ADG-series.pdf</t>
  </si>
  <si>
    <t xml:space="preserve">Charging external fuse</t>
  </si>
  <si>
    <t xml:space="preserve">Fusible Link</t>
  </si>
  <si>
    <t xml:space="preserve">https://www.energusps.com/web/binary/saveas?filename_field=datas_fname&amp;field=datas&amp;model=ir.attachment&amp;id=4223</t>
  </si>
  <si>
    <t xml:space="preserve">Cell terminals </t>
  </si>
  <si>
    <t xml:space="preserve">Schurter</t>
  </si>
  <si>
    <t xml:space="preserve">8020.5011.G</t>
  </si>
  <si>
    <t xml:space="preserve">https://us.schurter.com/en/datasheet/typ_SHT_6.3x32.pdf</t>
  </si>
  <si>
    <t xml:space="preserve">SDC</t>
  </si>
  <si>
    <t xml:space="preserve">Resistors</t>
  </si>
  <si>
    <r>
      <rPr>
        <sz val="11"/>
        <color theme="1"/>
        <rFont val="Verdana"/>
        <family val="2"/>
        <charset val="1"/>
      </rPr>
      <t xml:space="preserve">Resistance 
[</t>
    </r>
    <r>
      <rPr>
        <sz val="11"/>
        <color theme="1"/>
        <rFont val="Calibri"/>
        <family val="2"/>
        <charset val="1"/>
      </rPr>
      <t xml:space="preserve">Ω</t>
    </r>
    <r>
      <rPr>
        <sz val="11"/>
        <color theme="1"/>
        <rFont val="Verdana"/>
        <family val="2"/>
        <charset val="1"/>
      </rPr>
      <t xml:space="preserve">]</t>
    </r>
  </si>
  <si>
    <t xml:space="preserve">Power 
[W]</t>
  </si>
  <si>
    <t xml:space="preserve">Power for 15 sec [W]</t>
  </si>
  <si>
    <t xml:space="preserve">Heatsink [°C/W]
(Enter "None" if no heatsink)</t>
  </si>
  <si>
    <t xml:space="preserve">Ohmite</t>
  </si>
  <si>
    <t xml:space="preserve">B20J750E</t>
  </si>
  <si>
    <t xml:space="preserve">None</t>
  </si>
  <si>
    <t xml:space="preserve">https://www.ohmite.com/assets/docs/res_200.pdf?r=false</t>
  </si>
  <si>
    <t xml:space="preserve">Precharge</t>
  </si>
  <si>
    <t xml:space="preserve">EV.6.2.1
EV.6.6
EV.6.8.4</t>
  </si>
  <si>
    <t xml:space="preserve">TE</t>
  </si>
  <si>
    <t xml:space="preserve">ROX9J30K</t>
  </si>
  <si>
    <t xml:space="preserve">https://www.te.com/usa-en/product-6-2176416-7.datasheet.pdf</t>
  </si>
  <si>
    <t xml:space="preserve">Discharge</t>
  </si>
  <si>
    <t xml:space="preserve">RR03J1K5TB</t>
  </si>
  <si>
    <t xml:space="preserve">https://www.te.com/usa-en/product-8-1879354-9.datasheet.pdf</t>
  </si>
  <si>
    <t xml:space="preserve">TSMP</t>
  </si>
  <si>
    <t xml:space="preserve">15 in series</t>
  </si>
  <si>
    <t xml:space="preserve">Contactors/Relays</t>
  </si>
  <si>
    <t xml:space="preserve">Voltage
[V]</t>
  </si>
  <si>
    <t xml:space="preserve">Continuous Current 
[A]</t>
  </si>
  <si>
    <t xml:space="preserve">Max Interrupt Current
 [A]</t>
  </si>
  <si>
    <t xml:space="preserve">Normal State</t>
  </si>
  <si>
    <t xml:space="preserve">TE Connectivity Potter &amp; Brumfield Relays</t>
  </si>
  <si>
    <t xml:space="preserve">1462043-3</t>
  </si>
  <si>
    <t xml:space="preserve">NO</t>
  </si>
  <si>
    <t xml:space="preserve">https://www.te.com/commerce/DocumentDelivery/DDEController?Action=srchrtrv&amp;DocNm=1462043-2&amp;DocType=Customer+Drawing&amp;DocLang=English</t>
  </si>
  <si>
    <t xml:space="preserve">Reset circuit</t>
  </si>
  <si>
    <t xml:space="preserve">Unable to find max interrupt value</t>
  </si>
  <si>
    <t xml:space="preserve">EV.6.2.1
EV.6.4
EV.6.6</t>
  </si>
  <si>
    <t xml:space="preserve">Gigavac</t>
  </si>
  <si>
    <t xml:space="preserve">GV241BAB</t>
  </si>
  <si>
    <t xml:space="preserve">https://www.sensata.com/sites/default/files/a/sensata-gigavac-gv24-sereies-800v-contactors-datasheet.pdf</t>
  </si>
  <si>
    <t xml:space="preserve">AIRS</t>
  </si>
  <si>
    <t xml:space="preserve">P115-BDA</t>
  </si>
  <si>
    <t xml:space="preserve">https://www.sensata.com/sites/default/files/a/sensata-gigavac-p115-series-minitactor-contactors-datasheet.pdf</t>
  </si>
  <si>
    <t xml:space="preserve">PNC113</t>
  </si>
  <si>
    <t xml:space="preserve">NC</t>
  </si>
  <si>
    <t xml:space="preserve">https://www.sensata.com/sites/default/files/a/sensata-gigavac-pnc113-series-minitactor-contactors-datasheet.pdf</t>
  </si>
  <si>
    <t xml:space="preserve">Discharge Relay</t>
  </si>
  <si>
    <t xml:space="preserve">Connectors</t>
  </si>
  <si>
    <r>
      <rPr>
        <sz val="11"/>
        <color theme="1"/>
        <rFont val="Verdana"/>
        <family val="2"/>
        <charset val="1"/>
      </rPr>
      <t xml:space="preserve">Wire Size 
[mm</t>
    </r>
    <r>
      <rPr>
        <vertAlign val="superscript"/>
        <sz val="11"/>
        <color theme="1"/>
        <rFont val="Verdana"/>
        <family val="2"/>
        <charset val="1"/>
      </rPr>
      <t xml:space="preserve">2</t>
    </r>
    <r>
      <rPr>
        <sz val="11"/>
        <color theme="1"/>
        <rFont val="Verdana"/>
        <family val="2"/>
        <charset val="1"/>
      </rPr>
      <t xml:space="preserve">]</t>
    </r>
  </si>
  <si>
    <t xml:space="preserve">Amphenol</t>
  </si>
  <si>
    <t xml:space="preserve">MINIMSDF000R</t>
  </si>
  <si>
    <t xml:space="preserve">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</si>
  <si>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 xml:space="preserve">HVD</t>
  </si>
  <si>
    <t xml:space="preserve">EV.6.2.1
EV.6.10
EV.7.3.4</t>
  </si>
  <si>
    <t xml:space="preserve">Molex</t>
  </si>
  <si>
    <t xml:space="preserve">334724001</t>
  </si>
  <si>
    <t xml:space="preserve">https://www.molex.com/webdocs/datasheets/pdf/en-us/0334724001_CRIMP_HOUSINGS.pdf</t>
  </si>
  <si>
    <t xml:space="preserve">Energy Meter</t>
  </si>
  <si>
    <t xml:space="preserve">amperage based on terminal value.</t>
  </si>
  <si>
    <t xml:space="preserve">Mueller</t>
  </si>
  <si>
    <t xml:space="preserve">BU-P72930-0</t>
  </si>
  <si>
    <t xml:space="preserve">https://www.muellerelectric.com/product_files/986/DS-BU-P72930-@.pdf</t>
  </si>
  <si>
    <t xml:space="preserve">BLK</t>
  </si>
  <si>
    <t xml:space="preserve">BU-P72930-2</t>
  </si>
  <si>
    <t xml:space="preserve">RED</t>
  </si>
  <si>
    <t xml:space="preserve">UPCR012ALS2</t>
  </si>
  <si>
    <t xml:space="preserve">https://www.farnell.com/datasheets/2013715.pdf</t>
  </si>
  <si>
    <t xml:space="preserve">All HV plugs</t>
  </si>
  <si>
    <t xml:space="preserve">UPCR012ALS1</t>
  </si>
  <si>
    <t xml:space="preserve">All HV receptacles</t>
  </si>
  <si>
    <t xml:space="preserve">Between accumulator and Checkbox, Checkbox and motor controller</t>
  </si>
  <si>
    <t xml:space="preserve">TE Connectivity</t>
  </si>
  <si>
    <t xml:space="preserve">DTM06-12SA</t>
  </si>
  <si>
    <t xml:space="preserve">.35-25</t>
  </si>
  <si>
    <t xml:space="preserve">https://www.te.com/usa-en/product-DTM06-12SA.datasheet.pdf</t>
  </si>
  <si>
    <t xml:space="preserve">Check Box</t>
  </si>
  <si>
    <t xml:space="preserve">DTM04-12PA-L012</t>
  </si>
  <si>
    <t xml:space="preserve">https://www.te.com/usa-en/product-DTM04-12PA-L012.datasheet.pdf</t>
  </si>
  <si>
    <t xml:space="preserve">DT04-6P-CL09</t>
  </si>
  <si>
    <t xml:space="preserve">https://www.te.com/usa-en/product-DT04-6P-CL09.datasheet.pdf</t>
  </si>
  <si>
    <t xml:space="preserve">Accumulator LV power supply</t>
  </si>
  <si>
    <t xml:space="preserve">DT06-6S</t>
  </si>
  <si>
    <t xml:space="preserve">https://www.te.com/usa-en/product-DT06-6S.datasheet.pdf</t>
  </si>
  <si>
    <t xml:space="preserve">Insulating Materials</t>
  </si>
  <si>
    <t xml:space="preserve">Thickness
[mm]</t>
  </si>
  <si>
    <t xml:space="preserve">Dielectric strength 
[V/mm]</t>
  </si>
  <si>
    <t xml:space="preserve">Voltage Rating 
[V]</t>
  </si>
  <si>
    <t xml:space="preserve">Flammability Rating</t>
  </si>
  <si>
    <t xml:space="preserve">DuPont</t>
  </si>
  <si>
    <t xml:space="preserve">845</t>
  </si>
  <si>
    <t xml:space="preserve">V-0</t>
  </si>
  <si>
    <t xml:space="preserve">https://www.dupont.com/content/dam/dupont/amer/us/en/safety/public/documents/en/DPT16_21668_Nomex_410_Tech_Data_Sheet_me03_REFERENCE.pdf</t>
  </si>
  <si>
    <t xml:space="preserve">Backup material</t>
  </si>
  <si>
    <t xml:space="preserve">Nomex 410</t>
  </si>
  <si>
    <t xml:space="preserve">EV.6.2.1
EV.6.2.2.a
EV.6.2.3
EV.6.4.4
EV.7.2
EV.7.5.5.a</t>
  </si>
  <si>
    <t xml:space="preserve">Tractive System Schematic</t>
  </si>
  <si>
    <t xml:space="preserve">Accumulator TS Schematic</t>
  </si>
  <si>
    <t xml:space="preserve">Vehicle Tractive System Schematic Shows</t>
  </si>
  <si>
    <t xml:space="preserve">Accumulator TS Schematic Shows</t>
  </si>
  <si>
    <t xml:space="preserve">Shows details of all TS circuits outside of accumulator</t>
  </si>
  <si>
    <t xml:space="preserve">Details of all TS circuits within accumulator</t>
  </si>
  <si>
    <t xml:space="preserve">Accumulator is shown as a single element (without internal details)</t>
  </si>
  <si>
    <t xml:space="preserve">All wire gauges labeled</t>
  </si>
  <si>
    <t xml:space="preserve">All fuses labeled with ampacity</t>
  </si>
  <si>
    <t xml:space="preserve">All wires &gt; 150mm have a fuse within the first 150mm from the source</t>
  </si>
  <si>
    <t xml:space="preserve">Fuse locations represent physical location</t>
  </si>
  <si>
    <t xml:space="preserve">Connectors labeled with Make/Model</t>
  </si>
  <si>
    <t xml:space="preserve">Enclosures shown</t>
  </si>
  <si>
    <t xml:space="preserve">Standard schematic symbols used</t>
  </si>
  <si>
    <t xml:space="preserve">All text is readable (zooming is allowed)</t>
  </si>
  <si>
    <t xml:space="preserve">EV.6.4</t>
  </si>
  <si>
    <t xml:space="preserve">AIRs</t>
  </si>
  <si>
    <t xml:space="preserve">EV.6.3</t>
  </si>
  <si>
    <t xml:space="preserve">Maintenance plugs</t>
  </si>
  <si>
    <t xml:space="preserve">EV.6.8</t>
  </si>
  <si>
    <t xml:space="preserve">TSMPs</t>
  </si>
  <si>
    <t xml:space="preserve">Cells (details of all intercell connections may be abstracted)</t>
  </si>
  <si>
    <t xml:space="preserve">Motor Controller</t>
  </si>
  <si>
    <t xml:space="preserve">Accumulator Indicator</t>
  </si>
  <si>
    <t xml:space="preserve">Motor</t>
  </si>
  <si>
    <t xml:space="preserve">EV.6.8.5</t>
  </si>
  <si>
    <t xml:space="preserve">TSMPs not fused</t>
  </si>
  <si>
    <t xml:space="preserve">Must be shown on at least one schematic</t>
  </si>
  <si>
    <t xml:space="preserve">EV.8.6</t>
  </si>
  <si>
    <t xml:space="preserve">EV.6.5</t>
  </si>
  <si>
    <t xml:space="preserve">EV.6.6</t>
  </si>
  <si>
    <t xml:space="preserve">EV.4.2.3; EV.6.1.3</t>
  </si>
  <si>
    <t xml:space="preserve">EV.6.6.1.c</t>
  </si>
  <si>
    <t xml:space="preserve">Precharge is not fused</t>
  </si>
  <si>
    <t xml:space="preserve">Discharge is not fused</t>
  </si>
  <si>
    <t xml:space="preserve">Segment-to-Segment Connection</t>
  </si>
  <si>
    <t xml:space="preserve">Series</t>
  </si>
  <si>
    <t xml:space="preserve">Maximum TS Voltage</t>
  </si>
  <si>
    <t xml:space="preserve">Nominal TS Voltage</t>
  </si>
  <si>
    <t xml:space="preserve">Total Cells</t>
  </si>
  <si>
    <t xml:space="preserve">Segment Data</t>
  </si>
  <si>
    <t xml:space="preserve">BMS</t>
  </si>
  <si>
    <t xml:space="preserve">Maintenance Plugs</t>
  </si>
  <si>
    <t xml:space="preserve">Cell Connection Order</t>
  </si>
  <si>
    <t xml:space="preserve">Parallel then Series</t>
  </si>
  <si>
    <t xml:space="preserve">BMS Type</t>
  </si>
  <si>
    <t xml:space="preserve">Centralized</t>
  </si>
  <si>
    <t xml:space="preserve">Connector</t>
  </si>
  <si>
    <t xml:space="preserve">Between cells and accum. container</t>
  </si>
  <si>
    <t xml:space="preserve">DuPont 845</t>
  </si>
  <si>
    <t xml:space="preserve">Segment</t>
  </si>
  <si>
    <t xml:space="preserve">Parallel cells</t>
  </si>
  <si>
    <t xml:space="preserve">Series cells</t>
  </si>
  <si>
    <t xml:space="preserve">Temp Sensors</t>
  </si>
  <si>
    <t xml:space="preserve">Accumulator Number</t>
  </si>
  <si>
    <t xml:space="preserve">Max Voltage [V]</t>
  </si>
  <si>
    <t xml:space="preserve">Segment Energy [MJ]</t>
  </si>
  <si>
    <t xml:space="preserve">BMS Source</t>
  </si>
  <si>
    <t xml:space="preserve">Purchased</t>
  </si>
  <si>
    <t xml:space="preserve">Ampacity</t>
  </si>
  <si>
    <t xml:space="preserve">Voltage Rating</t>
  </si>
  <si>
    <t xml:space="preserve">Orion</t>
  </si>
  <si>
    <t xml:space="preserve">BMS 2</t>
  </si>
  <si>
    <t xml:space="preserve">Segment Fuse</t>
  </si>
  <si>
    <t xml:space="preserve">Temperature Rating</t>
  </si>
  <si>
    <t xml:space="preserve">Galvanic Isolation TS to GLV</t>
  </si>
  <si>
    <t xml:space="preserve">Segment Fuse Ampacity</t>
  </si>
  <si>
    <t xml:space="preserve">On top of cells</t>
  </si>
  <si>
    <t xml:space="preserve">Galvanic Isolation between segments</t>
  </si>
  <si>
    <t xml:space="preserve">AIR</t>
  </si>
  <si>
    <t xml:space="preserve">Galvanic Isolation device</t>
  </si>
  <si>
    <t xml:space="preserve">Make/Model</t>
  </si>
  <si>
    <t xml:space="preserve">Gigavac GV241BAB</t>
  </si>
  <si>
    <t xml:space="preserve">Gavlanic Isolation device datasheet</t>
  </si>
  <si>
    <t xml:space="preserve">Contact Voltage Rating</t>
  </si>
  <si>
    <t xml:space="preserve"> Separating AIR and Fuse from cells</t>
  </si>
  <si>
    <t xml:space="preserve">Voltage Sense Leads</t>
  </si>
  <si>
    <t xml:space="preserve">Max switching current</t>
  </si>
  <si>
    <t xml:space="preserve">Max Sense Lead Length</t>
  </si>
  <si>
    <t xml:space="preserve">cm</t>
  </si>
  <si>
    <t xml:space="preserve">Sense Lead Overcurrent Protection Device</t>
  </si>
  <si>
    <t xml:space="preserve">Eaton - Electronic Division BK/PCC-3/4-R</t>
  </si>
  <si>
    <t xml:space="preserve">Main Fuse</t>
  </si>
  <si>
    <t xml:space="preserve">Overcurrent Location</t>
  </si>
  <si>
    <t xml:space="preserve">Mersen Semiconductor A50QS75-4Y</t>
  </si>
  <si>
    <t xml:space="preserve">Overcurrent Other Location</t>
  </si>
  <si>
    <t xml:space="preserve">Internal to BMS(secondary) and outside of BMS (primary)</t>
  </si>
  <si>
    <t xml:space="preserve">Main fuse ampacity</t>
  </si>
  <si>
    <t xml:space="preserve">Overcurrent Voltage Rating</t>
  </si>
  <si>
    <t xml:space="preserve">Main fuse voltage</t>
  </si>
  <si>
    <t xml:space="preserve">Temperature Sensors</t>
  </si>
  <si>
    <t xml:space="preserve">Temp Sensor Location</t>
  </si>
  <si>
    <t xml:space="preserve">On cell terminal</t>
  </si>
  <si>
    <t xml:space="preserve">Distance to cell terminal</t>
  </si>
  <si>
    <t xml:space="preserve">mm</t>
  </si>
  <si>
    <t xml:space="preserve">Cells sensed per sensor</t>
  </si>
  <si>
    <t xml:space="preserve">cells</t>
  </si>
  <si>
    <t xml:space="preserve">Thermal Contact material used</t>
  </si>
  <si>
    <t xml:space="preserve">Thermal contact material datasheet</t>
  </si>
  <si>
    <t xml:space="preserve">Thermal contact material conductivity</t>
  </si>
  <si>
    <r>
      <rPr>
        <sz val="11"/>
        <color theme="1"/>
        <rFont val="Verdana"/>
        <family val="2"/>
        <charset val="1"/>
      </rPr>
      <t xml:space="preserve">W/(m</t>
    </r>
    <r>
      <rPr>
        <sz val="11"/>
        <color theme="1"/>
        <rFont val="Calibri"/>
        <family val="2"/>
        <charset val="1"/>
      </rPr>
      <t xml:space="preserve">∙</t>
    </r>
    <r>
      <rPr>
        <sz val="11"/>
        <color theme="1"/>
        <rFont val="Verdana"/>
        <family val="2"/>
        <charset val="1"/>
      </rPr>
      <t xml:space="preserve">K)</t>
    </r>
  </si>
  <si>
    <t xml:space="preserve">Thermal contact material thickness</t>
  </si>
  <si>
    <t xml:space="preserve">Percent of cells sensed</t>
  </si>
  <si>
    <t xml:space="preserve">%</t>
  </si>
  <si>
    <t xml:space="preserve">Picture of Maintenance Plugs</t>
  </si>
  <si>
    <t xml:space="preserve">Picture of Cell Connections</t>
  </si>
  <si>
    <t xml:space="preserve">Picture of Temperature Sensor Location</t>
  </si>
  <si>
    <t xml:space="preserve">Picture of Fuse and AIR Separation from Cells</t>
  </si>
  <si>
    <t xml:space="preserve">Picture of Segment Insulation between Cell Terminals and Sides of Accumulator Container</t>
  </si>
  <si>
    <t xml:space="preserve">Picture of Insulation on Top of Segment</t>
  </si>
  <si>
    <t xml:space="preserve">Maintenance Plug(s) Picture Shows</t>
  </si>
  <si>
    <t xml:space="preserve">Cell Connections Picture Shows</t>
  </si>
  <si>
    <t xml:space="preserve">Temperature Sensor Picture Shows</t>
  </si>
  <si>
    <t xml:space="preserve">Fuse and AIR Separation Picture Shows</t>
  </si>
  <si>
    <t xml:space="preserve">Segment Insulation Picture Shows</t>
  </si>
  <si>
    <t xml:space="preserve">Unique Configuration of plugs</t>
  </si>
  <si>
    <t xml:space="preserve">Bolted connection have positive locking</t>
  </si>
  <si>
    <t xml:space="preserve">Temp sensor in direct contact with terminal or busbar</t>
  </si>
  <si>
    <t xml:space="preserve">Fuse and AIR are separated from cells</t>
  </si>
  <si>
    <t xml:space="preserve">Insulation between cells and accumulator container</t>
  </si>
  <si>
    <t xml:space="preserve">Insulation on top of cells (air not acceptable)</t>
  </si>
  <si>
    <t xml:space="preserve">Non-conductive on un-necessary surface</t>
  </si>
  <si>
    <t xml:space="preserve">location of parallel cell overcurrent for parallel cells</t>
  </si>
  <si>
    <t xml:space="preserve">Distance from sensor to cell negative terminal</t>
  </si>
  <si>
    <t xml:space="preserve">Positive Locking</t>
  </si>
  <si>
    <t xml:space="preserve">EV.6.4.4</t>
  </si>
  <si>
    <t xml:space="preserve">EV.6.2.2.a
EV.6.2.3</t>
  </si>
  <si>
    <t xml:space="preserve">EV.7.4.1
EV.7.4.3</t>
  </si>
  <si>
    <t xml:space="preserve">EV.8.5</t>
  </si>
  <si>
    <t xml:space="preserve">Location and length of cables prevents mixing of connectors and ensures unique connections.</t>
  </si>
  <si>
    <t xml:space="preserve">Parallel Cell Fusing</t>
  </si>
  <si>
    <t xml:space="preserve">Rules Referenes</t>
  </si>
  <si>
    <t xml:space="preserve">Source</t>
  </si>
  <si>
    <t xml:space="preserve">EV.7.6.3
EV.7.6.5</t>
  </si>
  <si>
    <t xml:space="preserve">Energus Fusible Link</t>
  </si>
  <si>
    <t xml:space="preserve">Continuous Current</t>
  </si>
  <si>
    <t xml:space="preserve">Test Data Summary</t>
  </si>
  <si>
    <t xml:space="preserve">Tests at current 1</t>
  </si>
  <si>
    <t xml:space="preserve">Tests at current 2</t>
  </si>
  <si>
    <t xml:space="preserve">Tests at current 3</t>
  </si>
  <si>
    <t xml:space="preserve">Tests at current 4</t>
  </si>
  <si>
    <t xml:space="preserve">See Fusible Link Testing Guideline on FSAEOnline.com</t>
  </si>
  <si>
    <t xml:space="preserve">Testing</t>
  </si>
  <si>
    <t xml:space="preserve"> Current [A]</t>
  </si>
  <si>
    <t xml:space="preserve">Time to blow [s]</t>
  </si>
  <si>
    <t xml:space="preserve">Test 1</t>
  </si>
  <si>
    <t xml:space="preserve">Test 2</t>
  </si>
  <si>
    <t xml:space="preserve">Test 3</t>
  </si>
  <si>
    <t xml:space="preserve">Test 4</t>
  </si>
  <si>
    <t xml:space="preserve">Test 5</t>
  </si>
  <si>
    <t xml:space="preserve">Test 6</t>
  </si>
  <si>
    <t xml:space="preserve">Test 7</t>
  </si>
  <si>
    <t xml:space="preserve">Test 8</t>
  </si>
  <si>
    <t xml:space="preserve">Test 9</t>
  </si>
  <si>
    <t xml:space="preserve">Test 10</t>
  </si>
  <si>
    <t xml:space="preserve">Test 11</t>
  </si>
  <si>
    <t xml:space="preserve">Test 12</t>
  </si>
  <si>
    <t xml:space="preserve">Test 13</t>
  </si>
  <si>
    <t xml:space="preserve">Test 14</t>
  </si>
  <si>
    <t xml:space="preserve">Test 15</t>
  </si>
  <si>
    <t xml:space="preserve">Test 16</t>
  </si>
  <si>
    <t xml:space="preserve">Resistor</t>
  </si>
  <si>
    <t xml:space="preserve">Ohmite B20J750E</t>
  </si>
  <si>
    <t xml:space="preserve">TE ROX9J30K</t>
  </si>
  <si>
    <t xml:space="preserve">TE RR03J1K5TB</t>
  </si>
  <si>
    <t xml:space="preserve">EV.6.8.4</t>
  </si>
  <si>
    <t xml:space="preserve"># parallel</t>
  </si>
  <si>
    <t xml:space="preserve"># series</t>
  </si>
  <si>
    <t xml:space="preserve">Resistance</t>
  </si>
  <si>
    <t xml:space="preserve">Ohms</t>
  </si>
  <si>
    <t xml:space="preserve">Cont power</t>
  </si>
  <si>
    <t xml:space="preserve">W</t>
  </si>
  <si>
    <t xml:space="preserve">power @15 sec</t>
  </si>
  <si>
    <t xml:space="preserve">Voltage</t>
  </si>
  <si>
    <t xml:space="preserve">Bus Capacitance</t>
  </si>
  <si>
    <t xml:space="preserve">mF</t>
  </si>
  <si>
    <t xml:space="preserve">Peak power</t>
  </si>
  <si>
    <t xml:space="preserve">End of precharge</t>
  </si>
  <si>
    <t xml:space="preserve">Time</t>
  </si>
  <si>
    <t xml:space="preserve">Peak current</t>
  </si>
  <si>
    <t xml:space="preserve">time</t>
  </si>
  <si>
    <t xml:space="preserve">sec</t>
  </si>
  <si>
    <t xml:space="preserve">Discharge time (to 60V)</t>
  </si>
  <si>
    <t xml:space="preserve">s</t>
  </si>
  <si>
    <t xml:space="preserve">delta V</t>
  </si>
  <si>
    <t xml:space="preserve">Relay</t>
  </si>
  <si>
    <t xml:space="preserve">Gigavac PNC113</t>
  </si>
  <si>
    <t xml:space="preserve">ending ratio</t>
  </si>
  <si>
    <t xml:space="preserve">Relay voltage rating</t>
  </si>
  <si>
    <t xml:space="preserve">Relay current rating</t>
  </si>
  <si>
    <t xml:space="preserve">time to 90%</t>
  </si>
  <si>
    <t xml:space="preserve">Precharge Res Energy to 90%</t>
  </si>
  <si>
    <t xml:space="preserve">J</t>
  </si>
  <si>
    <t xml:space="preserve">Average Power</t>
  </si>
  <si>
    <t xml:space="preserve">Gigavac P115-BDA</t>
  </si>
  <si>
    <t xml:space="preserve">Time to charge to 98% based on 5 tao = 1.05 s
Time to charge to 98% based on 98% of maximum voltage = 0.939 s</t>
  </si>
  <si>
    <t xml:space="preserve">Charger</t>
  </si>
  <si>
    <t xml:space="preserve">Elcon</t>
  </si>
  <si>
    <t xml:space="preserve">UHF HK-LF-540-12</t>
  </si>
  <si>
    <t xml:space="preserve">https://www.hec-drives.nl/BRUSA_DB_EN_NLG514.pdf</t>
  </si>
  <si>
    <t xml:space="preserve">Input Voltage</t>
  </si>
  <si>
    <t xml:space="preserve">90-265</t>
  </si>
  <si>
    <t xml:space="preserve">Input Current</t>
  </si>
  <si>
    <t xml:space="preserve">Output Voltage</t>
  </si>
  <si>
    <t xml:space="preserve">170-680</t>
  </si>
  <si>
    <t xml:space="preserve">Output Current</t>
  </si>
  <si>
    <t xml:space="preserve">Power</t>
  </si>
  <si>
    <t xml:space="preserve">kW</t>
  </si>
  <si>
    <t xml:space="preserve">Input to Output isolation</t>
  </si>
  <si>
    <t xml:space="preserve">Charging Tractive System Schematic</t>
  </si>
  <si>
    <t xml:space="preserve">Charging Shutdown Circuit</t>
  </si>
  <si>
    <t xml:space="preserve">Charging Tractive System Schematic Shows</t>
  </si>
  <si>
    <t xml:space="preserve">Charging Shtdown Circuit Shows</t>
  </si>
  <si>
    <t xml:space="preserve">Fuse</t>
  </si>
  <si>
    <t xml:space="preserve">EV.9.3</t>
  </si>
  <si>
    <t xml:space="preserve">IMD Control and Powerstage</t>
  </si>
  <si>
    <t xml:space="preserve">AMS</t>
  </si>
  <si>
    <t xml:space="preserve">Wire Gauge</t>
  </si>
  <si>
    <t xml:space="preserve">EV.9.2.7</t>
  </si>
  <si>
    <t xml:space="preserve">Charger Shutdown Button</t>
  </si>
  <si>
    <t xml:space="preserve">EV.9.4</t>
  </si>
  <si>
    <t xml:space="preserve">EV.9.4.2</t>
  </si>
  <si>
    <t xml:space="preserve">Charge Connector Interlock</t>
  </si>
  <si>
    <t xml:space="preserve">EV.9.2.6</t>
  </si>
  <si>
    <t xml:space="preserve">Charge Control (CAN, Enable, etc.)</t>
  </si>
  <si>
    <t xml:space="preserve">BSPD</t>
  </si>
  <si>
    <t xml:space="preserve">Rules Reference</t>
  </si>
  <si>
    <t xml:space="preserve">EV.8.7</t>
  </si>
  <si>
    <t xml:space="preserve">Bender IR155-3203</t>
  </si>
  <si>
    <t xml:space="preserve">Current Sensor Make/Model</t>
  </si>
  <si>
    <t xml:space="preserve">LEM 398-HOYS100-S/SP33-1106-ND</t>
  </si>
  <si>
    <t xml:space="preserve">Setpoint</t>
  </si>
  <si>
    <r>
      <rPr>
        <sz val="11"/>
        <color theme="1"/>
        <rFont val="Verdana"/>
        <family val="2"/>
        <charset val="1"/>
      </rPr>
      <t xml:space="preserve">k</t>
    </r>
    <r>
      <rPr>
        <sz val="11"/>
        <color theme="1"/>
        <rFont val="Calibri"/>
        <family val="2"/>
        <charset val="1"/>
      </rPr>
      <t xml:space="preserve">Ω</t>
    </r>
  </si>
  <si>
    <t xml:space="preserve">Current Sensor Datasheet</t>
  </si>
  <si>
    <t xml:space="preserve">https://www.lem.com/sites/default/files/products_datasheets/has_50_600-s_e.pdf</t>
  </si>
  <si>
    <t xml:space="preserve">Trip Current</t>
  </si>
  <si>
    <t xml:space="preserve">Sensor Output @ Trip Current</t>
  </si>
  <si>
    <t xml:space="preserve">Accuracy @ Trip Current</t>
  </si>
  <si>
    <t xml:space="preserve">Shutdown Circuit Schematic</t>
  </si>
  <si>
    <t xml:space="preserve">BSPD System Schematic</t>
  </si>
  <si>
    <t xml:space="preserve">Shutdown Circuit Schematic Shows</t>
  </si>
  <si>
    <t xml:space="preserve">BSPD System Schematic Shows</t>
  </si>
  <si>
    <t xml:space="preserve">EV.8.9</t>
  </si>
  <si>
    <t xml:space="preserve">GLVMS</t>
  </si>
  <si>
    <t xml:space="preserve">BSPD Current Sensor input open/short circuit protection</t>
  </si>
  <si>
    <t xml:space="preserve">TSMS</t>
  </si>
  <si>
    <t xml:space="preserve">BSPD Brake Position input open/short circuit protection</t>
  </si>
  <si>
    <t xml:space="preserve">EV.8.10</t>
  </si>
  <si>
    <t xml:space="preserve">2 Side Shutdown Buttons</t>
  </si>
  <si>
    <t xml:space="preserve">Shutdown circuit powerstage</t>
  </si>
  <si>
    <t xml:space="preserve">1 Cockpit Shutdown Button</t>
  </si>
  <si>
    <t xml:space="preserve">T.3.2</t>
  </si>
  <si>
    <t xml:space="preserve">Brake Over Travel Switch (BOTS)</t>
  </si>
  <si>
    <t xml:space="preserve">EV.8.8</t>
  </si>
  <si>
    <t xml:space="preserve">Inertia Switch</t>
  </si>
  <si>
    <t xml:space="preserve">EV.8.3</t>
  </si>
  <si>
    <t xml:space="preserve">EV.6.5.2</t>
  </si>
  <si>
    <t xml:space="preserve">HVD Interlock</t>
  </si>
  <si>
    <t xml:space="preserve">TSAL Schematic</t>
  </si>
  <si>
    <t xml:space="preserve">EV.8.1.4</t>
  </si>
  <si>
    <t xml:space="preserve">IMD, AMS, BSPD have independent power stages</t>
  </si>
  <si>
    <t xml:space="preserve">EV.5.1.3</t>
  </si>
  <si>
    <t xml:space="preserve">Outboard Wheel Motor Interlocks</t>
  </si>
  <si>
    <t xml:space="preserve">GLV Battery</t>
  </si>
  <si>
    <t xml:space="preserve">GLV Fuse</t>
  </si>
  <si>
    <t xml:space="preserve">EV.8.1.2</t>
  </si>
  <si>
    <t xml:space="preserve">Precharge Contactor coil</t>
  </si>
  <si>
    <t xml:space="preserve">Positive AIR coil</t>
  </si>
  <si>
    <t xml:space="preserve">Negative AIR coil</t>
  </si>
  <si>
    <t xml:space="preserve">Discharge Contactor coil</t>
  </si>
  <si>
    <t xml:space="preserve">EV.8.9.1; EV.8.9.3</t>
  </si>
  <si>
    <t xml:space="preserve">TSMS is last switch</t>
  </si>
  <si>
    <t xml:space="preserve">EV.8.9.1; EV.8.9.2</t>
  </si>
  <si>
    <t xml:space="preserve">GLVMS is first switch</t>
  </si>
  <si>
    <t xml:space="preserve">Uses proper electrical schematic symbols</t>
  </si>
  <si>
    <t xml:space="preserve">Labels/text are readable (zooming in is acceptable)</t>
  </si>
  <si>
    <t xml:space="preserve">EV.6.10</t>
  </si>
  <si>
    <t xml:space="preserve">Interlocks on TS connectors outside of an enclosure</t>
  </si>
  <si>
    <t xml:space="preserve">Not using outboard wheel motors</t>
  </si>
  <si>
    <t xml:space="preserve">EV.8.1
EV.8.2</t>
  </si>
  <si>
    <t xml:space="preserve">TSAL Schematic Shows</t>
  </si>
  <si>
    <t xml:space="preserve">TSAL controlled by &gt;60V present in TS</t>
  </si>
  <si>
    <t xml:space="preserve">TSAL powered by GLV</t>
  </si>
  <si>
    <t xml:space="preserve">TSAL flashes red when HV present and solid green when not</t>
  </si>
  <si>
    <t xml:space="preserve">We will be using smart LEDs that can be configured to flash for the red light.</t>
  </si>
  <si>
    <t xml:space="preserve">EV.6.9</t>
  </si>
  <si>
    <t xml:space="preserve">APPS Sensor Transfer function</t>
  </si>
  <si>
    <t xml:space="preserve">Torque Control Path Security Checks</t>
  </si>
  <si>
    <t xml:space="preserve">T.4.2.3</t>
  </si>
  <si>
    <t xml:space="preserve">Position</t>
  </si>
  <si>
    <t xml:space="preserve">APPS1 Output [V]</t>
  </si>
  <si>
    <t xml:space="preserve">APPS2 Output [V]</t>
  </si>
  <si>
    <t xml:space="preserve">Source Device</t>
  </si>
  <si>
    <t xml:space="preserve">Destination Device</t>
  </si>
  <si>
    <t xml:space="preserve">Communication</t>
  </si>
  <si>
    <t xml:space="preserve">Redundant</t>
  </si>
  <si>
    <t xml:space="preserve">Out Of Range</t>
  </si>
  <si>
    <t xml:space="preserve">Correlation</t>
  </si>
  <si>
    <t xml:space="preserve">Checksum</t>
  </si>
  <si>
    <t xml:space="preserve">Timeout</t>
  </si>
  <si>
    <t xml:space="preserve">APPS</t>
  </si>
  <si>
    <t xml:space="preserve">VCU</t>
  </si>
  <si>
    <t xml:space="preserve">Analog</t>
  </si>
  <si>
    <t xml:space="preserve">Yes</t>
  </si>
  <si>
    <t xml:space="preserve">No</t>
  </si>
  <si>
    <t xml:space="preserve">MC</t>
  </si>
  <si>
    <t xml:space="preserve">Digital</t>
  </si>
  <si>
    <t xml:space="preserve">APPS Part number: N24341600B </t>
  </si>
  <si>
    <t xml:space="preserve">Bamocar</t>
  </si>
  <si>
    <t xml:space="preserve">emrax</t>
  </si>
  <si>
    <t xml:space="preserve">PG D3 700/400</t>
  </si>
  <si>
    <t xml:space="preserve">228 HV</t>
  </si>
  <si>
    <t xml:space="preserve">https://www.unitek-industrie-elektronik.de/images/pdf/BAMOCAR%20Digital/BAMOCAR-PG-D3-700-400_EN.pdf</t>
  </si>
  <si>
    <t xml:space="preserve">https://emrax.com/wp-content/uploads/2017/01/emrax_228_technical_data_4.5.pdf</t>
  </si>
  <si>
    <t xml:space="preserve">Galvanic Isolation between TS and control</t>
  </si>
  <si>
    <t xml:space="preserve">Picture of Energy Meter download connector on car to prove compliance with EV.4.2.2</t>
  </si>
  <si>
    <t xml:space="preserve">Energy Meter Download Picture Shows</t>
  </si>
  <si>
    <t xml:space="preserve">Energy Meter Download Connector</t>
  </si>
</sst>
</file>

<file path=xl/styles.xml><?xml version="1.0" encoding="utf-8"?>
<styleSheet xmlns="http://schemas.openxmlformats.org/spreadsheetml/2006/main">
  <numFmts count="9">
    <numFmt numFmtId="164" formatCode="General"/>
    <numFmt numFmtId="165" formatCode="General"/>
    <numFmt numFmtId="166" formatCode="m/d/yyyy"/>
    <numFmt numFmtId="167" formatCode="m/d/yy;@"/>
    <numFmt numFmtId="168" formatCode="@"/>
    <numFmt numFmtId="169" formatCode="#,##0"/>
    <numFmt numFmtId="170" formatCode="0.00"/>
    <numFmt numFmtId="171" formatCode="0.0"/>
    <numFmt numFmtId="172" formatCode="0%"/>
  </numFmts>
  <fonts count="21">
    <font>
      <sz val="11"/>
      <color theme="1"/>
      <name val="Verdana"/>
      <family val="2"/>
      <charset val="1"/>
    </font>
    <font>
      <sz val="10"/>
      <name val="Arial"/>
      <family val="0"/>
    </font>
    <font>
      <sz val="10"/>
      <name val="Arial"/>
      <family val="0"/>
    </font>
    <font>
      <sz val="10"/>
      <name val="Arial"/>
      <family val="0"/>
    </font>
    <font>
      <b val="true"/>
      <sz val="11"/>
      <color theme="1"/>
      <name val="Verdana"/>
      <family val="2"/>
      <charset val="1"/>
    </font>
    <font>
      <sz val="11"/>
      <name val="Verdana"/>
      <family val="2"/>
      <charset val="1"/>
    </font>
    <font>
      <sz val="11"/>
      <color rgb="FF3F3F76"/>
      <name val="Verdana"/>
      <family val="2"/>
      <charset val="1"/>
    </font>
    <font>
      <b val="true"/>
      <sz val="11"/>
      <color rgb="FF3F3F3F"/>
      <name val="Verdana"/>
      <family val="2"/>
      <charset val="1"/>
    </font>
    <font>
      <u val="single"/>
      <sz val="11"/>
      <color theme="10"/>
      <name val="Verdana"/>
      <family val="2"/>
      <charset val="1"/>
    </font>
    <font>
      <vertAlign val="superscript"/>
      <sz val="10"/>
      <color theme="1"/>
      <name val="Verdana"/>
      <family val="2"/>
      <charset val="1"/>
    </font>
    <font>
      <sz val="11"/>
      <color rgb="FF000000"/>
      <name val="Verdana"/>
      <family val="2"/>
      <charset val="1"/>
    </font>
    <font>
      <sz val="11"/>
      <color theme="1"/>
      <name val="Calibri"/>
      <family val="2"/>
      <charset val="1"/>
    </font>
    <font>
      <vertAlign val="superscript"/>
      <sz val="11"/>
      <color theme="1"/>
      <name val="Verdana"/>
      <family val="2"/>
      <charset val="1"/>
    </font>
    <font>
      <sz val="9"/>
      <color theme="1"/>
      <name val="Verdana"/>
      <family val="2"/>
      <charset val="1"/>
    </font>
    <font>
      <b val="true"/>
      <sz val="11"/>
      <color rgb="FFFA7D00"/>
      <name val="Verdana"/>
      <family val="2"/>
      <charset val="1"/>
    </font>
    <font>
      <sz val="10"/>
      <name val="DejaVu Sans"/>
      <family val="2"/>
    </font>
    <font>
      <sz val="10"/>
      <color theme="1"/>
      <name val="Verdana"/>
      <family val="2"/>
      <charset val="1"/>
    </font>
    <font>
      <sz val="9"/>
      <color rgb="FF595959"/>
      <name val="Verdana"/>
      <family val="2"/>
    </font>
    <font>
      <sz val="10"/>
      <color rgb="FF595959"/>
      <name val="Verdana"/>
      <family val="2"/>
    </font>
    <font>
      <sz val="11"/>
      <color theme="1"/>
      <name val="Verdana"/>
      <family val="0"/>
    </font>
    <font>
      <sz val="11"/>
      <color rgb="FF000000"/>
      <name val="DejaVu Serif"/>
      <family val="0"/>
    </font>
  </fonts>
  <fills count="9">
    <fill>
      <patternFill patternType="none"/>
    </fill>
    <fill>
      <patternFill patternType="gray125"/>
    </fill>
    <fill>
      <patternFill patternType="solid">
        <fgColor theme="4" tint="0.5999"/>
        <bgColor rgb="FFBFBFBF"/>
      </patternFill>
    </fill>
    <fill>
      <patternFill patternType="solid">
        <fgColor rgb="FFFFCC99"/>
        <bgColor rgb="FFFFD966"/>
      </patternFill>
    </fill>
    <fill>
      <patternFill patternType="solid">
        <fgColor rgb="FFF2F2F2"/>
        <bgColor rgb="FFFFFFFF"/>
      </patternFill>
    </fill>
    <fill>
      <patternFill patternType="solid">
        <fgColor theme="0" tint="-0.15"/>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color rgb="FF7F7F7F"/>
      </bottom>
      <diagonal/>
    </border>
    <border diagonalUp="false" diagonalDown="false">
      <left style="thin"/>
      <right style="thin"/>
      <top style="thin"/>
      <bottom style="thin"/>
      <diagonal/>
    </border>
    <border diagonalUp="false" diagonalDown="false">
      <left/>
      <right style="thin">
        <color rgb="FF7F7F7F"/>
      </right>
      <top/>
      <bottom/>
      <diagonal/>
    </border>
    <border diagonalUp="false" diagonalDown="false">
      <left style="thin">
        <color rgb="FF7F7F7F"/>
      </left>
      <right style="thin">
        <color rgb="FF7F7F7F"/>
      </right>
      <top style="thin">
        <color rgb="FF7F7F7F"/>
      </top>
      <bottom/>
      <diagonal/>
    </border>
    <border diagonalUp="false" diagonalDown="false">
      <left/>
      <right/>
      <top style="thin">
        <color rgb="FF7F7F7F"/>
      </top>
      <bottom/>
      <diagonal/>
    </border>
    <border diagonalUp="false" diagonalDown="false">
      <left style="thin">
        <color rgb="FFA6A6A6"/>
      </left>
      <right/>
      <top style="thin">
        <color rgb="FFA6A6A6"/>
      </top>
      <bottom style="thin">
        <color rgb="FFA6A6A6"/>
      </bottom>
      <diagonal/>
    </border>
    <border diagonalUp="false" diagonalDown="false">
      <left/>
      <right/>
      <top style="thin">
        <color rgb="FFA6A6A6"/>
      </top>
      <bottom/>
      <diagonal/>
    </border>
    <border diagonalUp="false" diagonalDown="false">
      <left style="thin">
        <color rgb="FF7F7F7F"/>
      </left>
      <right/>
      <top style="thin">
        <color rgb="FF7F7F7F"/>
      </top>
      <bottom style="thin">
        <color rgb="FF7F7F7F"/>
      </bottom>
      <diagonal/>
    </border>
    <border diagonalUp="false" diagonalDown="false">
      <left/>
      <right style="thin">
        <color rgb="FF7F7F7F"/>
      </right>
      <top style="thin">
        <color rgb="FF7F7F7F"/>
      </top>
      <bottom style="thin">
        <color rgb="FF7F7F7F"/>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7F7F7F"/>
      </right>
      <top style="thin">
        <color rgb="FFA6A6A6"/>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diagonal/>
    </border>
    <border diagonalUp="false" diagonalDown="false">
      <left/>
      <right/>
      <top/>
      <bottom style="thin"/>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6" fillId="3" borderId="1" applyFont="true" applyBorder="true" applyAlignment="true" applyProtection="false">
      <alignment horizontal="general" vertical="bottom" textRotation="0" wrapText="false" indent="0" shrinkToFit="false"/>
    </xf>
    <xf numFmtId="164" fontId="7" fillId="4" borderId="2" applyFont="true" applyBorder="true" applyAlignment="true" applyProtection="false">
      <alignment horizontal="general" vertical="bottom" textRotation="0" wrapText="false" indent="0" shrinkToFit="false"/>
    </xf>
    <xf numFmtId="164" fontId="14" fillId="4" borderId="1" applyFont="true" applyBorder="true" applyAlignment="true" applyProtection="false">
      <alignment horizontal="general" vertical="bottom" textRotation="0" wrapText="false" indent="0" shrinkToFit="false"/>
    </xf>
  </cellStyleXfs>
  <cellXfs count="8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4" fillId="2" borderId="0" xfId="21" applyFont="true" applyBorder="tru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0" fillId="6" borderId="0" xfId="0" applyFont="true" applyBorder="true" applyAlignment="true" applyProtection="true">
      <alignment horizontal="right" vertical="bottom" textRotation="0" wrapText="false" indent="0" shrinkToFit="false"/>
      <protection locked="true" hidden="false"/>
    </xf>
    <xf numFmtId="164" fontId="0" fillId="7" borderId="0" xfId="0" applyFont="false" applyBorder="fals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right" vertical="bottom" textRotation="0" wrapText="false" indent="0" shrinkToFit="false"/>
      <protection locked="true" hidden="false"/>
    </xf>
    <xf numFmtId="164" fontId="6" fillId="3" borderId="1" xfId="22" applyFont="true" applyBorder="true" applyAlignment="true" applyProtection="true">
      <alignment horizontal="left" vertical="bottom" textRotation="0" wrapText="false" indent="0" shrinkToFit="false"/>
      <protection locked="false" hidden="false"/>
    </xf>
    <xf numFmtId="164" fontId="7" fillId="4" borderId="2" xfId="23" applyFont="true" applyBorder="true" applyAlignment="true" applyProtection="true">
      <alignment horizontal="left" vertical="bottom" textRotation="0" wrapText="false" indent="0" shrinkToFit="false"/>
      <protection locked="true" hidden="false"/>
    </xf>
    <xf numFmtId="165" fontId="7" fillId="4" borderId="2" xfId="23" applyFont="true" applyBorder="true" applyAlignment="true" applyProtection="true">
      <alignment horizontal="general" vertical="bottom" textRotation="0" wrapText="false" indent="0" shrinkToFit="false"/>
      <protection locked="true" hidden="false"/>
    </xf>
    <xf numFmtId="164" fontId="4" fillId="2" borderId="3" xfId="21"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false" indent="0" shrinkToFit="false"/>
      <protection locked="false" hidden="false"/>
    </xf>
    <xf numFmtId="164" fontId="4"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right" vertical="bottom" textRotation="0" wrapText="false" indent="0" shrinkToFit="false"/>
      <protection locked="true" hidden="false"/>
    </xf>
    <xf numFmtId="166" fontId="0"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left" vertical="bottom" textRotation="0" wrapText="false" indent="0" shrinkToFit="false"/>
      <protection locked="true" hidden="false"/>
    </xf>
    <xf numFmtId="164" fontId="0" fillId="0" borderId="4" xfId="0" applyFont="false" applyBorder="true" applyAlignment="true" applyProtection="true">
      <alignment horizontal="right" vertical="bottom" textRotation="0" wrapText="false" indent="0" shrinkToFit="false"/>
      <protection locked="true" hidden="false"/>
    </xf>
    <xf numFmtId="167" fontId="0" fillId="0" borderId="4" xfId="0" applyFont="false" applyBorder="true" applyAlignment="true" applyProtection="true">
      <alignment horizontal="general" vertical="bottom" textRotation="0" wrapText="false" indent="0" shrinkToFit="false"/>
      <protection locked="true" hidden="false"/>
    </xf>
    <xf numFmtId="164" fontId="0" fillId="0" borderId="4" xfId="0" applyFont="tru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false" indent="0" shrinkToFit="false"/>
      <protection locked="true" hidden="false"/>
    </xf>
    <xf numFmtId="168" fontId="6" fillId="3" borderId="1" xfId="22" applyFont="true" applyBorder="true" applyAlignment="true" applyProtection="true">
      <alignment horizontal="general" vertical="bottom" textRotation="0" wrapText="false" indent="0" shrinkToFit="false"/>
      <protection locked="false" hidden="false"/>
    </xf>
    <xf numFmtId="164" fontId="0" fillId="0" borderId="5" xfId="0" applyFont="true" applyBorder="true" applyAlignment="true" applyProtection="true">
      <alignment horizontal="right" vertical="bottom" textRotation="0" wrapText="false" indent="0" shrinkToFit="false"/>
      <protection locked="true" hidden="false"/>
    </xf>
    <xf numFmtId="164" fontId="8" fillId="5"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10" fillId="8" borderId="6" xfId="22"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general" vertical="bottom" textRotation="0" wrapText="false" indent="0" shrinkToFit="false"/>
      <protection locked="false" hidden="false"/>
    </xf>
    <xf numFmtId="164" fontId="8" fillId="3" borderId="1" xfId="20" applyFont="true" applyBorder="true" applyAlignment="true" applyProtection="true">
      <alignment horizontal="left" vertical="bottom" textRotation="0" wrapText="false" indent="0" shrinkToFit="false"/>
      <protection locked="false" hidden="false"/>
    </xf>
    <xf numFmtId="164" fontId="0" fillId="0" borderId="1" xfId="0" applyFont="true" applyBorder="true" applyAlignment="true" applyProtection="true">
      <alignment horizontal="left" vertical="top" textRotation="0" wrapText="true" indent="0" shrinkToFit="false"/>
      <protection locked="true" hidden="false"/>
    </xf>
    <xf numFmtId="169" fontId="6"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6" fillId="3" borderId="1" xfId="22" applyFont="true" applyBorder="true" applyAlignment="true" applyProtection="true">
      <alignment horizontal="center" vertical="bottom" textRotation="0" wrapText="false" indent="0" shrinkToFit="false"/>
      <protection locked="false" hidden="false"/>
    </xf>
    <xf numFmtId="164" fontId="0" fillId="5" borderId="0" xfId="0" applyFont="false" applyBorder="false" applyAlignment="true" applyProtection="true">
      <alignment horizontal="left" vertical="bottom" textRotation="0" wrapText="false" indent="0" shrinkToFit="false"/>
      <protection locked="true" hidden="false"/>
    </xf>
    <xf numFmtId="164" fontId="13" fillId="0" borderId="0" xfId="0" applyFont="true" applyBorder="false" applyAlignment="true" applyProtection="true">
      <alignment horizontal="center" vertical="bottom" textRotation="0" wrapText="true" indent="0" shrinkToFit="false"/>
      <protection locked="true" hidden="false"/>
    </xf>
    <xf numFmtId="165"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center" vertical="center" textRotation="0" wrapText="false" indent="0" shrinkToFit="false"/>
      <protection locked="true" hidden="false"/>
    </xf>
    <xf numFmtId="164" fontId="6" fillId="3" borderId="7" xfId="22" applyFont="true" applyBorder="true" applyAlignment="true" applyProtection="true">
      <alignment horizontal="left" vertical="top" textRotation="0" wrapText="false" indent="0" shrinkToFit="false"/>
      <protection locked="false" hidden="false"/>
    </xf>
    <xf numFmtId="165" fontId="0" fillId="7" borderId="7" xfId="0" applyFont="fals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center" vertical="bottom" textRotation="0" wrapText="false" indent="0" shrinkToFit="false"/>
      <protection locked="true" hidden="false"/>
    </xf>
    <xf numFmtId="164" fontId="0" fillId="8" borderId="8" xfId="21" applyFont="true" applyBorder="true" applyAlignment="true" applyProtection="true">
      <alignment horizontal="center" vertical="bottom" textRotation="0" wrapText="false" indent="0" shrinkToFit="false"/>
      <protection locked="true" hidden="false"/>
    </xf>
    <xf numFmtId="164" fontId="0" fillId="0" borderId="9" xfId="0" applyFont="false" applyBorder="true" applyAlignment="true" applyProtection="true">
      <alignment horizontal="left" vertical="bottom" textRotation="0" wrapText="false" indent="0" shrinkToFit="false"/>
      <protection locked="true" hidden="false"/>
    </xf>
    <xf numFmtId="165" fontId="6" fillId="3" borderId="1" xfId="22" applyFont="true" applyBorder="true" applyAlignment="true" applyProtection="true">
      <alignment horizontal="general" vertical="bottom" textRotation="0" wrapText="false" indent="0" shrinkToFit="false"/>
      <protection locked="false" hidden="false"/>
    </xf>
    <xf numFmtId="165" fontId="0" fillId="7"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true" applyAlignment="true" applyProtection="true">
      <alignment horizontal="left"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5" fontId="0" fillId="7" borderId="0" xfId="0" applyFont="fals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14" fillId="4" borderId="1" xfId="24" applyFont="true" applyBorder="true" applyAlignment="true" applyProtection="true">
      <alignment horizontal="center" vertical="bottom" textRotation="0" wrapText="false" indent="0" shrinkToFit="false"/>
      <protection locked="true" hidden="false"/>
    </xf>
    <xf numFmtId="164" fontId="0" fillId="5"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16" fillId="0" borderId="5" xfId="0" applyFont="true" applyBorder="true" applyAlignment="true" applyProtection="true">
      <alignment horizontal="right" vertical="bottom" textRotation="0" wrapText="false" indent="0" shrinkToFit="false"/>
      <protection locked="true" hidden="false"/>
    </xf>
    <xf numFmtId="165" fontId="14" fillId="4" borderId="1" xfId="24" applyFont="true" applyBorder="true" applyAlignment="true" applyProtection="true">
      <alignment horizontal="left" vertical="bottom" textRotation="0" wrapText="false" indent="0" shrinkToFit="false"/>
      <protection locked="true" hidden="false"/>
    </xf>
    <xf numFmtId="164" fontId="6" fillId="3" borderId="10" xfId="22" applyFont="true" applyBorder="true" applyAlignment="true" applyProtection="true">
      <alignment horizontal="left" vertical="bottom" textRotation="0" wrapText="false" indent="0" shrinkToFit="false"/>
      <protection locked="false" hidden="false"/>
    </xf>
    <xf numFmtId="164" fontId="6" fillId="3" borderId="11" xfId="22" applyFont="true" applyBorder="true" applyAlignment="true" applyProtection="true">
      <alignment horizontal="left" vertical="bottom" textRotation="0" wrapText="false" indent="0" shrinkToFit="false"/>
      <protection locked="false" hidden="false"/>
    </xf>
    <xf numFmtId="164" fontId="6" fillId="3" borderId="1" xfId="22" applyFont="true" applyBorder="true" applyAlignment="true" applyProtection="true">
      <alignment horizontal="center" vertical="center" textRotation="0" wrapText="true" indent="0" shrinkToFit="false"/>
      <protection locked="true" hidden="false"/>
    </xf>
    <xf numFmtId="164" fontId="0" fillId="8" borderId="12" xfId="0" applyFont="true" applyBorder="true" applyAlignment="true" applyProtection="true">
      <alignment horizontal="center" vertical="bottom" textRotation="0" wrapText="false" indent="0" shrinkToFit="false"/>
      <protection locked="true" hidden="false"/>
    </xf>
    <xf numFmtId="164" fontId="0" fillId="0" borderId="1" xfId="0" applyFont="true" applyBorder="true" applyAlignment="true" applyProtection="true">
      <alignment horizontal="left" vertical="top" textRotation="0" wrapText="false" indent="0" shrinkToFit="false"/>
      <protection locked="true" hidden="false"/>
    </xf>
    <xf numFmtId="164" fontId="0" fillId="5" borderId="0" xfId="0" applyFont="false" applyBorder="false" applyAlignment="true" applyProtection="true">
      <alignment horizontal="left" vertical="top" textRotation="0" wrapText="false" indent="0" shrinkToFit="false"/>
      <protection locked="true" hidden="false"/>
    </xf>
    <xf numFmtId="164" fontId="6" fillId="3" borderId="13" xfId="22" applyFont="true" applyBorder="true" applyAlignment="true" applyProtection="true">
      <alignment horizontal="general" vertical="top" textRotation="0" wrapText="true" indent="0" shrinkToFit="false"/>
      <protection locked="false" hidden="false"/>
    </xf>
    <xf numFmtId="164" fontId="0" fillId="8" borderId="14"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top" textRotation="0" wrapText="false" indent="0" shrinkToFit="false"/>
      <protection locked="true" hidden="false"/>
    </xf>
    <xf numFmtId="170" fontId="14" fillId="4" borderId="1" xfId="24"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bottom" textRotation="0" wrapText="false" indent="0" shrinkToFit="false"/>
      <protection locked="true" hidden="false"/>
    </xf>
    <xf numFmtId="171"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true" indent="0" shrinkToFit="false"/>
      <protection locked="false" hidden="false"/>
    </xf>
    <xf numFmtId="164" fontId="6" fillId="3" borderId="1" xfId="22" applyFont="true" applyBorder="true" applyAlignment="true" applyProtection="true">
      <alignment horizontal="left" vertical="bottom" textRotation="0" wrapText="true" indent="0" shrinkToFit="false"/>
      <protection locked="false" hidden="false"/>
    </xf>
    <xf numFmtId="164" fontId="0" fillId="8" borderId="8" xfId="21" applyFont="true" applyBorder="true" applyAlignment="true" applyProtection="true">
      <alignment horizontal="right" vertical="bottom" textRotation="0" wrapText="false" indent="0" shrinkToFit="false"/>
      <protection locked="true" hidden="false"/>
    </xf>
    <xf numFmtId="164" fontId="0" fillId="0" borderId="14" xfId="21" applyFont="true" applyBorder="true" applyAlignment="true" applyProtection="true">
      <alignment horizontal="center" vertical="bottom" textRotation="0" wrapText="false" indent="0" shrinkToFit="false"/>
      <protection locked="true" hidden="false"/>
    </xf>
    <xf numFmtId="164" fontId="0" fillId="8" borderId="14" xfId="21" applyFont="true" applyBorder="true" applyAlignment="true" applyProtection="true">
      <alignment horizontal="right" vertical="bottom" textRotation="0" wrapText="false" indent="0" shrinkToFit="false"/>
      <protection locked="true" hidden="false"/>
    </xf>
    <xf numFmtId="164" fontId="6" fillId="3" borderId="15" xfId="22" applyFont="true" applyBorder="true" applyAlignment="true" applyProtection="true">
      <alignment horizontal="center"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false" indent="0" shrinkToFit="false"/>
      <protection locked="fals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5" borderId="0" xfId="0" applyFont="false" applyBorder="false" applyAlignment="true" applyProtection="true">
      <alignment horizontal="general"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true" indent="0" shrinkToFit="false"/>
      <protection locked="false" hidden="false"/>
    </xf>
    <xf numFmtId="164" fontId="0" fillId="0" borderId="17" xfId="0" applyFont="true" applyBorder="tru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true" indent="0" shrinkToFit="false"/>
      <protection locked="true" hidden="false"/>
    </xf>
    <xf numFmtId="164" fontId="0" fillId="0" borderId="7" xfId="0" applyFont="true" applyBorder="true" applyAlignment="true" applyProtection="true">
      <alignment horizontal="left" vertical="bottom" textRotation="0" wrapText="false" indent="0" shrinkToFit="false"/>
      <protection locked="true" hidden="false"/>
    </xf>
    <xf numFmtId="164" fontId="0" fillId="7" borderId="0" xfId="0" applyFont="false" applyBorder="true" applyAlignment="true" applyProtection="true">
      <alignment horizontal="center" vertical="bottom" textRotation="0" wrapText="false" indent="0" shrinkToFit="false"/>
      <protection locked="true" hidden="false"/>
    </xf>
    <xf numFmtId="164" fontId="6" fillId="0" borderId="1" xfId="22" applyFont="true" applyBorder="true" applyAlignment="true" applyProtection="true">
      <alignment horizontal="center" vertical="center"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Excel Built-in 40% - Accent1" xfId="21"/>
    <cellStyle name="Excel Built-in Input" xfId="22"/>
    <cellStyle name="Excel Built-in Output" xfId="23"/>
    <cellStyle name="*unknown*" xfId="20" builtinId="8"/>
    <cellStyle name="Excel Built-in Calculation" xfId="24"/>
  </cellStyles>
  <dxfs count="22">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"Test Data"</c:f>
              <c:strCache>
                <c:ptCount val="1"/>
                <c:pt idx="0">
                  <c:v>Test Data</c:v>
                </c:pt>
              </c:strCache>
            </c:strRef>
          </c:tx>
          <c:spPr>
            <a:solidFill>
              <a:srgbClr val="367c2b"/>
            </a:solidFill>
            <a:ln w="25560">
              <a:noFill/>
            </a:ln>
          </c:spPr>
          <c:marker>
            <c:symbol val="circle"/>
            <c:size val="5"/>
            <c:spPr>
              <a:solidFill>
                <a:srgbClr val="367c2b"/>
              </a:solidFill>
            </c:spPr>
          </c:marker>
          <c:dPt>
            <c:idx val="0"/>
            <c:marker>
              <c:symbol val="none"/>
            </c:marker>
          </c:dPt>
          <c:dLbls>
            <c:dLbl>
              <c:idx val="0"/>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dLbl>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ser>
        <c:ser>
          <c:idx val="1"/>
          <c:order val="1"/>
          <c:tx>
            <c:strRef>
              <c:f>"Continuous"</c:f>
              <c:strCache>
                <c:ptCount val="1"/>
                <c:pt idx="0">
                  <c:v>Continuous</c:v>
                </c:pt>
              </c:strCache>
            </c:strRef>
          </c:tx>
          <c:spPr>
            <a:solidFill>
              <a:srgbClr val="666666"/>
            </a:solidFill>
            <a:ln cap="rnd" w="12600">
              <a:solidFill>
                <a:srgbClr val="666666"/>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numCache>
            </c:numRef>
          </c:yVal>
          <c:smooth val="0"/>
        </c:ser>
        <c:axId val="26996268"/>
        <c:axId val="51668035"/>
      </c:scatterChart>
      <c:valAx>
        <c:axId val="26996268"/>
        <c:scaling>
          <c:logBase val="10"/>
          <c:orientation val="minMax"/>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51668035"/>
        <c:crosses val="autoZero"/>
        <c:crossBetween val="midCat"/>
      </c:valAx>
      <c:valAx>
        <c:axId val="51668035"/>
        <c:scaling>
          <c:logBase val="10"/>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26996268"/>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
        <c:varyColors val="0"/>
        <c:ser>
          <c:idx val="0"/>
          <c:order val="0"/>
          <c:tx>
            <c:strRef>
              <c:f>"APPS1"</c:f>
              <c:strCache>
                <c:ptCount val="1"/>
                <c:pt idx="0">
                  <c:v>APPS1</c:v>
                </c:pt>
              </c:strCache>
            </c:strRef>
          </c:tx>
          <c:spPr>
            <a:solidFill>
              <a:srgbClr val="367c2b"/>
            </a:solidFill>
            <a:ln cap="rnd" w="19080">
              <a:solidFill>
                <a:srgbClr val="367c2b"/>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0.731</c:v>
                </c:pt>
              </c:numCache>
            </c:numRef>
          </c:yVal>
          <c:smooth val="0"/>
        </c:ser>
        <c:ser>
          <c:idx val="1"/>
          <c:order val="1"/>
          <c:tx>
            <c:strRef>
              <c:f>"APPS2"</c:f>
              <c:strCache>
                <c:ptCount val="1"/>
                <c:pt idx="0">
                  <c:v>APPS2</c:v>
                </c:pt>
              </c:strCache>
            </c:strRef>
          </c:tx>
          <c:spPr>
            <a:solidFill>
              <a:srgbClr val="ffde00"/>
            </a:solidFill>
            <a:ln cap="rnd" w="19080">
              <a:solidFill>
                <a:srgbClr val="ffde00"/>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2.05</c:v>
                </c:pt>
                <c:pt idx="1">
                  <c:v>1.69</c:v>
                </c:pt>
                <c:pt idx="2">
                  <c:v>1.35</c:v>
                </c:pt>
                <c:pt idx="3">
                  <c:v>1.03</c:v>
                </c:pt>
                <c:pt idx="4">
                  <c:v>0.704</c:v>
                </c:pt>
                <c:pt idx="5">
                  <c:v>0.361</c:v>
                </c:pt>
              </c:numCache>
            </c:numRef>
          </c:yVal>
          <c:smooth val="0"/>
        </c:ser>
        <c:axId val="12540623"/>
        <c:axId val="96768915"/>
      </c:scatterChart>
      <c:valAx>
        <c:axId val="12540623"/>
        <c:scaling>
          <c:orientation val="minMax"/>
          <c:max val="1"/>
          <c:min val="0"/>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96768915"/>
        <c:crosses val="autoZero"/>
        <c:crossBetween val="midCat"/>
      </c:valAx>
      <c:valAx>
        <c:axId val="96768915"/>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12540623"/>
        <c:crosses val="autoZero"/>
        <c:crossBetween val="midCat"/>
      </c:valAx>
      <c:spPr>
        <a:noFill/>
        <a:ln w="0">
          <a:noFill/>
        </a:ln>
      </c:spPr>
    </c:plotArea>
    <c:legend>
      <c:legendPos val="r"/>
      <c:overlay val="0"/>
      <c:spPr>
        <a:noFill/>
        <a:ln w="0">
          <a:noFill/>
        </a:ln>
      </c:spPr>
      <c:txPr>
        <a:bodyPr/>
        <a:lstStyle/>
        <a:p>
          <a:pPr>
            <a:defRPr b="0" sz="900" spc="-1" strike="noStrike">
              <a:solidFill>
                <a:srgbClr val="595959"/>
              </a:solidFill>
              <a:latin typeface="Verdana"/>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5.png"/><Relationship Id="rId9"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_rels/drawing4.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
</Relationships>
</file>

<file path=xl/drawings/_rels/drawing6.xml.rels><?xml version="1.0" encoding="UTF-8"?>
<Relationships xmlns="http://schemas.openxmlformats.org/package/2006/relationships"><Relationship Id="rId1" Type="http://schemas.openxmlformats.org/officeDocument/2006/relationships/chart" Target="../charts/chart2.xml"/>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82800</xdr:colOff>
      <xdr:row>2</xdr:row>
      <xdr:rowOff>60480</xdr:rowOff>
    </xdr:from>
    <xdr:to>
      <xdr:col>22</xdr:col>
      <xdr:colOff>603000</xdr:colOff>
      <xdr:row>23</xdr:row>
      <xdr:rowOff>136800</xdr:rowOff>
    </xdr:to>
    <xdr:pic>
      <xdr:nvPicPr>
        <xdr:cNvPr id="0" name="Picture 4" descr=""/>
        <xdr:cNvPicPr/>
      </xdr:nvPicPr>
      <xdr:blipFill>
        <a:blip r:embed="rId1"/>
        <a:stretch/>
      </xdr:blipFill>
      <xdr:spPr>
        <a:xfrm>
          <a:off x="8490960" y="403560"/>
          <a:ext cx="7498800" cy="3850560"/>
        </a:xfrm>
        <a:prstGeom prst="rect">
          <a:avLst/>
        </a:prstGeom>
        <a:ln w="0">
          <a:noFill/>
        </a:ln>
      </xdr:spPr>
    </xdr:pic>
    <xdr:clientData/>
  </xdr:twoCellAnchor>
  <xdr:twoCellAnchor editAs="oneCell">
    <xdr:from>
      <xdr:col>0</xdr:col>
      <xdr:colOff>101520</xdr:colOff>
      <xdr:row>1</xdr:row>
      <xdr:rowOff>101520</xdr:rowOff>
    </xdr:from>
    <xdr:to>
      <xdr:col>11</xdr:col>
      <xdr:colOff>720</xdr:colOff>
      <xdr:row>18</xdr:row>
      <xdr:rowOff>97920</xdr:rowOff>
    </xdr:to>
    <xdr:pic>
      <xdr:nvPicPr>
        <xdr:cNvPr id="1" name="Picture 1" descr=""/>
        <xdr:cNvPicPr/>
      </xdr:nvPicPr>
      <xdr:blipFill>
        <a:blip r:embed="rId2"/>
        <a:stretch/>
      </xdr:blipFill>
      <xdr:spPr>
        <a:xfrm>
          <a:off x="101520" y="272880"/>
          <a:ext cx="7609320" cy="29998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72000</xdr:colOff>
      <xdr:row>57</xdr:row>
      <xdr:rowOff>20880</xdr:rowOff>
    </xdr:from>
    <xdr:to>
      <xdr:col>13</xdr:col>
      <xdr:colOff>124200</xdr:colOff>
      <xdr:row>72</xdr:row>
      <xdr:rowOff>62280</xdr:rowOff>
    </xdr:to>
    <xdr:graphicFrame>
      <xdr:nvGraphicFramePr>
        <xdr:cNvPr id="2" name="Chart 1"/>
        <xdr:cNvGraphicFramePr/>
      </xdr:nvGraphicFramePr>
      <xdr:xfrm>
        <a:off x="5082840" y="11624400"/>
        <a:ext cx="4638240" cy="28861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29</xdr:row>
      <xdr:rowOff>156600</xdr:rowOff>
    </xdr:from>
    <xdr:to>
      <xdr:col>2</xdr:col>
      <xdr:colOff>683640</xdr:colOff>
      <xdr:row>37</xdr:row>
      <xdr:rowOff>12240</xdr:rowOff>
    </xdr:to>
    <xdr:pic>
      <xdr:nvPicPr>
        <xdr:cNvPr id="3" name="Picture 3" descr=""/>
        <xdr:cNvPicPr/>
      </xdr:nvPicPr>
      <xdr:blipFill>
        <a:blip r:embed="rId2"/>
        <a:stretch/>
      </xdr:blipFill>
      <xdr:spPr>
        <a:xfrm>
          <a:off x="117360" y="5622840"/>
          <a:ext cx="1962000" cy="1521720"/>
        </a:xfrm>
        <a:prstGeom prst="rect">
          <a:avLst/>
        </a:prstGeom>
        <a:ln w="0">
          <a:noFill/>
        </a:ln>
      </xdr:spPr>
    </xdr:pic>
    <xdr:clientData/>
  </xdr:twoCellAnchor>
  <xdr:twoCellAnchor editAs="oneCell">
    <xdr:from>
      <xdr:col>0</xdr:col>
      <xdr:colOff>117360</xdr:colOff>
      <xdr:row>37</xdr:row>
      <xdr:rowOff>101160</xdr:rowOff>
    </xdr:from>
    <xdr:to>
      <xdr:col>2</xdr:col>
      <xdr:colOff>691920</xdr:colOff>
      <xdr:row>44</xdr:row>
      <xdr:rowOff>145800</xdr:rowOff>
    </xdr:to>
    <xdr:pic>
      <xdr:nvPicPr>
        <xdr:cNvPr id="4" name="Picture 6" descr=""/>
        <xdr:cNvPicPr/>
      </xdr:nvPicPr>
      <xdr:blipFill>
        <a:blip r:embed="rId3"/>
        <a:stretch/>
      </xdr:blipFill>
      <xdr:spPr>
        <a:xfrm>
          <a:off x="117360" y="7233480"/>
          <a:ext cx="1970280" cy="1502640"/>
        </a:xfrm>
        <a:prstGeom prst="rect">
          <a:avLst/>
        </a:prstGeom>
        <a:ln w="0">
          <a:noFill/>
        </a:ln>
      </xdr:spPr>
    </xdr:pic>
    <xdr:clientData/>
  </xdr:twoCellAnchor>
  <xdr:twoCellAnchor editAs="oneCell">
    <xdr:from>
      <xdr:col>3</xdr:col>
      <xdr:colOff>332280</xdr:colOff>
      <xdr:row>30</xdr:row>
      <xdr:rowOff>24840</xdr:rowOff>
    </xdr:from>
    <xdr:to>
      <xdr:col>7</xdr:col>
      <xdr:colOff>955800</xdr:colOff>
      <xdr:row>44</xdr:row>
      <xdr:rowOff>87120</xdr:rowOff>
    </xdr:to>
    <xdr:pic>
      <xdr:nvPicPr>
        <xdr:cNvPr id="5" name="Picture 9" descr=""/>
        <xdr:cNvPicPr/>
      </xdr:nvPicPr>
      <xdr:blipFill>
        <a:blip r:embed="rId4"/>
        <a:srcRect l="3342" t="3885" r="4832" b="2599"/>
        <a:stretch/>
      </xdr:blipFill>
      <xdr:spPr>
        <a:xfrm>
          <a:off x="2426040" y="5699160"/>
          <a:ext cx="3540600" cy="2978280"/>
        </a:xfrm>
        <a:prstGeom prst="rect">
          <a:avLst/>
        </a:prstGeom>
        <a:ln w="0">
          <a:noFill/>
        </a:ln>
      </xdr:spPr>
    </xdr:pic>
    <xdr:clientData/>
  </xdr:twoCellAnchor>
  <xdr:twoCellAnchor editAs="twoCell">
    <xdr:from>
      <xdr:col>2</xdr:col>
      <xdr:colOff>380880</xdr:colOff>
      <xdr:row>35</xdr:row>
      <xdr:rowOff>180720</xdr:rowOff>
    </xdr:from>
    <xdr:to>
      <xdr:col>4</xdr:col>
      <xdr:colOff>126720</xdr:colOff>
      <xdr:row>40</xdr:row>
      <xdr:rowOff>6120</xdr:rowOff>
    </xdr:to>
    <xdr:cxnSp>
      <xdr:nvCxnSpPr>
        <xdr:cNvPr id="6" name="Straight Arrow Connector 7"/>
        <xdr:cNvCxnSpPr/>
      </xdr:nvCxnSpPr>
      <xdr:spPr>
        <a:xfrm flipV="1">
          <a:off x="1776600" y="6896520"/>
          <a:ext cx="1141920" cy="867240"/>
        </a:xfrm>
        <a:prstGeom prst="straightConnector1">
          <a:avLst/>
        </a:prstGeom>
        <a:ln w="57150">
          <a:solidFill>
            <a:srgbClr val="ff0000"/>
          </a:solidFill>
          <a:miter/>
          <a:tailEnd len="med" type="triangle" w="med"/>
        </a:ln>
      </xdr:spPr>
    </xdr:cxnSp>
    <xdr:clientData/>
  </xdr:twoCellAnchor>
  <xdr:twoCellAnchor editAs="oneCell">
    <xdr:from>
      <xdr:col>10</xdr:col>
      <xdr:colOff>6120</xdr:colOff>
      <xdr:row>30</xdr:row>
      <xdr:rowOff>129600</xdr:rowOff>
    </xdr:from>
    <xdr:to>
      <xdr:col>15</xdr:col>
      <xdr:colOff>290520</xdr:colOff>
      <xdr:row>42</xdr:row>
      <xdr:rowOff>207360</xdr:rowOff>
    </xdr:to>
    <xdr:pic>
      <xdr:nvPicPr>
        <xdr:cNvPr id="7" name="Picture 14" descr=""/>
        <xdr:cNvPicPr/>
      </xdr:nvPicPr>
      <xdr:blipFill>
        <a:blip r:embed="rId5"/>
        <a:stretch/>
      </xdr:blipFill>
      <xdr:spPr>
        <a:xfrm>
          <a:off x="7509240" y="5803920"/>
          <a:ext cx="3784680" cy="2577240"/>
        </a:xfrm>
        <a:prstGeom prst="rect">
          <a:avLst/>
        </a:prstGeom>
        <a:ln w="0">
          <a:noFill/>
        </a:ln>
      </xdr:spPr>
    </xdr:pic>
    <xdr:clientData/>
  </xdr:twoCellAnchor>
  <xdr:twoCellAnchor editAs="twoCell">
    <xdr:from>
      <xdr:col>14</xdr:col>
      <xdr:colOff>29160</xdr:colOff>
      <xdr:row>37</xdr:row>
      <xdr:rowOff>62640</xdr:rowOff>
    </xdr:from>
    <xdr:to>
      <xdr:col>16</xdr:col>
      <xdr:colOff>534240</xdr:colOff>
      <xdr:row>39</xdr:row>
      <xdr:rowOff>59400</xdr:rowOff>
    </xdr:to>
    <xdr:grpSp>
      <xdr:nvGrpSpPr>
        <xdr:cNvPr id="8" name="Group 15"/>
        <xdr:cNvGrpSpPr/>
      </xdr:nvGrpSpPr>
      <xdr:grpSpPr>
        <a:xfrm>
          <a:off x="10334520" y="7194960"/>
          <a:ext cx="1900800" cy="413280"/>
          <a:chOff x="10334520" y="7194960"/>
          <a:chExt cx="1900800" cy="413280"/>
        </a:xfrm>
      </xdr:grpSpPr>
      <xdr:sp>
        <xdr:nvSpPr>
          <xdr:cNvPr id="9" name="TextBox 16"/>
          <xdr:cNvSpPr/>
        </xdr:nvSpPr>
        <xdr:spPr>
          <a:xfrm>
            <a:off x="10992240" y="7356960"/>
            <a:ext cx="1243080" cy="25128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Two Tab Washer</a:t>
            </a:r>
            <a:endParaRPr b="0" lang="en-US" sz="1100" spc="-1" strike="noStrike">
              <a:latin typeface="DejaVu Serif"/>
            </a:endParaRPr>
          </a:p>
        </xdr:txBody>
      </xdr:sp>
      <xdr:cxnSp>
        <xdr:nvCxnSpPr>
          <xdr:cNvPr id="10" name="Straight Arrow Connector 17"/>
          <xdr:cNvCxnSpPr/>
        </xdr:nvCxnSpPr>
        <xdr:spPr>
          <a:xfrm flipH="1" flipV="1">
            <a:off x="10334520" y="7194960"/>
            <a:ext cx="659160" cy="290160"/>
          </a:xfrm>
          <a:prstGeom prst="straightConnector1">
            <a:avLst/>
          </a:prstGeom>
          <a:ln w="19050">
            <a:solidFill>
              <a:srgbClr val="ffde00"/>
            </a:solidFill>
            <a:miter/>
            <a:tailEnd len="med" type="triangle" w="med"/>
          </a:ln>
        </xdr:spPr>
      </xdr:cxnSp>
    </xdr:grpSp>
    <xdr:clientData/>
  </xdr:twoCellAnchor>
  <xdr:twoCellAnchor editAs="oneCell">
    <xdr:from>
      <xdr:col>18</xdr:col>
      <xdr:colOff>156240</xdr:colOff>
      <xdr:row>30</xdr:row>
      <xdr:rowOff>129600</xdr:rowOff>
    </xdr:from>
    <xdr:to>
      <xdr:col>25</xdr:col>
      <xdr:colOff>1063080</xdr:colOff>
      <xdr:row>43</xdr:row>
      <xdr:rowOff>202680</xdr:rowOff>
    </xdr:to>
    <xdr:pic>
      <xdr:nvPicPr>
        <xdr:cNvPr id="11" name="Picture 19" descr=""/>
        <xdr:cNvPicPr/>
      </xdr:nvPicPr>
      <xdr:blipFill>
        <a:blip r:embed="rId6"/>
        <a:srcRect l="4398" t="0" r="6484" b="14839"/>
        <a:stretch/>
      </xdr:blipFill>
      <xdr:spPr>
        <a:xfrm>
          <a:off x="13651920" y="5803920"/>
          <a:ext cx="5792040" cy="2780640"/>
        </a:xfrm>
        <a:prstGeom prst="rect">
          <a:avLst/>
        </a:prstGeom>
        <a:ln w="0">
          <a:noFill/>
        </a:ln>
      </xdr:spPr>
    </xdr:pic>
    <xdr:clientData/>
  </xdr:twoCellAnchor>
  <xdr:twoCellAnchor editAs="twoCell">
    <xdr:from>
      <xdr:col>19</xdr:col>
      <xdr:colOff>586080</xdr:colOff>
      <xdr:row>33</xdr:row>
      <xdr:rowOff>38520</xdr:rowOff>
    </xdr:from>
    <xdr:to>
      <xdr:col>22</xdr:col>
      <xdr:colOff>167400</xdr:colOff>
      <xdr:row>35</xdr:row>
      <xdr:rowOff>157320</xdr:rowOff>
    </xdr:to>
    <xdr:grpSp>
      <xdr:nvGrpSpPr>
        <xdr:cNvPr id="12" name="Group 20"/>
        <xdr:cNvGrpSpPr/>
      </xdr:nvGrpSpPr>
      <xdr:grpSpPr>
        <a:xfrm>
          <a:off x="14779440" y="6337800"/>
          <a:ext cx="1675080" cy="535320"/>
          <a:chOff x="14779440" y="6337800"/>
          <a:chExt cx="1675080" cy="535320"/>
        </a:xfrm>
      </xdr:grpSpPr>
      <xdr:sp>
        <xdr:nvSpPr>
          <xdr:cNvPr id="13" name="TextBox 21"/>
          <xdr:cNvSpPr/>
        </xdr:nvSpPr>
        <xdr:spPr>
          <a:xfrm>
            <a:off x="14999400" y="6337800"/>
            <a:ext cx="1053720" cy="27576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temperature sensor</a:t>
            </a:r>
            <a:endParaRPr b="0" lang="en-US" sz="1100" spc="-1" strike="noStrike">
              <a:latin typeface="DejaVu Serif"/>
            </a:endParaRPr>
          </a:p>
        </xdr:txBody>
      </xdr:sp>
      <xdr:cxnSp>
        <xdr:nvCxnSpPr>
          <xdr:cNvPr id="14" name="Straight Arrow Connector 22"/>
          <xdr:cNvCxnSpPr/>
        </xdr:nvCxnSpPr>
        <xdr:spPr>
          <a:xfrm flipH="1">
            <a:off x="14779440" y="6479640"/>
            <a:ext cx="221400" cy="380880"/>
          </a:xfrm>
          <a:prstGeom prst="straightConnector1">
            <a:avLst/>
          </a:prstGeom>
          <a:ln w="6350">
            <a:solidFill>
              <a:srgbClr val="ffffff"/>
            </a:solidFill>
            <a:miter/>
            <a:tailEnd len="med" type="triangle" w="med"/>
          </a:ln>
        </xdr:spPr>
      </xdr:cxnSp>
      <xdr:cxnSp>
        <xdr:nvCxnSpPr>
          <xdr:cNvPr id="15" name="Straight Arrow Connector 23"/>
          <xdr:cNvCxnSpPr/>
        </xdr:nvCxnSpPr>
        <xdr:spPr>
          <a:xfrm>
            <a:off x="16054560" y="6476400"/>
            <a:ext cx="400320" cy="397080"/>
          </a:xfrm>
          <a:prstGeom prst="straightConnector1">
            <a:avLst/>
          </a:prstGeom>
          <a:ln w="6350">
            <a:solidFill>
              <a:srgbClr val="ffffff"/>
            </a:solidFill>
            <a:miter/>
            <a:tailEnd len="med" type="triangle" w="med"/>
          </a:ln>
        </xdr:spPr>
      </xdr:cxnSp>
    </xdr:grpSp>
    <xdr:clientData/>
  </xdr:twoCellAnchor>
  <xdr:twoCellAnchor editAs="oneCell">
    <xdr:from>
      <xdr:col>28</xdr:col>
      <xdr:colOff>97560</xdr:colOff>
      <xdr:row>29</xdr:row>
      <xdr:rowOff>89280</xdr:rowOff>
    </xdr:from>
    <xdr:to>
      <xdr:col>34</xdr:col>
      <xdr:colOff>124920</xdr:colOff>
      <xdr:row>44</xdr:row>
      <xdr:rowOff>146160</xdr:rowOff>
    </xdr:to>
    <xdr:pic>
      <xdr:nvPicPr>
        <xdr:cNvPr id="16" name="Picture 26" descr=""/>
        <xdr:cNvPicPr/>
      </xdr:nvPicPr>
      <xdr:blipFill>
        <a:blip r:embed="rId7"/>
        <a:srcRect l="4902" t="3979" r="7113" b="2720"/>
        <a:stretch/>
      </xdr:blipFill>
      <xdr:spPr>
        <a:xfrm>
          <a:off x="20970720" y="5555520"/>
          <a:ext cx="4214520" cy="3180960"/>
        </a:xfrm>
        <a:prstGeom prst="rect">
          <a:avLst/>
        </a:prstGeom>
        <a:ln w="0">
          <a:noFill/>
        </a:ln>
      </xdr:spPr>
    </xdr:pic>
    <xdr:clientData/>
  </xdr:twoCellAnchor>
  <xdr:twoCellAnchor editAs="oneCell">
    <xdr:from>
      <xdr:col>37</xdr:col>
      <xdr:colOff>234360</xdr:colOff>
      <xdr:row>29</xdr:row>
      <xdr:rowOff>107640</xdr:rowOff>
    </xdr:from>
    <xdr:to>
      <xdr:col>42</xdr:col>
      <xdr:colOff>514440</xdr:colOff>
      <xdr:row>44</xdr:row>
      <xdr:rowOff>165240</xdr:rowOff>
    </xdr:to>
    <xdr:pic>
      <xdr:nvPicPr>
        <xdr:cNvPr id="17" name="Picture 28" descr=""/>
        <xdr:cNvPicPr/>
      </xdr:nvPicPr>
      <xdr:blipFill>
        <a:blip r:embed="rId8"/>
        <a:srcRect l="3393" t="3551" r="3594" b="2013"/>
        <a:stretch/>
      </xdr:blipFill>
      <xdr:spPr>
        <a:xfrm>
          <a:off x="27786960" y="5573880"/>
          <a:ext cx="3769560" cy="3181680"/>
        </a:xfrm>
        <a:prstGeom prst="rect">
          <a:avLst/>
        </a:prstGeom>
        <a:ln w="0">
          <a:noFill/>
        </a:ln>
      </xdr:spPr>
    </xdr:pic>
    <xdr:clientData/>
  </xdr:twoCellAnchor>
  <xdr:twoCellAnchor editAs="oneCell">
    <xdr:from>
      <xdr:col>46</xdr:col>
      <xdr:colOff>504000</xdr:colOff>
      <xdr:row>29</xdr:row>
      <xdr:rowOff>84240</xdr:rowOff>
    </xdr:from>
    <xdr:to>
      <xdr:col>52</xdr:col>
      <xdr:colOff>51480</xdr:colOff>
      <xdr:row>44</xdr:row>
      <xdr:rowOff>141840</xdr:rowOff>
    </xdr:to>
    <xdr:pic>
      <xdr:nvPicPr>
        <xdr:cNvPr id="18" name="Picture 29" descr=""/>
        <xdr:cNvPicPr/>
      </xdr:nvPicPr>
      <xdr:blipFill>
        <a:blip r:embed="rId9"/>
        <a:srcRect l="3393" t="3551" r="3594" b="2013"/>
        <a:stretch/>
      </xdr:blipFill>
      <xdr:spPr>
        <a:xfrm>
          <a:off x="34736040" y="5550480"/>
          <a:ext cx="3735000" cy="3181680"/>
        </a:xfrm>
        <a:prstGeom prst="rect">
          <a:avLst/>
        </a:prstGeom>
        <a:ln w="0">
          <a:noFill/>
        </a:ln>
      </xdr:spPr>
    </xdr:pic>
    <xdr:clientData/>
  </xdr:twoCellAnchor>
  <xdr:twoCellAnchor editAs="twoCell">
    <xdr:from>
      <xdr:col>45</xdr:col>
      <xdr:colOff>146520</xdr:colOff>
      <xdr:row>30</xdr:row>
      <xdr:rowOff>48600</xdr:rowOff>
    </xdr:from>
    <xdr:to>
      <xdr:col>46</xdr:col>
      <xdr:colOff>343440</xdr:colOff>
      <xdr:row>33</xdr:row>
      <xdr:rowOff>115200</xdr:rowOff>
    </xdr:to>
    <xdr:sp>
      <xdr:nvSpPr>
        <xdr:cNvPr id="19" name="TextBox 30"/>
        <xdr:cNvSpPr/>
      </xdr:nvSpPr>
      <xdr:spPr>
        <a:xfrm>
          <a:off x="33680880" y="5722920"/>
          <a:ext cx="894600" cy="69156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a:p>
          <a:pPr>
            <a:lnSpc>
              <a:spcPct val="100000"/>
            </a:lnSpc>
          </a:pPr>
          <a:endParaRPr b="0" lang="en-US" sz="1100" spc="-1" strike="noStrike">
            <a:latin typeface="DejaVu Serif"/>
          </a:endParaRPr>
        </a:p>
      </xdr:txBody>
    </xdr:sp>
    <xdr:clientData/>
  </xdr:twoCellAnchor>
  <xdr:twoCellAnchor editAs="twoCell">
    <xdr:from>
      <xdr:col>46</xdr:col>
      <xdr:colOff>344880</xdr:colOff>
      <xdr:row>31</xdr:row>
      <xdr:rowOff>186840</xdr:rowOff>
    </xdr:from>
    <xdr:to>
      <xdr:col>47</xdr:col>
      <xdr:colOff>693360</xdr:colOff>
      <xdr:row>36</xdr:row>
      <xdr:rowOff>70200</xdr:rowOff>
    </xdr:to>
    <xdr:cxnSp>
      <xdr:nvCxnSpPr>
        <xdr:cNvPr id="20" name="Straight Arrow Connector 31"/>
        <xdr:cNvCxnSpPr/>
      </xdr:nvCxnSpPr>
      <xdr:spPr>
        <a:xfrm>
          <a:off x="34576920" y="6069600"/>
          <a:ext cx="1046880" cy="924840"/>
        </a:xfrm>
        <a:prstGeom prst="straightConnector1">
          <a:avLst/>
        </a:prstGeom>
        <a:ln w="38100">
          <a:solidFill>
            <a:srgbClr val="86b080"/>
          </a:solidFill>
          <a:miter/>
          <a:tailEnd len="med" type="triangle" w="med"/>
        </a:ln>
      </xdr:spPr>
    </xdr:cxnSp>
    <xdr:clientData/>
  </xdr:twoCellAnchor>
  <xdr:twoCellAnchor editAs="twoCell">
    <xdr:from>
      <xdr:col>36</xdr:col>
      <xdr:colOff>172080</xdr:colOff>
      <xdr:row>29</xdr:row>
      <xdr:rowOff>179280</xdr:rowOff>
    </xdr:from>
    <xdr:to>
      <xdr:col>37</xdr:col>
      <xdr:colOff>369000</xdr:colOff>
      <xdr:row>33</xdr:row>
      <xdr:rowOff>37800</xdr:rowOff>
    </xdr:to>
    <xdr:sp>
      <xdr:nvSpPr>
        <xdr:cNvPr id="21" name="TextBox 34"/>
        <xdr:cNvSpPr/>
      </xdr:nvSpPr>
      <xdr:spPr>
        <a:xfrm>
          <a:off x="27027000" y="5645520"/>
          <a:ext cx="894600" cy="69156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xdr:txBody>
    </xdr:sp>
    <xdr:clientData/>
  </xdr:twoCellAnchor>
  <xdr:twoCellAnchor editAs="twoCell">
    <xdr:from>
      <xdr:col>37</xdr:col>
      <xdr:colOff>370440</xdr:colOff>
      <xdr:row>31</xdr:row>
      <xdr:rowOff>109080</xdr:rowOff>
    </xdr:from>
    <xdr:to>
      <xdr:col>38</xdr:col>
      <xdr:colOff>361440</xdr:colOff>
      <xdr:row>32</xdr:row>
      <xdr:rowOff>100440</xdr:rowOff>
    </xdr:to>
    <xdr:cxnSp>
      <xdr:nvCxnSpPr>
        <xdr:cNvPr id="22" name="Straight Arrow Connector 35"/>
        <xdr:cNvCxnSpPr/>
      </xdr:nvCxnSpPr>
      <xdr:spPr>
        <a:xfrm>
          <a:off x="27923040" y="5991840"/>
          <a:ext cx="689400" cy="199800"/>
        </a:xfrm>
        <a:prstGeom prst="straightConnector1">
          <a:avLst/>
        </a:prstGeom>
        <a:ln w="38100">
          <a:solidFill>
            <a:srgbClr val="86b080"/>
          </a:solidFill>
          <a:miter/>
          <a:tailEnd len="med" type="triangle" w="med"/>
        </a:ln>
      </xdr:spPr>
    </xdr:cxn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53280</xdr:colOff>
      <xdr:row>35</xdr:row>
      <xdr:rowOff>165240</xdr:rowOff>
    </xdr:from>
    <xdr:to>
      <xdr:col>9</xdr:col>
      <xdr:colOff>45360</xdr:colOff>
      <xdr:row>48</xdr:row>
      <xdr:rowOff>159840</xdr:rowOff>
    </xdr:to>
    <xdr:pic>
      <xdr:nvPicPr>
        <xdr:cNvPr id="23" name="Picture 1" descr=""/>
        <xdr:cNvPicPr/>
      </xdr:nvPicPr>
      <xdr:blipFill>
        <a:blip r:embed="rId1"/>
        <a:stretch/>
      </xdr:blipFill>
      <xdr:spPr>
        <a:xfrm>
          <a:off x="53280" y="6881040"/>
          <a:ext cx="6283800" cy="2665440"/>
        </a:xfrm>
        <a:prstGeom prst="rect">
          <a:avLst/>
        </a:prstGeom>
        <a:ln w="0">
          <a:noFill/>
        </a:ln>
      </xdr:spPr>
    </xdr:pic>
    <xdr:clientData/>
  </xdr:twoCellAnchor>
  <xdr:twoCellAnchor editAs="oneCell">
    <xdr:from>
      <xdr:col>7</xdr:col>
      <xdr:colOff>228600</xdr:colOff>
      <xdr:row>21</xdr:row>
      <xdr:rowOff>190800</xdr:rowOff>
    </xdr:from>
    <xdr:to>
      <xdr:col>11</xdr:col>
      <xdr:colOff>115200</xdr:colOff>
      <xdr:row>35</xdr:row>
      <xdr:rowOff>31680</xdr:rowOff>
    </xdr:to>
    <xdr:pic>
      <xdr:nvPicPr>
        <xdr:cNvPr id="24" name="Picture 2" descr=""/>
        <xdr:cNvPicPr/>
      </xdr:nvPicPr>
      <xdr:blipFill>
        <a:blip r:embed="rId2"/>
        <a:stretch/>
      </xdr:blipFill>
      <xdr:spPr>
        <a:xfrm>
          <a:off x="5124600" y="4027320"/>
          <a:ext cx="2678040" cy="272016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579240</xdr:colOff>
      <xdr:row>10</xdr:row>
      <xdr:rowOff>148680</xdr:rowOff>
    </xdr:from>
    <xdr:to>
      <xdr:col>7</xdr:col>
      <xdr:colOff>160920</xdr:colOff>
      <xdr:row>27</xdr:row>
      <xdr:rowOff>182520</xdr:rowOff>
    </xdr:to>
    <xdr:pic>
      <xdr:nvPicPr>
        <xdr:cNvPr id="25" name="Picture 2" descr=""/>
        <xdr:cNvPicPr/>
      </xdr:nvPicPr>
      <xdr:blipFill>
        <a:blip r:embed="rId1"/>
        <a:stretch/>
      </xdr:blipFill>
      <xdr:spPr>
        <a:xfrm>
          <a:off x="579240" y="1936800"/>
          <a:ext cx="4466880" cy="3405600"/>
        </a:xfrm>
        <a:prstGeom prst="rect">
          <a:avLst/>
        </a:prstGeom>
        <a:ln w="0">
          <a:noFill/>
        </a:ln>
      </xdr:spPr>
    </xdr:pic>
    <xdr:clientData/>
  </xdr:twoCellAnchor>
  <xdr:twoCellAnchor editAs="oneCell">
    <xdr:from>
      <xdr:col>9</xdr:col>
      <xdr:colOff>91440</xdr:colOff>
      <xdr:row>8</xdr:row>
      <xdr:rowOff>155160</xdr:rowOff>
    </xdr:from>
    <xdr:to>
      <xdr:col>16</xdr:col>
      <xdr:colOff>370800</xdr:colOff>
      <xdr:row>27</xdr:row>
      <xdr:rowOff>205200</xdr:rowOff>
    </xdr:to>
    <xdr:pic>
      <xdr:nvPicPr>
        <xdr:cNvPr id="26" name="Picture 3" descr=""/>
        <xdr:cNvPicPr/>
      </xdr:nvPicPr>
      <xdr:blipFill>
        <a:blip r:embed="rId2"/>
        <a:stretch/>
      </xdr:blipFill>
      <xdr:spPr>
        <a:xfrm>
          <a:off x="6372360" y="1600560"/>
          <a:ext cx="5164200" cy="37645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272160</xdr:colOff>
      <xdr:row>58</xdr:row>
      <xdr:rowOff>20520</xdr:rowOff>
    </xdr:from>
    <xdr:to>
      <xdr:col>10</xdr:col>
      <xdr:colOff>575280</xdr:colOff>
      <xdr:row>83</xdr:row>
      <xdr:rowOff>94680</xdr:rowOff>
    </xdr:to>
    <xdr:pic>
      <xdr:nvPicPr>
        <xdr:cNvPr id="27" name="Picture 4" descr=""/>
        <xdr:cNvPicPr/>
      </xdr:nvPicPr>
      <xdr:blipFill>
        <a:blip r:embed="rId1"/>
        <a:stretch/>
      </xdr:blipFill>
      <xdr:spPr>
        <a:xfrm>
          <a:off x="272160" y="11442960"/>
          <a:ext cx="7281720" cy="5158080"/>
        </a:xfrm>
        <a:prstGeom prst="rect">
          <a:avLst/>
        </a:prstGeom>
        <a:ln w="0">
          <a:noFill/>
        </a:ln>
      </xdr:spPr>
    </xdr:pic>
    <xdr:clientData/>
  </xdr:twoCellAnchor>
  <xdr:twoCellAnchor editAs="oneCell">
    <xdr:from>
      <xdr:col>13</xdr:col>
      <xdr:colOff>337320</xdr:colOff>
      <xdr:row>8</xdr:row>
      <xdr:rowOff>150120</xdr:rowOff>
    </xdr:from>
    <xdr:to>
      <xdr:col>21</xdr:col>
      <xdr:colOff>324720</xdr:colOff>
      <xdr:row>30</xdr:row>
      <xdr:rowOff>185760</xdr:rowOff>
    </xdr:to>
    <xdr:pic>
      <xdr:nvPicPr>
        <xdr:cNvPr id="28" name="Picture 9" descr=""/>
        <xdr:cNvPicPr/>
      </xdr:nvPicPr>
      <xdr:blipFill>
        <a:blip r:embed="rId2"/>
        <a:stretch/>
      </xdr:blipFill>
      <xdr:spPr>
        <a:xfrm>
          <a:off x="9409680" y="1573920"/>
          <a:ext cx="5570280" cy="4338360"/>
        </a:xfrm>
        <a:prstGeom prst="rect">
          <a:avLst/>
        </a:prstGeom>
        <a:ln w="0">
          <a:noFill/>
        </a:ln>
      </xdr:spPr>
    </xdr:pic>
    <xdr:clientData/>
  </xdr:twoCellAnchor>
  <xdr:twoCellAnchor editAs="oneCell">
    <xdr:from>
      <xdr:col>0</xdr:col>
      <xdr:colOff>239400</xdr:colOff>
      <xdr:row>83</xdr:row>
      <xdr:rowOff>163440</xdr:rowOff>
    </xdr:from>
    <xdr:to>
      <xdr:col>12</xdr:col>
      <xdr:colOff>92880</xdr:colOff>
      <xdr:row>104</xdr:row>
      <xdr:rowOff>44280</xdr:rowOff>
    </xdr:to>
    <xdr:pic>
      <xdr:nvPicPr>
        <xdr:cNvPr id="29" name="Picture 2" descr=""/>
        <xdr:cNvPicPr/>
      </xdr:nvPicPr>
      <xdr:blipFill>
        <a:blip r:embed="rId3"/>
        <a:stretch/>
      </xdr:blipFill>
      <xdr:spPr>
        <a:xfrm>
          <a:off x="239400" y="16669800"/>
          <a:ext cx="8227800" cy="3788640"/>
        </a:xfrm>
        <a:prstGeom prst="rect">
          <a:avLst/>
        </a:prstGeom>
        <a:ln w="0">
          <a:noFill/>
        </a:ln>
      </xdr:spPr>
    </xdr:pic>
    <xdr:clientData/>
  </xdr:twoCellAnchor>
  <xdr:twoCellAnchor editAs="oneCell">
    <xdr:from>
      <xdr:col>0</xdr:col>
      <xdr:colOff>83520</xdr:colOff>
      <xdr:row>10</xdr:row>
      <xdr:rowOff>159480</xdr:rowOff>
    </xdr:from>
    <xdr:to>
      <xdr:col>11</xdr:col>
      <xdr:colOff>720</xdr:colOff>
      <xdr:row>28</xdr:row>
      <xdr:rowOff>35280</xdr:rowOff>
    </xdr:to>
    <xdr:pic>
      <xdr:nvPicPr>
        <xdr:cNvPr id="30" name="Picture 8" descr=""/>
        <xdr:cNvPicPr/>
      </xdr:nvPicPr>
      <xdr:blipFill>
        <a:blip r:embed="rId4"/>
        <a:stretch/>
      </xdr:blipFill>
      <xdr:spPr>
        <a:xfrm>
          <a:off x="83520" y="1926000"/>
          <a:ext cx="7593840" cy="3456000"/>
        </a:xfrm>
        <a:prstGeom prst="rect">
          <a:avLst/>
        </a:prstGeom>
        <a:ln w="0">
          <a:noFill/>
        </a:ln>
      </xdr:spPr>
    </xdr:pic>
    <xdr:clientData/>
  </xdr:twoCellAnchor>
  <xdr:twoCellAnchor editAs="oneCell">
    <xdr:from>
      <xdr:col>12</xdr:col>
      <xdr:colOff>316440</xdr:colOff>
      <xdr:row>46</xdr:row>
      <xdr:rowOff>84600</xdr:rowOff>
    </xdr:from>
    <xdr:to>
      <xdr:col>22</xdr:col>
      <xdr:colOff>330480</xdr:colOff>
      <xdr:row>72</xdr:row>
      <xdr:rowOff>12960</xdr:rowOff>
    </xdr:to>
    <xdr:pic>
      <xdr:nvPicPr>
        <xdr:cNvPr id="31" name="Image 1" descr=""/>
        <xdr:cNvPicPr/>
      </xdr:nvPicPr>
      <xdr:blipFill>
        <a:blip r:embed="rId5"/>
        <a:stretch/>
      </xdr:blipFill>
      <xdr:spPr>
        <a:xfrm>
          <a:off x="8690760" y="9143640"/>
          <a:ext cx="6992640" cy="492840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23040</xdr:colOff>
      <xdr:row>9</xdr:row>
      <xdr:rowOff>139680</xdr:rowOff>
    </xdr:from>
    <xdr:to>
      <xdr:col>6</xdr:col>
      <xdr:colOff>17280</xdr:colOff>
      <xdr:row>22</xdr:row>
      <xdr:rowOff>77760</xdr:rowOff>
    </xdr:to>
    <xdr:graphicFrame>
      <xdr:nvGraphicFramePr>
        <xdr:cNvPr id="32" name="Chart 1"/>
        <xdr:cNvGraphicFramePr/>
      </xdr:nvGraphicFramePr>
      <xdr:xfrm>
        <a:off x="23040" y="1756440"/>
        <a:ext cx="4181400" cy="24400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8</xdr:row>
      <xdr:rowOff>100080</xdr:rowOff>
    </xdr:from>
    <xdr:to>
      <xdr:col>6</xdr:col>
      <xdr:colOff>226440</xdr:colOff>
      <xdr:row>23</xdr:row>
      <xdr:rowOff>39600</xdr:rowOff>
    </xdr:to>
    <xdr:pic>
      <xdr:nvPicPr>
        <xdr:cNvPr id="33" name="Picture 2" descr=""/>
        <xdr:cNvPicPr/>
      </xdr:nvPicPr>
      <xdr:blipFill>
        <a:blip r:embed="rId1"/>
        <a:stretch/>
      </xdr:blipFill>
      <xdr:spPr>
        <a:xfrm>
          <a:off x="743760" y="1523880"/>
          <a:ext cx="3669840" cy="2820960"/>
        </a:xfrm>
        <a:prstGeom prst="rect">
          <a:avLst/>
        </a:prstGeom>
        <a:ln w="0">
          <a:noFill/>
        </a:ln>
      </xdr:spPr>
    </xdr:pic>
    <xdr:clientData/>
  </xdr:twoCellAnchor>
  <xdr:twoCellAnchor editAs="twoCell">
    <xdr:from>
      <xdr:col>4</xdr:col>
      <xdr:colOff>251280</xdr:colOff>
      <xdr:row>12</xdr:row>
      <xdr:rowOff>109080</xdr:rowOff>
    </xdr:from>
    <xdr:to>
      <xdr:col>6</xdr:col>
      <xdr:colOff>248040</xdr:colOff>
      <xdr:row>14</xdr:row>
      <xdr:rowOff>45720</xdr:rowOff>
    </xdr:to>
    <xdr:cxnSp>
      <xdr:nvCxnSpPr>
        <xdr:cNvPr id="34" name="Straight Arrow Connector 3"/>
        <xdr:cNvCxnSpPr/>
      </xdr:nvCxnSpPr>
      <xdr:spPr>
        <a:xfrm flipH="1">
          <a:off x="3042720" y="2292120"/>
          <a:ext cx="1392840" cy="353520"/>
        </a:xfrm>
        <a:prstGeom prst="straightConnector1">
          <a:avLst/>
        </a:prstGeom>
        <a:ln w="38100">
          <a:solidFill>
            <a:srgbClr val="86b080"/>
          </a:solidFill>
          <a:miter/>
          <a:tailEnd len="med" type="triangle" w="med"/>
        </a:ln>
      </xdr:spPr>
    </xdr:cxnSp>
    <xdr:clientData/>
  </xdr:twoCellAnchor>
  <xdr:twoCellAnchor editAs="twoCell">
    <xdr:from>
      <xdr:col>6</xdr:col>
      <xdr:colOff>201600</xdr:colOff>
      <xdr:row>9</xdr:row>
      <xdr:rowOff>155160</xdr:rowOff>
    </xdr:from>
    <xdr:to>
      <xdr:col>8</xdr:col>
      <xdr:colOff>107640</xdr:colOff>
      <xdr:row>15</xdr:row>
      <xdr:rowOff>42120</xdr:rowOff>
    </xdr:to>
    <xdr:sp>
      <xdr:nvSpPr>
        <xdr:cNvPr id="35" name="TextBox 4"/>
        <xdr:cNvSpPr/>
      </xdr:nvSpPr>
      <xdr:spPr>
        <a:xfrm>
          <a:off x="4388760" y="1750320"/>
          <a:ext cx="1301760" cy="109980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Location in Checkbox above accumulator container</a:t>
          </a:r>
          <a:endParaRPr b="0" lang="en-US" sz="1100" spc="-1" strike="noStrike">
            <a:latin typeface="DejaVu Serif"/>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pitchFamily="0" charset="1"/>
        <a:ea typeface=""/>
        <a:cs typeface=""/>
      </a:majorFont>
      <a:minorFont>
        <a:latin typeface="Verdana"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imrbatteries.com/content/sony_us18650vtc6-2.pdf" TargetMode="External"/><Relationship Id="rId3" Type="http://schemas.openxmlformats.org/officeDocument/2006/relationships/hyperlink" Target="https://www.murata.com/-/media/webrenewal/products/batteries/cylindrical/pdf-sds/us18650vtc6-sds.ashx?la=en-US&amp;cvid=20210215080000000000" TargetMode="External"/><Relationship Id="rId4" Type="http://schemas.openxmlformats.org/officeDocument/2006/relationships/hyperlink" Target="https://www.energusps.com/page/technology" TargetMode="External"/><Relationship Id="rId5" Type="http://schemas.openxmlformats.org/officeDocument/2006/relationships/hyperlink" Target="https://www.champcable.com/wp-content/uploads/2018/08/212.-SAE-EXRAD-150-HVFX-XLE-Shielded-Battery-Cable.pdf" TargetMode="External"/><Relationship Id="rId6" Type="http://schemas.openxmlformats.org/officeDocument/2006/relationships/hyperlink" Target="https://www.champcable.com/wp-content/uploads/2018/08/212.-SAE-EXRAD-150-HVFX-XLE-Shielded-Battery-Cable.pdf" TargetMode="External"/><Relationship Id="rId7" Type="http://schemas.openxmlformats.org/officeDocument/2006/relationships/hyperlink" Target="https://www.champcable.com/wp-content/uploads/2018/08/212.-SAE-EXRAD-150-HVFX-XLE-Shielded-Battery-Cable.pdf" TargetMode="External"/><Relationship Id="rId8"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0"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eaton.com/content/dam/eaton/products/electronic-components/resources/data-sheet/eaton-pcs-fuse-holder-data-sheet.pdf" TargetMode="External"/><Relationship Id="rId12" Type="http://schemas.openxmlformats.org/officeDocument/2006/relationships/hyperlink" Target="https://www.eaton.com/content/dam/eaton/products/electronic-components/resources/data-sheet/eaton-pc-tron-subminiature-radial-leaded-fuses-data-sheet.pdf" TargetMode="External"/><Relationship Id="rId13" Type="http://schemas.openxmlformats.org/officeDocument/2006/relationships/hyperlink" Target="https://www.grainger.com/ec/pdf/6XPF4_1.pdf" TargetMode="External"/><Relationship Id="rId14" Type="http://schemas.openxmlformats.org/officeDocument/2006/relationships/hyperlink" Target="https://www.belfuse.com/resources/datasheets/circuitprotection/ds-cp-0adax-series.pdf" TargetMode="External"/><Relationship Id="rId15" Type="http://schemas.openxmlformats.org/officeDocument/2006/relationships/hyperlink" Target="https://www.belfuse.com/resources/datasheets/circuitprotection/ds-CP-0ADG-series.pdf" TargetMode="External"/><Relationship Id="rId16" Type="http://schemas.openxmlformats.org/officeDocument/2006/relationships/hyperlink" Target="https://www.energusps.com/web/binary/saveas?filename_field=datas_fname&amp;field=datas&amp;model=ir.attachment&amp;id=4223" TargetMode="External"/><Relationship Id="rId17" Type="http://schemas.openxmlformats.org/officeDocument/2006/relationships/hyperlink" Target="https://us.schurter.com/en/datasheet/typ_SHT_6.3x32.pdf" TargetMode="External"/><Relationship Id="rId18" Type="http://schemas.openxmlformats.org/officeDocument/2006/relationships/hyperlink" Target="https://www.ohmite.com/assets/docs/res_200.pdf?r=false" TargetMode="External"/><Relationship Id="rId19" Type="http://schemas.openxmlformats.org/officeDocument/2006/relationships/hyperlink" Target="https://www.te.com/usa-en/product-6-2176416-7.datasheet.pdf" TargetMode="External"/><Relationship Id="rId20" Type="http://schemas.openxmlformats.org/officeDocument/2006/relationships/hyperlink" Target="https://www.te.com/usa-en/product-8-1879354-9.datasheet.pdf" TargetMode="External"/><Relationship Id="rId21" Type="http://schemas.openxmlformats.org/officeDocument/2006/relationships/hyperlink" Target="https://www.te.com/commerce/DocumentDelivery/DDEController?Action=srchrtrv&amp;DocNm=1462043-2&amp;DocType=Customer+Drawing&amp;DocLang=English" TargetMode="External"/><Relationship Id="rId22" Type="http://schemas.openxmlformats.org/officeDocument/2006/relationships/hyperlink" Target="https://www.sensata.com/sites/default/files/a/sensata-gigavac-gv24-sereies-800v-contactors-datasheet.pdf" TargetMode="External"/><Relationship Id="rId23" Type="http://schemas.openxmlformats.org/officeDocument/2006/relationships/hyperlink" Target="https://www.sensata.com/sites/default/files/a/sensata-gigavac-p115-series-minitactor-contactors-datasheet.pdf" TargetMode="External"/><Relationship Id="rId24" Type="http://schemas.openxmlformats.org/officeDocument/2006/relationships/hyperlink" Target="https://www.sensata.com/sites/default/files/a/sensata-gigavac-pnc113-series-minitactor-contactors-datasheet.pdf" TargetMode="External"/><Relationship Id="rId25"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26" Type="http://schemas.openxmlformats.org/officeDocument/2006/relationships/hyperlink" Target="https://www.molex.com/webdocs/datasheets/pdf/en-us/0334724001_CRIMP_HOUSINGS.pdf" TargetMode="External"/><Relationship Id="rId27" Type="http://schemas.openxmlformats.org/officeDocument/2006/relationships/hyperlink" Target="https://www.muellerelectric.com/product_files/986/DS-BU-P72930-@.pdf" TargetMode="External"/><Relationship Id="rId28" Type="http://schemas.openxmlformats.org/officeDocument/2006/relationships/hyperlink" Target="https://www.muellerelectric.com/product_files/986/DS-BU-P72930-@.pdf" TargetMode="External"/><Relationship Id="rId29" Type="http://schemas.openxmlformats.org/officeDocument/2006/relationships/hyperlink" Target="https://www.farnell.com/datasheets/2013715.pdf" TargetMode="External"/><Relationship Id="rId30" Type="http://schemas.openxmlformats.org/officeDocument/2006/relationships/hyperlink" Target="https://www.farnell.com/datasheets/2013715.pdf" TargetMode="External"/><Relationship Id="rId31" Type="http://schemas.openxmlformats.org/officeDocument/2006/relationships/hyperlink" Target="https://www.te.com/usa-en/product-DTM06-12SA.datasheet.pdf" TargetMode="External"/><Relationship Id="rId32" Type="http://schemas.openxmlformats.org/officeDocument/2006/relationships/hyperlink" Target="https://www.te.com/usa-en/product-DTM04-12PA-L012.datasheet.pdf" TargetMode="External"/><Relationship Id="rId33" Type="http://schemas.openxmlformats.org/officeDocument/2006/relationships/hyperlink" Target="https://www.te.com/usa-en/product-DT04-6P-CL09.datasheet.pdf" TargetMode="External"/><Relationship Id="rId34" Type="http://schemas.openxmlformats.org/officeDocument/2006/relationships/hyperlink" Target="https://www.te.com/usa-en/product-DT06-6S.datasheet.pdf" TargetMode="External"/><Relationship Id="rId35" Type="http://schemas.openxmlformats.org/officeDocument/2006/relationships/hyperlink" Target="https://www.dupont.com/content/dam/dupont/amer/us/en/safety/public/documents/en/DPT16_21668_Nomex_410_Tech_Data_Sheet_me03_REFERENCE.pdf" TargetMode="External"/><Relationship Id="rId36"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hec-drives.nl/BRUSA_DB_EN_NLG514.pdf" TargetMode="External"/><Relationship Id="rId3" Type="http://schemas.openxmlformats.org/officeDocument/2006/relationships/drawing" Target="../drawings/drawing4.xml"/><Relationship Id="rId4"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lem.com/sites/default/files/products_datasheets/has_50_600-s_e.pdf" TargetMode="External"/><Relationship Id="rId3" Type="http://schemas.openxmlformats.org/officeDocument/2006/relationships/drawing" Target="../drawings/drawing5.xml"/><Relationship Id="rId4"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unitek-industrie-elektronik.de/images/pdf/BAMOCAR%20Digital/BAMOCAR-PG-D3-700-400_EN.pdf" TargetMode="External"/><Relationship Id="rId3" Type="http://schemas.openxmlformats.org/officeDocument/2006/relationships/hyperlink" Target="https://emrax.com/wp-content/uploads/2017/01/emrax_228_technical_data_4.5.pdf" TargetMode="External"/><Relationship Id="rId4" Type="http://schemas.openxmlformats.org/officeDocument/2006/relationships/drawing" Target="../drawings/drawing7.xml"/><Relationship Id="rId5"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42"/>
  <sheetViews>
    <sheetView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P18" activeCellId="0" sqref="P18"/>
    </sheetView>
  </sheetViews>
  <sheetFormatPr defaultColWidth="8.72265625" defaultRowHeight="13.5" zeroHeight="false" outlineLevelRow="0" outlineLevelCol="0"/>
  <cols>
    <col collapsed="false" customWidth="false" hidden="false" outlineLevel="0" max="1" min="1" style="1" width="8.72"/>
    <col collapsed="false" customWidth="true" hidden="false" outlineLevel="0" max="2" min="2" style="1" width="9.3"/>
    <col collapsed="false" customWidth="false" hidden="false" outlineLevel="0" max="16384" min="3" style="1" width="8.72"/>
  </cols>
  <sheetData>
    <row r="1" customFormat="false" ht="13.5" hidden="false" customHeight="false" outlineLevel="0" collapsed="false">
      <c r="A1" s="2" t="s">
        <v>0</v>
      </c>
      <c r="B1" s="2"/>
      <c r="C1" s="2"/>
      <c r="D1" s="2"/>
      <c r="E1" s="2"/>
      <c r="F1" s="2"/>
      <c r="G1" s="2"/>
      <c r="H1" s="2"/>
      <c r="J1" s="2" t="s">
        <v>1</v>
      </c>
      <c r="K1" s="2"/>
      <c r="L1" s="2"/>
    </row>
    <row r="2" customFormat="false" ht="13.5" hidden="false" customHeight="true" outlineLevel="0" collapsed="false">
      <c r="A2" s="3" t="s">
        <v>2</v>
      </c>
      <c r="B2" s="3"/>
      <c r="C2" s="3"/>
      <c r="D2" s="3"/>
      <c r="E2" s="3"/>
      <c r="F2" s="3"/>
      <c r="G2" s="3"/>
      <c r="H2" s="3"/>
      <c r="J2" s="4" t="s">
        <v>3</v>
      </c>
      <c r="K2" s="4"/>
      <c r="L2" s="5" t="str">
        <f aca="false">Datasheets!C1</f>
        <v>OK</v>
      </c>
    </row>
    <row r="3" customFormat="false" ht="13.5" hidden="false" customHeight="false" outlineLevel="0" collapsed="false">
      <c r="A3" s="3"/>
      <c r="B3" s="3"/>
      <c r="C3" s="3"/>
      <c r="D3" s="3"/>
      <c r="E3" s="3"/>
      <c r="F3" s="3"/>
      <c r="G3" s="3"/>
      <c r="H3" s="3"/>
      <c r="J3" s="4" t="s">
        <v>4</v>
      </c>
      <c r="K3" s="4"/>
      <c r="L3" s="5" t="str">
        <f aca="false">'TS Schematics'!B1</f>
        <v>OK</v>
      </c>
    </row>
    <row r="4" customFormat="false" ht="13.5" hidden="false" customHeight="false" outlineLevel="0" collapsed="false">
      <c r="A4" s="3"/>
      <c r="B4" s="3"/>
      <c r="C4" s="3"/>
      <c r="D4" s="3"/>
      <c r="E4" s="3"/>
      <c r="F4" s="3"/>
      <c r="G4" s="3"/>
      <c r="H4" s="3"/>
      <c r="J4" s="4" t="s">
        <v>5</v>
      </c>
      <c r="K4" s="4"/>
      <c r="L4" s="5" t="str">
        <f aca="false">Accumulator!B1</f>
        <v>BLANK</v>
      </c>
    </row>
    <row r="5" customFormat="false" ht="13.5" hidden="false" customHeight="false" outlineLevel="0" collapsed="false">
      <c r="A5" s="3"/>
      <c r="B5" s="3"/>
      <c r="C5" s="3"/>
      <c r="D5" s="3"/>
      <c r="E5" s="3"/>
      <c r="F5" s="3"/>
      <c r="G5" s="3"/>
      <c r="H5" s="3"/>
      <c r="J5" s="4" t="s">
        <v>6</v>
      </c>
      <c r="K5" s="4"/>
      <c r="L5" s="5" t="str">
        <f aca="false">PrechargeDischarge!B1</f>
        <v>OK</v>
      </c>
    </row>
    <row r="6" customFormat="false" ht="13.5" hidden="false" customHeight="false" outlineLevel="0" collapsed="false">
      <c r="A6" s="3"/>
      <c r="B6" s="3"/>
      <c r="C6" s="3"/>
      <c r="D6" s="3"/>
      <c r="E6" s="3"/>
      <c r="F6" s="3"/>
      <c r="G6" s="3"/>
      <c r="H6" s="3"/>
      <c r="J6" s="4" t="s">
        <v>7</v>
      </c>
      <c r="K6" s="4"/>
      <c r="L6" s="5" t="str">
        <f aca="false">Charging!B1</f>
        <v>BLANK</v>
      </c>
    </row>
    <row r="7" customFormat="false" ht="13.5" hidden="false" customHeight="false" outlineLevel="0" collapsed="false">
      <c r="A7" s="3"/>
      <c r="B7" s="3"/>
      <c r="C7" s="3"/>
      <c r="D7" s="3"/>
      <c r="E7" s="3"/>
      <c r="F7" s="3"/>
      <c r="G7" s="3"/>
      <c r="H7" s="3"/>
      <c r="J7" s="4" t="s">
        <v>8</v>
      </c>
      <c r="K7" s="4"/>
      <c r="L7" s="5" t="str">
        <f aca="false">'Shutdown Circuit'!B1</f>
        <v>WARNING</v>
      </c>
    </row>
    <row r="8" customFormat="false" ht="13.5" hidden="false" customHeight="false" outlineLevel="0" collapsed="false">
      <c r="A8" s="3"/>
      <c r="B8" s="3"/>
      <c r="C8" s="3"/>
      <c r="D8" s="3"/>
      <c r="E8" s="3"/>
      <c r="F8" s="3"/>
      <c r="G8" s="3"/>
      <c r="H8" s="3"/>
      <c r="J8" s="4" t="s">
        <v>9</v>
      </c>
      <c r="K8" s="4"/>
      <c r="L8" s="5" t="str">
        <f aca="false">'Torque Security'!$B$1</f>
        <v>OK</v>
      </c>
    </row>
    <row r="9" customFormat="false" ht="13.5" hidden="false" customHeight="false" outlineLevel="0" collapsed="false">
      <c r="A9" s="3"/>
      <c r="B9" s="3"/>
      <c r="C9" s="3"/>
      <c r="D9" s="3"/>
      <c r="E9" s="3"/>
      <c r="F9" s="3"/>
      <c r="G9" s="3"/>
      <c r="H9" s="3"/>
      <c r="J9" s="4" t="s">
        <v>10</v>
      </c>
      <c r="K9" s="4"/>
      <c r="L9" s="5" t="str">
        <f aca="false">Other!B1</f>
        <v>OK</v>
      </c>
    </row>
    <row r="10" customFormat="false" ht="13.5" hidden="false" customHeight="false" outlineLevel="0" collapsed="false">
      <c r="A10" s="3"/>
      <c r="B10" s="3"/>
      <c r="C10" s="3"/>
      <c r="D10" s="3"/>
      <c r="E10" s="3"/>
      <c r="F10" s="3"/>
      <c r="G10" s="3"/>
      <c r="H10" s="3"/>
    </row>
    <row r="11" customFormat="false" ht="13.5" hidden="false" customHeight="false" outlineLevel="0" collapsed="false">
      <c r="A11" s="3"/>
      <c r="B11" s="3"/>
      <c r="C11" s="3"/>
      <c r="D11" s="3"/>
      <c r="E11" s="3"/>
      <c r="F11" s="3"/>
      <c r="G11" s="3"/>
      <c r="H11" s="3"/>
      <c r="J11" s="6" t="s">
        <v>11</v>
      </c>
      <c r="K11" s="6"/>
      <c r="L11" s="7" t="s">
        <v>12</v>
      </c>
      <c r="M11" s="7"/>
      <c r="N11" s="7"/>
      <c r="O11" s="7"/>
      <c r="P11" s="7"/>
    </row>
    <row r="12" customFormat="false" ht="13.5" hidden="false" customHeight="false" outlineLevel="0" collapsed="false">
      <c r="A12" s="3"/>
      <c r="B12" s="3"/>
      <c r="C12" s="3"/>
      <c r="D12" s="3"/>
      <c r="E12" s="3"/>
      <c r="F12" s="3"/>
      <c r="G12" s="3"/>
      <c r="H12" s="3"/>
      <c r="J12" s="6" t="s">
        <v>13</v>
      </c>
      <c r="K12" s="6"/>
      <c r="L12" s="7" t="s">
        <v>14</v>
      </c>
      <c r="M12" s="7"/>
      <c r="N12" s="7"/>
      <c r="O12" s="7"/>
      <c r="P12" s="7"/>
    </row>
    <row r="13" customFormat="false" ht="13.5" hidden="false" customHeight="false" outlineLevel="0" collapsed="false">
      <c r="A13" s="3"/>
      <c r="B13" s="3"/>
      <c r="C13" s="3"/>
      <c r="D13" s="3"/>
      <c r="E13" s="3"/>
      <c r="F13" s="3"/>
      <c r="G13" s="3"/>
      <c r="H13" s="3"/>
      <c r="J13" s="6" t="s">
        <v>15</v>
      </c>
      <c r="K13" s="6"/>
      <c r="L13" s="8" t="n">
        <v>2023</v>
      </c>
      <c r="M13" s="8"/>
      <c r="N13" s="8"/>
      <c r="O13" s="8"/>
      <c r="P13" s="8"/>
    </row>
    <row r="14" customFormat="false" ht="13.5" hidden="false" customHeight="false" outlineLevel="0" collapsed="false">
      <c r="A14" s="3"/>
      <c r="B14" s="3"/>
      <c r="C14" s="3"/>
      <c r="D14" s="3"/>
      <c r="E14" s="3"/>
      <c r="F14" s="3"/>
      <c r="G14" s="3"/>
      <c r="H14" s="3"/>
    </row>
    <row r="15" customFormat="false" ht="13.5" hidden="false" customHeight="false" outlineLevel="0" collapsed="false">
      <c r="A15" s="3"/>
      <c r="B15" s="3"/>
      <c r="C15" s="3"/>
      <c r="D15" s="3"/>
      <c r="E15" s="3"/>
      <c r="F15" s="3"/>
      <c r="G15" s="3"/>
      <c r="H15" s="3"/>
      <c r="J15" s="4" t="s">
        <v>16</v>
      </c>
      <c r="K15" s="4"/>
      <c r="L15" s="9" t="n">
        <f aca="false">MaxTSVoltage</f>
        <v>403.2</v>
      </c>
      <c r="M15" s="1" t="s">
        <v>17</v>
      </c>
    </row>
    <row r="16" customFormat="false" ht="13.5" hidden="false" customHeight="false" outlineLevel="0" collapsed="false">
      <c r="A16" s="3"/>
      <c r="B16" s="3"/>
      <c r="C16" s="3"/>
      <c r="D16" s="3"/>
      <c r="E16" s="3"/>
      <c r="F16" s="3"/>
      <c r="G16" s="3"/>
      <c r="H16" s="3"/>
      <c r="J16" s="4" t="s">
        <v>18</v>
      </c>
      <c r="K16" s="4"/>
      <c r="L16" s="9" t="n">
        <f aca="false">Accumulator!U20</f>
        <v>75</v>
      </c>
      <c r="M16" s="1" t="s">
        <v>19</v>
      </c>
    </row>
    <row r="17" customFormat="false" ht="13.5" hidden="false" customHeight="false" outlineLevel="0" collapsed="false">
      <c r="A17" s="3"/>
      <c r="B17" s="3"/>
      <c r="C17" s="3"/>
      <c r="D17" s="3"/>
      <c r="E17" s="3"/>
      <c r="F17" s="3"/>
      <c r="G17" s="3"/>
      <c r="H17" s="3"/>
    </row>
    <row r="19" customFormat="false" ht="13.5" hidden="false" customHeight="false" outlineLevel="0" collapsed="false">
      <c r="A19" s="10" t="s">
        <v>20</v>
      </c>
      <c r="B19" s="10"/>
      <c r="C19" s="10"/>
      <c r="D19" s="10"/>
      <c r="E19" s="10"/>
      <c r="F19" s="10"/>
      <c r="G19" s="10"/>
      <c r="H19" s="10"/>
      <c r="I19" s="10"/>
      <c r="J19" s="10"/>
      <c r="K19" s="10"/>
      <c r="L19" s="10"/>
      <c r="M19" s="10"/>
      <c r="N19" s="10"/>
      <c r="O19" s="10"/>
      <c r="P19" s="10"/>
    </row>
    <row r="20" customFormat="false" ht="13.5" hidden="false" customHeight="false" outlineLevel="0" collapsed="false">
      <c r="A20" s="11"/>
      <c r="B20" s="11"/>
      <c r="C20" s="11"/>
      <c r="D20" s="11"/>
      <c r="E20" s="11"/>
      <c r="F20" s="11"/>
      <c r="G20" s="11"/>
      <c r="H20" s="11"/>
      <c r="I20" s="11"/>
      <c r="J20" s="11"/>
      <c r="K20" s="11"/>
      <c r="L20" s="11"/>
      <c r="M20" s="11"/>
      <c r="N20" s="11"/>
      <c r="O20" s="11"/>
      <c r="P20" s="11"/>
    </row>
    <row r="21" customFormat="false" ht="13.5" hidden="false" customHeight="false" outlineLevel="0" collapsed="false">
      <c r="A21" s="11"/>
      <c r="B21" s="11"/>
      <c r="C21" s="11"/>
      <c r="D21" s="11"/>
      <c r="E21" s="11"/>
      <c r="F21" s="11"/>
      <c r="G21" s="11"/>
      <c r="H21" s="11"/>
      <c r="I21" s="11"/>
      <c r="J21" s="11"/>
      <c r="K21" s="11"/>
      <c r="L21" s="11"/>
      <c r="M21" s="11"/>
      <c r="N21" s="11"/>
      <c r="O21" s="11"/>
      <c r="P21" s="11"/>
    </row>
    <row r="22" customFormat="false" ht="13.5" hidden="false" customHeight="false" outlineLevel="0" collapsed="false">
      <c r="A22" s="11"/>
      <c r="B22" s="11"/>
      <c r="C22" s="11"/>
      <c r="D22" s="11"/>
      <c r="E22" s="11"/>
      <c r="F22" s="11"/>
      <c r="G22" s="11"/>
      <c r="H22" s="11"/>
      <c r="I22" s="11"/>
      <c r="J22" s="11"/>
      <c r="K22" s="11"/>
      <c r="L22" s="11"/>
      <c r="M22" s="11"/>
      <c r="N22" s="11"/>
      <c r="O22" s="11"/>
      <c r="P22" s="11"/>
    </row>
    <row r="23" customFormat="false" ht="13.5" hidden="false" customHeight="false" outlineLevel="0" collapsed="false">
      <c r="A23" s="11"/>
      <c r="B23" s="11"/>
      <c r="C23" s="11"/>
      <c r="D23" s="11"/>
      <c r="E23" s="11"/>
      <c r="F23" s="11"/>
      <c r="G23" s="11"/>
      <c r="H23" s="11"/>
      <c r="I23" s="11"/>
      <c r="J23" s="11"/>
      <c r="K23" s="11"/>
      <c r="L23" s="11"/>
      <c r="M23" s="11"/>
      <c r="N23" s="11"/>
      <c r="O23" s="11"/>
      <c r="P23" s="11"/>
    </row>
    <row r="24" customFormat="false" ht="13.5" hidden="false" customHeight="false" outlineLevel="0" collapsed="false">
      <c r="A24" s="11"/>
      <c r="B24" s="11"/>
      <c r="C24" s="11"/>
      <c r="D24" s="11"/>
      <c r="E24" s="11"/>
      <c r="F24" s="11"/>
      <c r="G24" s="11"/>
      <c r="H24" s="11"/>
      <c r="I24" s="11"/>
      <c r="J24" s="11"/>
      <c r="K24" s="11"/>
      <c r="L24" s="11"/>
      <c r="M24" s="11"/>
      <c r="N24" s="11"/>
      <c r="O24" s="11"/>
      <c r="P24" s="11"/>
    </row>
    <row r="25" customFormat="false" ht="13.5" hidden="false" customHeight="false" outlineLevel="0" collapsed="false">
      <c r="A25" s="11"/>
      <c r="B25" s="11"/>
      <c r="C25" s="11"/>
      <c r="D25" s="11"/>
      <c r="E25" s="11"/>
      <c r="F25" s="11"/>
      <c r="G25" s="11"/>
      <c r="H25" s="11"/>
      <c r="I25" s="11"/>
      <c r="J25" s="11"/>
      <c r="K25" s="11"/>
      <c r="L25" s="11"/>
      <c r="M25" s="11"/>
      <c r="N25" s="11"/>
      <c r="O25" s="11"/>
      <c r="P25" s="11"/>
    </row>
    <row r="26" customFormat="false" ht="13.5" hidden="false" customHeight="false" outlineLevel="0" collapsed="false">
      <c r="A26" s="11"/>
      <c r="B26" s="11"/>
      <c r="C26" s="11"/>
      <c r="D26" s="11"/>
      <c r="E26" s="11"/>
      <c r="F26" s="11"/>
      <c r="G26" s="11"/>
      <c r="H26" s="11"/>
      <c r="I26" s="11"/>
      <c r="J26" s="11"/>
      <c r="K26" s="11"/>
      <c r="L26" s="11"/>
      <c r="M26" s="11"/>
      <c r="N26" s="11"/>
      <c r="O26" s="11"/>
      <c r="P26" s="11"/>
    </row>
    <row r="27" customFormat="false" ht="13.5" hidden="false" customHeight="false" outlineLevel="0" collapsed="false">
      <c r="A27" s="11"/>
      <c r="B27" s="11"/>
      <c r="C27" s="11"/>
      <c r="D27" s="11"/>
      <c r="E27" s="11"/>
      <c r="F27" s="11"/>
      <c r="G27" s="11"/>
      <c r="H27" s="11"/>
      <c r="I27" s="11"/>
      <c r="J27" s="11"/>
      <c r="K27" s="11"/>
      <c r="L27" s="11"/>
      <c r="M27" s="11"/>
      <c r="N27" s="11"/>
      <c r="O27" s="11"/>
      <c r="P27" s="11"/>
    </row>
    <row r="28" customFormat="false" ht="13.5" hidden="false" customHeight="false" outlineLevel="0" collapsed="false">
      <c r="A28" s="11"/>
      <c r="B28" s="11"/>
      <c r="C28" s="11"/>
      <c r="D28" s="11"/>
      <c r="E28" s="11"/>
      <c r="F28" s="11"/>
      <c r="G28" s="11"/>
      <c r="H28" s="11"/>
      <c r="I28" s="11"/>
      <c r="J28" s="11"/>
      <c r="K28" s="11"/>
      <c r="L28" s="11"/>
      <c r="M28" s="11"/>
      <c r="N28" s="11"/>
      <c r="O28" s="11"/>
      <c r="P28" s="11"/>
    </row>
    <row r="29" customFormat="false" ht="13.5" hidden="false" customHeight="false" outlineLevel="0" collapsed="false">
      <c r="A29" s="11"/>
      <c r="B29" s="11"/>
      <c r="C29" s="11"/>
      <c r="D29" s="11"/>
      <c r="E29" s="11"/>
      <c r="F29" s="11"/>
      <c r="G29" s="11"/>
      <c r="H29" s="11"/>
      <c r="I29" s="11"/>
      <c r="J29" s="11"/>
      <c r="K29" s="11"/>
      <c r="L29" s="11"/>
      <c r="M29" s="11"/>
      <c r="N29" s="11"/>
      <c r="O29" s="11"/>
      <c r="P29" s="11"/>
    </row>
    <row r="30" customFormat="false" ht="13.5" hidden="false" customHeight="false" outlineLevel="0" collapsed="false">
      <c r="A30" s="11"/>
      <c r="B30" s="11"/>
      <c r="C30" s="11"/>
      <c r="D30" s="11"/>
      <c r="E30" s="11"/>
      <c r="F30" s="11"/>
      <c r="G30" s="11"/>
      <c r="H30" s="11"/>
      <c r="I30" s="11"/>
      <c r="J30" s="11"/>
      <c r="K30" s="11"/>
      <c r="L30" s="11"/>
      <c r="M30" s="11"/>
      <c r="N30" s="11"/>
      <c r="O30" s="11"/>
      <c r="P30" s="11"/>
    </row>
    <row r="31" customFormat="false" ht="13.5" hidden="false" customHeight="false" outlineLevel="0" collapsed="false">
      <c r="A31" s="11"/>
      <c r="B31" s="11"/>
      <c r="C31" s="11"/>
      <c r="D31" s="11"/>
      <c r="E31" s="11"/>
      <c r="F31" s="11"/>
      <c r="G31" s="11"/>
      <c r="H31" s="11"/>
      <c r="I31" s="11"/>
      <c r="J31" s="11"/>
      <c r="K31" s="11"/>
      <c r="L31" s="11"/>
      <c r="M31" s="11"/>
      <c r="N31" s="11"/>
      <c r="O31" s="11"/>
      <c r="P31" s="11"/>
    </row>
    <row r="32" customFormat="false" ht="13.5" hidden="false" customHeight="false" outlineLevel="0" collapsed="false">
      <c r="A32" s="11"/>
      <c r="B32" s="11"/>
      <c r="C32" s="11"/>
      <c r="D32" s="11"/>
      <c r="E32" s="11"/>
      <c r="F32" s="11"/>
      <c r="G32" s="11"/>
      <c r="H32" s="11"/>
      <c r="I32" s="11"/>
      <c r="J32" s="11"/>
      <c r="K32" s="11"/>
      <c r="L32" s="11"/>
      <c r="M32" s="11"/>
      <c r="N32" s="11"/>
      <c r="O32" s="11"/>
      <c r="P32" s="11"/>
    </row>
    <row r="33" customFormat="false" ht="13.5" hidden="false" customHeight="false" outlineLevel="0" collapsed="false">
      <c r="A33" s="11"/>
      <c r="B33" s="11"/>
      <c r="C33" s="11"/>
      <c r="D33" s="11"/>
      <c r="E33" s="11"/>
      <c r="F33" s="11"/>
      <c r="G33" s="11"/>
      <c r="H33" s="11"/>
      <c r="I33" s="11"/>
      <c r="J33" s="11"/>
      <c r="K33" s="11"/>
      <c r="L33" s="11"/>
      <c r="M33" s="11"/>
      <c r="N33" s="11"/>
      <c r="O33" s="11"/>
      <c r="P33" s="11"/>
    </row>
    <row r="34" customFormat="false" ht="13.5" hidden="false" customHeight="false" outlineLevel="0" collapsed="false">
      <c r="A34" s="11"/>
      <c r="B34" s="11"/>
      <c r="C34" s="11"/>
      <c r="D34" s="11"/>
      <c r="E34" s="11"/>
      <c r="F34" s="11"/>
      <c r="G34" s="11"/>
      <c r="H34" s="11"/>
      <c r="I34" s="11"/>
      <c r="J34" s="11"/>
      <c r="K34" s="11"/>
      <c r="L34" s="11"/>
      <c r="M34" s="11"/>
      <c r="N34" s="11"/>
      <c r="O34" s="11"/>
      <c r="P34" s="11"/>
    </row>
    <row r="35" customFormat="false" ht="13.5" hidden="false" customHeight="false" outlineLevel="0" collapsed="false">
      <c r="A35" s="11"/>
      <c r="B35" s="11"/>
      <c r="C35" s="11"/>
      <c r="D35" s="11"/>
      <c r="E35" s="11"/>
      <c r="F35" s="11"/>
      <c r="G35" s="11"/>
      <c r="H35" s="11"/>
      <c r="I35" s="11"/>
      <c r="J35" s="11"/>
      <c r="K35" s="11"/>
      <c r="L35" s="11"/>
      <c r="M35" s="11"/>
      <c r="N35" s="11"/>
      <c r="O35" s="11"/>
      <c r="P35" s="11"/>
    </row>
    <row r="38" customFormat="false" ht="13.5" hidden="false" customHeight="false" outlineLevel="0" collapsed="false">
      <c r="A38" s="2" t="s">
        <v>21</v>
      </c>
      <c r="B38" s="2"/>
      <c r="C38" s="2"/>
      <c r="D38" s="2"/>
      <c r="E38" s="2"/>
      <c r="F38" s="2"/>
      <c r="G38" s="2"/>
      <c r="H38" s="2"/>
    </row>
    <row r="39" customFormat="false" ht="13.5" hidden="false" customHeight="false" outlineLevel="0" collapsed="false">
      <c r="A39" s="12" t="s">
        <v>22</v>
      </c>
      <c r="B39" s="12" t="s">
        <v>23</v>
      </c>
      <c r="C39" s="12" t="s">
        <v>24</v>
      </c>
      <c r="D39" s="12"/>
      <c r="E39" s="12"/>
      <c r="F39" s="12"/>
      <c r="G39" s="12"/>
      <c r="H39" s="12"/>
    </row>
    <row r="40" customFormat="false" ht="13.5" hidden="false" customHeight="false" outlineLevel="0" collapsed="false">
      <c r="A40" s="13" t="n">
        <v>2.2</v>
      </c>
      <c r="B40" s="14" t="n">
        <v>44868</v>
      </c>
      <c r="C40" s="15" t="s">
        <v>25</v>
      </c>
      <c r="D40" s="15"/>
      <c r="E40" s="15"/>
      <c r="F40" s="15"/>
      <c r="G40" s="15"/>
      <c r="H40" s="15"/>
    </row>
    <row r="41" customFormat="false" ht="13.5" hidden="false" customHeight="false" outlineLevel="0" collapsed="false">
      <c r="A41" s="16" t="n">
        <v>2.1</v>
      </c>
      <c r="B41" s="17" t="n">
        <v>44491</v>
      </c>
      <c r="C41" s="18" t="s">
        <v>26</v>
      </c>
      <c r="D41" s="18"/>
      <c r="E41" s="18"/>
      <c r="F41" s="18"/>
      <c r="G41" s="18"/>
      <c r="H41" s="18"/>
    </row>
    <row r="42" customFormat="false" ht="13.5" hidden="false" customHeight="false" outlineLevel="0" collapsed="false">
      <c r="A42" s="16" t="s">
        <v>27</v>
      </c>
      <c r="B42" s="17" t="n">
        <v>44162</v>
      </c>
      <c r="C42" s="18" t="s">
        <v>28</v>
      </c>
      <c r="D42" s="18"/>
      <c r="E42" s="18"/>
      <c r="F42" s="18"/>
      <c r="G42" s="18"/>
      <c r="H42" s="18"/>
    </row>
  </sheetData>
  <mergeCells count="26">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 ref="L13:P13"/>
    <mergeCell ref="J15:K15"/>
    <mergeCell ref="J16:K16"/>
    <mergeCell ref="A19:P19"/>
    <mergeCell ref="A20:P35"/>
    <mergeCell ref="A38:H38"/>
    <mergeCell ref="C39:H39"/>
    <mergeCell ref="C40:H40"/>
    <mergeCell ref="C41:H41"/>
    <mergeCell ref="C42:H4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0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62" activePane="bottomLeft" state="frozen"/>
      <selection pane="topLeft" activeCell="A1" activeCellId="0" sqref="A1"/>
      <selection pane="bottomLeft" activeCell="L65" activeCellId="0" sqref="L65"/>
    </sheetView>
  </sheetViews>
  <sheetFormatPr defaultColWidth="8.72265625" defaultRowHeight="13.5" zeroHeight="false" outlineLevelRow="0" outlineLevelCol="0"/>
  <cols>
    <col collapsed="false" customWidth="true" hidden="true" outlineLevel="0" max="1" min="1" style="1" width="15.72"/>
    <col collapsed="false" customWidth="true" hidden="false" outlineLevel="0" max="2" min="2" style="1" width="11.86"/>
    <col collapsed="false" customWidth="false" hidden="false" outlineLevel="0" max="16384" min="3" style="1" width="8.72"/>
  </cols>
  <sheetData>
    <row r="1" customFormat="false" ht="13.5" hidden="false" customHeight="false" outlineLevel="0" collapsed="false">
      <c r="B1" s="19" t="s">
        <v>1</v>
      </c>
      <c r="C1" s="5" t="str">
        <f aca="true" t="array" ref="C1: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customFormat="false" ht="13.5" hidden="false" customHeight="false" outlineLevel="0" collapsed="false">
      <c r="B2" s="2" t="s">
        <v>29</v>
      </c>
      <c r="C2" s="2"/>
      <c r="D2" s="2"/>
      <c r="E2" s="2"/>
      <c r="F2" s="5" t="str">
        <f aca="false">IF(COUNTBLANK(D3:D14)&gt;0, IncompleteText, OKText)</f>
        <v>OK</v>
      </c>
    </row>
    <row r="3" customFormat="false" ht="13.5" hidden="false" customHeight="false" outlineLevel="0" collapsed="false">
      <c r="B3" s="20" t="s">
        <v>30</v>
      </c>
      <c r="C3" s="20"/>
      <c r="D3" s="7" t="s">
        <v>31</v>
      </c>
      <c r="E3" s="7"/>
    </row>
    <row r="4" customFormat="false" ht="13.5" hidden="false" customHeight="false" outlineLevel="0" collapsed="false">
      <c r="B4" s="20" t="s">
        <v>32</v>
      </c>
      <c r="C4" s="20"/>
      <c r="D4" s="7" t="s">
        <v>33</v>
      </c>
      <c r="E4" s="7"/>
    </row>
    <row r="5" customFormat="false" ht="13.5" hidden="false" customHeight="false" outlineLevel="0" collapsed="false">
      <c r="B5" s="20" t="s">
        <v>34</v>
      </c>
      <c r="C5" s="20"/>
      <c r="D5" s="21" t="n">
        <v>3.12</v>
      </c>
      <c r="E5" s="1" t="s">
        <v>35</v>
      </c>
    </row>
    <row r="6" customFormat="false" ht="13.5" hidden="false" customHeight="false" outlineLevel="0" collapsed="false">
      <c r="B6" s="20" t="s">
        <v>36</v>
      </c>
      <c r="C6" s="20"/>
      <c r="D6" s="21" t="n">
        <v>4.2</v>
      </c>
      <c r="E6" s="1" t="s">
        <v>17</v>
      </c>
    </row>
    <row r="7" customFormat="false" ht="13.5" hidden="false" customHeight="false" outlineLevel="0" collapsed="false">
      <c r="B7" s="20" t="s">
        <v>37</v>
      </c>
      <c r="C7" s="20"/>
      <c r="D7" s="21" t="n">
        <v>3.6</v>
      </c>
      <c r="E7" s="1" t="s">
        <v>17</v>
      </c>
    </row>
    <row r="8" customFormat="false" ht="13.5" hidden="false" customHeight="false" outlineLevel="0" collapsed="false">
      <c r="B8" s="20" t="s">
        <v>38</v>
      </c>
      <c r="C8" s="20"/>
      <c r="D8" s="21" t="n">
        <v>2</v>
      </c>
      <c r="E8" s="1" t="s">
        <v>17</v>
      </c>
    </row>
    <row r="9" customFormat="false" ht="13.5" hidden="false" customHeight="false" outlineLevel="0" collapsed="false">
      <c r="B9" s="20" t="s">
        <v>39</v>
      </c>
      <c r="C9" s="20"/>
      <c r="D9" s="21" t="n">
        <v>46.4</v>
      </c>
      <c r="E9" s="1" t="s">
        <v>19</v>
      </c>
    </row>
    <row r="10" customFormat="false" ht="13.5" hidden="false" customHeight="false" outlineLevel="0" collapsed="false">
      <c r="B10" s="20" t="s">
        <v>40</v>
      </c>
      <c r="C10" s="20"/>
      <c r="D10" s="21" t="n">
        <v>30</v>
      </c>
      <c r="E10" s="1" t="s">
        <v>19</v>
      </c>
    </row>
    <row r="11" customFormat="false" ht="13.5" hidden="false" customHeight="false" outlineLevel="0" collapsed="false">
      <c r="B11" s="20" t="s">
        <v>41</v>
      </c>
      <c r="C11" s="20"/>
      <c r="D11" s="21" t="n">
        <v>80</v>
      </c>
      <c r="E11" s="1" t="s">
        <v>42</v>
      </c>
    </row>
    <row r="12" customFormat="false" ht="13.5" hidden="false" customHeight="false" outlineLevel="0" collapsed="false">
      <c r="B12" s="20" t="s">
        <v>43</v>
      </c>
      <c r="C12" s="20"/>
      <c r="D12" s="7" t="s">
        <v>44</v>
      </c>
      <c r="E12" s="7"/>
    </row>
    <row r="13" customFormat="false" ht="16.4" hidden="false" customHeight="false" outlineLevel="0" collapsed="false">
      <c r="B13" s="22" t="s">
        <v>45</v>
      </c>
      <c r="C13" s="22"/>
      <c r="D13" s="7" t="s">
        <v>46</v>
      </c>
      <c r="E13" s="7"/>
    </row>
    <row r="14" customFormat="false" ht="16.4" hidden="false" customHeight="false" outlineLevel="0" collapsed="false">
      <c r="B14" s="22" t="s">
        <v>47</v>
      </c>
      <c r="C14" s="22"/>
      <c r="D14" s="7" t="s">
        <v>48</v>
      </c>
      <c r="E14" s="7"/>
    </row>
    <row r="15" customFormat="false" ht="13.5" hidden="false" customHeight="false" outlineLevel="0" collapsed="false">
      <c r="B15" s="22" t="s">
        <v>20</v>
      </c>
      <c r="C15" s="22"/>
      <c r="D15" s="7" t="s">
        <v>49</v>
      </c>
      <c r="E15" s="7"/>
      <c r="F15" s="7"/>
      <c r="G15" s="7"/>
      <c r="H15" s="7"/>
    </row>
    <row r="16" customFormat="false" ht="13.5" hidden="false" customHeight="false" outlineLevel="0" collapsed="false">
      <c r="D16" s="23"/>
    </row>
    <row r="17" customFormat="false" ht="13.5" hidden="false" customHeight="false" outlineLevel="0" collapsed="false">
      <c r="B17" s="2" t="s">
        <v>50</v>
      </c>
      <c r="C17" s="2"/>
      <c r="D17" s="2"/>
      <c r="E17" s="2"/>
      <c r="F17" s="2"/>
      <c r="G17" s="2"/>
      <c r="H17" s="2"/>
      <c r="I17" s="2"/>
      <c r="J17" s="2"/>
      <c r="K17" s="5" t="str">
        <f aca="false">IF(COUNTIF(K19:K37, "="&amp;IncompleteText), IncompleteText, IF(COUNTIF(K19:K37, "="&amp;ErrorText), ErrorText, OKText))</f>
        <v>OK</v>
      </c>
    </row>
    <row r="18" customFormat="false" ht="29.25" hidden="false" customHeight="true" outlineLevel="0" collapsed="false">
      <c r="B18" s="1" t="s">
        <v>51</v>
      </c>
      <c r="C18" s="24" t="s">
        <v>52</v>
      </c>
      <c r="D18" s="24" t="s">
        <v>53</v>
      </c>
      <c r="E18" s="24" t="s">
        <v>54</v>
      </c>
      <c r="F18" s="24" t="s">
        <v>55</v>
      </c>
      <c r="G18" s="24" t="s">
        <v>56</v>
      </c>
      <c r="H18" s="25" t="s">
        <v>45</v>
      </c>
      <c r="I18" s="25"/>
      <c r="J18" s="24" t="s">
        <v>57</v>
      </c>
      <c r="K18" s="26"/>
      <c r="L18" s="27" t="s">
        <v>20</v>
      </c>
      <c r="M18" s="27"/>
      <c r="N18" s="27"/>
      <c r="O18" s="27"/>
      <c r="P18" s="27"/>
      <c r="Q18" s="28" t="s">
        <v>58</v>
      </c>
      <c r="R18" s="28"/>
    </row>
    <row r="19" customFormat="false" ht="16.4" hidden="false" customHeight="true" outlineLevel="0" collapsed="false">
      <c r="A19" s="1" t="str">
        <f aca="true">CONCATENATE(INDIRECT(CONCATENATE("B",ROW(A19))), " ", INDIRECT(CONCATENATE("C",ROW(A19))))</f>
        <v>Energus Busbar</v>
      </c>
      <c r="B19" s="29" t="s">
        <v>59</v>
      </c>
      <c r="C19" s="21" t="s">
        <v>60</v>
      </c>
      <c r="D19" s="29" t="n">
        <v>25</v>
      </c>
      <c r="E19" s="29" t="n">
        <v>3200</v>
      </c>
      <c r="F19" s="29" t="n">
        <v>200</v>
      </c>
      <c r="G19" s="29" t="n">
        <v>100</v>
      </c>
      <c r="H19" s="30" t="s">
        <v>61</v>
      </c>
      <c r="I19" s="30"/>
      <c r="J19" s="7" t="s">
        <v>62</v>
      </c>
      <c r="K19" s="5" t="str">
        <f aca="false">IF(COUNTBLANK(B19:J19)=9,IncompleteText,IF(AND(COUNTBLANK(B19:J19)=1, G19&gt;=90),OKText,ErrorText))</f>
        <v>OK</v>
      </c>
      <c r="L19" s="7" t="s">
        <v>63</v>
      </c>
      <c r="M19" s="7"/>
      <c r="N19" s="7"/>
      <c r="O19" s="7"/>
      <c r="P19" s="7"/>
      <c r="Q19" s="31" t="s">
        <v>64</v>
      </c>
      <c r="R19" s="31"/>
    </row>
    <row r="20" customFormat="false" ht="76.1" hidden="false" customHeight="true" outlineLevel="0" collapsed="false">
      <c r="A20" s="1" t="str">
        <f aca="true">CONCATENATE(INDIRECT(CONCATENATE("B",ROW(A20))), " ", INDIRECT(CONCATENATE("C",ROW(A20))))</f>
        <v> </v>
      </c>
      <c r="B20" s="29"/>
      <c r="C20" s="21"/>
      <c r="D20" s="29"/>
      <c r="E20" s="29"/>
      <c r="F20" s="29"/>
      <c r="G20" s="29"/>
      <c r="H20" s="7"/>
      <c r="I20" s="7"/>
      <c r="J20" s="7"/>
      <c r="K20" s="5" t="str">
        <f aca="false">IF(COUNTBLANK(B20:J20)=9,"",IF(AND(COUNTBLANK(B20:J20)=1, G20&gt;=90),OKText,ErrorText))</f>
        <v/>
      </c>
      <c r="L20" s="7" t="s">
        <v>65</v>
      </c>
      <c r="M20" s="7"/>
      <c r="N20" s="7"/>
      <c r="O20" s="7"/>
      <c r="P20" s="7"/>
      <c r="Q20" s="31"/>
      <c r="R20" s="31"/>
    </row>
    <row r="21" customFormat="false" ht="13.5" hidden="false" customHeight="false" outlineLevel="0" collapsed="false">
      <c r="A21" s="1" t="str">
        <f aca="true">CONCATENATE(INDIRECT(CONCATENATE("B",ROW(A21))), " ", INDIRECT(CONCATENATE("C",ROW(A21))))</f>
        <v> </v>
      </c>
      <c r="B21" s="29"/>
      <c r="C21" s="21"/>
      <c r="D21" s="29"/>
      <c r="E21" s="29"/>
      <c r="F21" s="29"/>
      <c r="G21" s="29"/>
      <c r="H21" s="7"/>
      <c r="I21" s="7"/>
      <c r="J21" s="7"/>
      <c r="K21" s="5" t="str">
        <f aca="false">IF(COUNTBLANK(B21:J21)=9,"",IF(AND(COUNTBLANK(B21:J21)=1, G21&gt;=90),OKText,ErrorText))</f>
        <v/>
      </c>
      <c r="L21" s="7" t="s">
        <v>66</v>
      </c>
      <c r="M21" s="7"/>
      <c r="N21" s="7"/>
      <c r="O21" s="7"/>
      <c r="P21" s="7"/>
      <c r="Q21" s="31"/>
      <c r="R21" s="31"/>
    </row>
    <row r="22" customFormat="false" ht="16.4" hidden="false" customHeight="false" outlineLevel="0" collapsed="false">
      <c r="A22" s="1" t="str">
        <f aca="true">CONCATENATE(INDIRECT(CONCATENATE("B",ROW(A22))), " ", INDIRECT(CONCATENATE("C",ROW(A22))))</f>
        <v>Champlain cable EXRAD-HVX6X</v>
      </c>
      <c r="B22" s="29" t="s">
        <v>67</v>
      </c>
      <c r="C22" s="21" t="s">
        <v>68</v>
      </c>
      <c r="D22" s="29" t="n">
        <v>19.1</v>
      </c>
      <c r="E22" s="29" t="n">
        <v>1000</v>
      </c>
      <c r="F22" s="29" t="n">
        <v>155</v>
      </c>
      <c r="G22" s="29" t="n">
        <v>150</v>
      </c>
      <c r="H22" s="30" t="s">
        <v>69</v>
      </c>
      <c r="I22" s="30"/>
      <c r="J22" s="7" t="s">
        <v>70</v>
      </c>
      <c r="K22" s="5" t="str">
        <f aca="false">IF(COUNTBLANK(B22:J22)=9,"",IF(AND(COUNTBLANK(B22:J22)=1, G22&gt;=90),OKText,ErrorText))</f>
        <v>OK</v>
      </c>
      <c r="L22" s="7"/>
      <c r="M22" s="7"/>
      <c r="N22" s="7"/>
      <c r="O22" s="7"/>
      <c r="P22" s="7"/>
      <c r="Q22" s="31"/>
      <c r="R22" s="31"/>
    </row>
    <row r="23" customFormat="false" ht="16.4" hidden="false" customHeight="false" outlineLevel="0" collapsed="false">
      <c r="A23" s="1" t="str">
        <f aca="true">CONCATENATE(INDIRECT(CONCATENATE("B",ROW(A23))), " ", INDIRECT(CONCATENATE("C",ROW(A23))))</f>
        <v>Champlain cable EXRAD-HVX6X</v>
      </c>
      <c r="B23" s="29" t="s">
        <v>67</v>
      </c>
      <c r="C23" s="21" t="s">
        <v>68</v>
      </c>
      <c r="D23" s="29" t="n">
        <v>19.1</v>
      </c>
      <c r="E23" s="29" t="n">
        <v>1000</v>
      </c>
      <c r="F23" s="29" t="n">
        <v>155</v>
      </c>
      <c r="G23" s="29" t="n">
        <v>150</v>
      </c>
      <c r="H23" s="30" t="s">
        <v>69</v>
      </c>
      <c r="I23" s="30"/>
      <c r="J23" s="7" t="s">
        <v>71</v>
      </c>
      <c r="K23" s="5" t="str">
        <f aca="false">IF(COUNTBLANK(B23:J23)=9,"",IF(AND(COUNTBLANK(B23:J23)=1, G23&gt;=90),OKText,ErrorText))</f>
        <v>OK</v>
      </c>
      <c r="L23" s="7"/>
      <c r="M23" s="7"/>
      <c r="N23" s="7"/>
      <c r="O23" s="7"/>
      <c r="P23" s="7"/>
      <c r="Q23" s="31"/>
      <c r="R23" s="31"/>
    </row>
    <row r="24" customFormat="false" ht="16.4" hidden="false" customHeight="false" outlineLevel="0" collapsed="false">
      <c r="A24" s="1" t="str">
        <f aca="true">CONCATENATE(INDIRECT(CONCATENATE("B",ROW(A24))), " ", INDIRECT(CONCATENATE("C",ROW(A24))))</f>
        <v>Champlain cable EXRAD-HVX6X</v>
      </c>
      <c r="B24" s="29" t="s">
        <v>67</v>
      </c>
      <c r="C24" s="21" t="s">
        <v>68</v>
      </c>
      <c r="D24" s="29" t="n">
        <v>19.1</v>
      </c>
      <c r="E24" s="29" t="n">
        <v>1000</v>
      </c>
      <c r="F24" s="29" t="n">
        <v>155</v>
      </c>
      <c r="G24" s="29" t="n">
        <v>150</v>
      </c>
      <c r="H24" s="30" t="s">
        <v>69</v>
      </c>
      <c r="I24" s="30"/>
      <c r="J24" s="7" t="s">
        <v>72</v>
      </c>
      <c r="K24" s="5" t="str">
        <f aca="false">IF(COUNTBLANK(B24:J24)=9,"",IF(AND(COUNTBLANK(B24:J24)=1, G24&gt;=90),OKText,ErrorText))</f>
        <v>OK</v>
      </c>
      <c r="L24" s="7"/>
      <c r="M24" s="7"/>
      <c r="N24" s="7"/>
      <c r="O24" s="7"/>
      <c r="P24" s="7"/>
      <c r="Q24" s="31"/>
      <c r="R24" s="31"/>
    </row>
    <row r="25" customFormat="false" ht="16.4" hidden="false" customHeight="false" outlineLevel="0" collapsed="false">
      <c r="A25" s="1" t="str">
        <f aca="true">CONCATENATE(INDIRECT(CONCATENATE("B",ROW(A25))), " ", INDIRECT(CONCATENATE("C",ROW(A25))))</f>
        <v>Champlain cable EXRAD-HVX6X</v>
      </c>
      <c r="B25" s="29" t="s">
        <v>67</v>
      </c>
      <c r="C25" s="21" t="s">
        <v>68</v>
      </c>
      <c r="D25" s="29" t="n">
        <v>19.1</v>
      </c>
      <c r="E25" s="29" t="n">
        <v>1000</v>
      </c>
      <c r="F25" s="29" t="n">
        <v>155</v>
      </c>
      <c r="G25" s="29" t="n">
        <v>150</v>
      </c>
      <c r="H25" s="30" t="s">
        <v>69</v>
      </c>
      <c r="I25" s="30"/>
      <c r="J25" s="7" t="s">
        <v>73</v>
      </c>
      <c r="K25" s="5" t="str">
        <f aca="false">IF(COUNTBLANK(B25:J25)=9,"",IF(AND(COUNTBLANK(B25:J25)=1, G25&gt;=90),OKText,ErrorText))</f>
        <v>OK</v>
      </c>
      <c r="L25" s="7"/>
      <c r="M25" s="7"/>
      <c r="N25" s="7"/>
      <c r="O25" s="7"/>
      <c r="P25" s="7"/>
      <c r="Q25" s="31"/>
      <c r="R25" s="31"/>
    </row>
    <row r="26" customFormat="false" ht="16.4" hidden="false" customHeight="false" outlineLevel="0" collapsed="false">
      <c r="A26" s="1" t="str">
        <f aca="true">CONCATENATE(INDIRECT(CONCATENATE("B",ROW(A26))), " ", INDIRECT(CONCATENATE("C",ROW(A26))))</f>
        <v>Champlain cable EXRAD-HVX6X</v>
      </c>
      <c r="B26" s="29" t="s">
        <v>67</v>
      </c>
      <c r="C26" s="21" t="s">
        <v>68</v>
      </c>
      <c r="D26" s="29" t="n">
        <v>19.1</v>
      </c>
      <c r="E26" s="29" t="n">
        <v>1000</v>
      </c>
      <c r="F26" s="29" t="n">
        <v>155</v>
      </c>
      <c r="G26" s="29" t="n">
        <v>150</v>
      </c>
      <c r="H26" s="30" t="s">
        <v>69</v>
      </c>
      <c r="I26" s="30"/>
      <c r="J26" s="7" t="s">
        <v>74</v>
      </c>
      <c r="K26" s="5" t="str">
        <f aca="false">IF(COUNTBLANK(B26:J26)=9,"",IF(AND(COUNTBLANK(B26:J26)=1, G26&gt;=90),OKText,ErrorText))</f>
        <v>OK</v>
      </c>
      <c r="L26" s="7"/>
      <c r="M26" s="7"/>
      <c r="N26" s="7"/>
      <c r="O26" s="7"/>
      <c r="P26" s="7"/>
      <c r="Q26" s="31"/>
      <c r="R26" s="31"/>
    </row>
    <row r="27" customFormat="false" ht="16.4" hidden="false" customHeight="false" outlineLevel="0" collapsed="false">
      <c r="A27" s="1" t="str">
        <f aca="true">CONCATENATE(INDIRECT(CONCATENATE("B",ROW(A27))), " ", INDIRECT(CONCATENATE("C",ROW(A27))))</f>
        <v>Champlain cable EXRAD-HVX6X</v>
      </c>
      <c r="B27" s="29" t="s">
        <v>67</v>
      </c>
      <c r="C27" s="21" t="s">
        <v>68</v>
      </c>
      <c r="D27" s="29" t="n">
        <v>19.1</v>
      </c>
      <c r="E27" s="29" t="n">
        <v>1000</v>
      </c>
      <c r="F27" s="29" t="n">
        <v>155</v>
      </c>
      <c r="G27" s="29" t="n">
        <v>150</v>
      </c>
      <c r="H27" s="30" t="s">
        <v>69</v>
      </c>
      <c r="I27" s="30"/>
      <c r="J27" s="7" t="s">
        <v>75</v>
      </c>
      <c r="K27" s="5" t="str">
        <f aca="false">IF(COUNTBLANK(B27:J27)=9,"",IF(AND(COUNTBLANK(B27:J27)=1, G27&gt;=90),OKText,ErrorText))</f>
        <v>OK</v>
      </c>
      <c r="L27" s="7"/>
      <c r="M27" s="7"/>
      <c r="N27" s="7"/>
      <c r="O27" s="7"/>
      <c r="P27" s="7"/>
      <c r="Q27" s="31"/>
      <c r="R27" s="31"/>
    </row>
    <row r="28" customFormat="false" ht="16.4" hidden="false" customHeight="false" outlineLevel="0" collapsed="false">
      <c r="A28" s="1" t="str">
        <f aca="true">CONCATENATE(INDIRECT(CONCATENATE("B",ROW(A28))), " ", INDIRECT(CONCATENATE("C",ROW(A28))))</f>
        <v>Eaton BK/PCS</v>
      </c>
      <c r="B28" s="29" t="s">
        <v>76</v>
      </c>
      <c r="C28" s="21" t="s">
        <v>77</v>
      </c>
      <c r="D28" s="29" t="n">
        <v>0.203</v>
      </c>
      <c r="E28" s="29" t="n">
        <v>250</v>
      </c>
      <c r="F28" s="29" t="n">
        <v>6.3</v>
      </c>
      <c r="G28" s="29" t="n">
        <v>200</v>
      </c>
      <c r="H28" s="30" t="s">
        <v>78</v>
      </c>
      <c r="I28" s="30"/>
      <c r="J28" s="7" t="s">
        <v>79</v>
      </c>
      <c r="K28" s="5" t="str">
        <f aca="false">IF(COUNTBLANK(B28:J28)=9,"",IF(AND(COUNTBLANK(B28:J28)=1, G28&gt;=90),OKText,ErrorText))</f>
        <v>OK</v>
      </c>
      <c r="L28" s="7"/>
      <c r="M28" s="7"/>
      <c r="N28" s="7"/>
      <c r="O28" s="7"/>
      <c r="P28" s="7"/>
      <c r="Q28" s="31"/>
      <c r="R28" s="31"/>
    </row>
    <row r="29" customFormat="false" ht="13.5" hidden="false" customHeight="false" outlineLevel="0" collapsed="false">
      <c r="A29" s="1" t="str">
        <f aca="true">CONCATENATE(INDIRECT(CONCATENATE("B",ROW(A29))), " ", INDIRECT(CONCATENATE("C",ROW(A29))))</f>
        <v> </v>
      </c>
      <c r="B29" s="29"/>
      <c r="C29" s="21"/>
      <c r="D29" s="29"/>
      <c r="E29" s="29"/>
      <c r="F29" s="29"/>
      <c r="G29" s="29"/>
      <c r="H29" s="7"/>
      <c r="I29" s="7"/>
      <c r="J29" s="7"/>
      <c r="K29" s="5" t="str">
        <f aca="false">IF(COUNTBLANK(B29:J29)=9,"",IF(AND(COUNTBLANK(B29:J29)=1, G29&gt;=90),OKText,ErrorText))</f>
        <v/>
      </c>
      <c r="L29" s="7"/>
      <c r="M29" s="7"/>
      <c r="N29" s="7"/>
      <c r="O29" s="7"/>
      <c r="P29" s="7"/>
      <c r="Q29" s="31"/>
      <c r="R29" s="31"/>
    </row>
    <row r="30" customFormat="false" ht="13.5" hidden="false" customHeight="false" outlineLevel="0" collapsed="false">
      <c r="A30" s="1" t="str">
        <f aca="true">CONCATENATE(INDIRECT(CONCATENATE("B",ROW(A30))), " ", INDIRECT(CONCATENATE("C",ROW(A30))))</f>
        <v> </v>
      </c>
      <c r="B30" s="29"/>
      <c r="C30" s="21"/>
      <c r="D30" s="29"/>
      <c r="E30" s="29"/>
      <c r="F30" s="29"/>
      <c r="G30" s="29"/>
      <c r="H30" s="7"/>
      <c r="I30" s="7"/>
      <c r="J30" s="7"/>
      <c r="K30" s="5" t="str">
        <f aca="false">IF(COUNTBLANK(B30:J30)=9,"",IF(AND(COUNTBLANK(B30:J30)=1, G30&gt;=90),OKText,ErrorText))</f>
        <v/>
      </c>
      <c r="L30" s="7"/>
      <c r="M30" s="7"/>
      <c r="N30" s="7"/>
      <c r="O30" s="7"/>
      <c r="P30" s="7"/>
      <c r="Q30" s="31"/>
      <c r="R30" s="31"/>
    </row>
    <row r="31" customFormat="false" ht="13.5" hidden="false" customHeight="false" outlineLevel="0" collapsed="false">
      <c r="A31" s="1" t="str">
        <f aca="true">CONCATENATE(INDIRECT(CONCATENATE("B",ROW(A31))), " ", INDIRECT(CONCATENATE("C",ROW(A31))))</f>
        <v> </v>
      </c>
      <c r="B31" s="29"/>
      <c r="C31" s="21"/>
      <c r="D31" s="29"/>
      <c r="E31" s="29"/>
      <c r="F31" s="29"/>
      <c r="G31" s="29"/>
      <c r="H31" s="7"/>
      <c r="I31" s="7"/>
      <c r="J31" s="7"/>
      <c r="K31" s="5" t="str">
        <f aca="false">IF(COUNTBLANK(B31:J31)=9,"",IF(AND(COUNTBLANK(B31:J31)=1, G31&gt;=90),OKText,ErrorText))</f>
        <v/>
      </c>
      <c r="L31" s="7"/>
      <c r="M31" s="7"/>
      <c r="N31" s="7"/>
      <c r="O31" s="7"/>
      <c r="P31" s="7"/>
      <c r="Q31" s="31"/>
      <c r="R31" s="31"/>
    </row>
    <row r="32" customFormat="false" ht="13.5" hidden="false" customHeight="false" outlineLevel="0" collapsed="false">
      <c r="A32" s="1" t="str">
        <f aca="true">CONCATENATE(INDIRECT(CONCATENATE("B",ROW(A32))), " ", INDIRECT(CONCATENATE("C",ROW(A32))))</f>
        <v> </v>
      </c>
      <c r="B32" s="29"/>
      <c r="C32" s="21"/>
      <c r="D32" s="29"/>
      <c r="E32" s="29"/>
      <c r="F32" s="29"/>
      <c r="G32" s="29"/>
      <c r="H32" s="7"/>
      <c r="I32" s="7"/>
      <c r="J32" s="7"/>
      <c r="K32" s="5" t="str">
        <f aca="false">IF(COUNTBLANK(B32:J32)=9,"",IF(AND(COUNTBLANK(B32:J32)=1, G32&gt;=90),OKText,ErrorText))</f>
        <v/>
      </c>
      <c r="L32" s="7"/>
      <c r="M32" s="7"/>
      <c r="N32" s="7"/>
      <c r="O32" s="7"/>
      <c r="P32" s="7"/>
      <c r="Q32" s="31"/>
      <c r="R32" s="31"/>
    </row>
    <row r="33" customFormat="false" ht="13.5" hidden="false" customHeight="false" outlineLevel="0" collapsed="false">
      <c r="A33" s="1" t="str">
        <f aca="true">CONCATENATE(INDIRECT(CONCATENATE("B",ROW(A33))), " ", INDIRECT(CONCATENATE("C",ROW(A33))))</f>
        <v> </v>
      </c>
      <c r="B33" s="29"/>
      <c r="C33" s="21"/>
      <c r="D33" s="29"/>
      <c r="E33" s="29"/>
      <c r="F33" s="29"/>
      <c r="G33" s="29"/>
      <c r="H33" s="7"/>
      <c r="I33" s="7"/>
      <c r="J33" s="7"/>
      <c r="K33" s="5" t="str">
        <f aca="false">IF(COUNTBLANK(B33:J33)=9,"",IF(AND(COUNTBLANK(B33:J33)=1, G33&gt;=90),OKText,ErrorText))</f>
        <v/>
      </c>
      <c r="L33" s="7"/>
      <c r="M33" s="7"/>
      <c r="N33" s="7"/>
      <c r="O33" s="7"/>
      <c r="P33" s="7"/>
      <c r="Q33" s="31"/>
      <c r="R33" s="31"/>
    </row>
    <row r="34" customFormat="false" ht="13.5" hidden="false" customHeight="false" outlineLevel="0" collapsed="false">
      <c r="A34" s="1" t="str">
        <f aca="true">CONCATENATE(INDIRECT(CONCATENATE("B",ROW(A34))), " ", INDIRECT(CONCATENATE("C",ROW(A34))))</f>
        <v> </v>
      </c>
      <c r="B34" s="29"/>
      <c r="C34" s="21"/>
      <c r="D34" s="29"/>
      <c r="E34" s="29"/>
      <c r="F34" s="29"/>
      <c r="G34" s="29"/>
      <c r="H34" s="7"/>
      <c r="I34" s="7"/>
      <c r="J34" s="7"/>
      <c r="K34" s="5" t="str">
        <f aca="false">IF(COUNTBLANK(B34:J34)=9,"",IF(AND(COUNTBLANK(B34:J34)=1, G34&gt;=90),OKText,ErrorText))</f>
        <v/>
      </c>
      <c r="L34" s="7"/>
      <c r="M34" s="7"/>
      <c r="N34" s="7"/>
      <c r="O34" s="7"/>
      <c r="P34" s="7"/>
      <c r="Q34" s="31"/>
      <c r="R34" s="31"/>
    </row>
    <row r="35" customFormat="false" ht="13.5" hidden="false" customHeight="false" outlineLevel="0" collapsed="false">
      <c r="A35" s="1" t="str">
        <f aca="true">CONCATENATE(INDIRECT(CONCATENATE("B",ROW(A35))), " ", INDIRECT(CONCATENATE("C",ROW(A35))))</f>
        <v> </v>
      </c>
      <c r="B35" s="29"/>
      <c r="C35" s="21"/>
      <c r="D35" s="29"/>
      <c r="E35" s="29"/>
      <c r="F35" s="29"/>
      <c r="G35" s="29"/>
      <c r="H35" s="7"/>
      <c r="I35" s="7"/>
      <c r="J35" s="7"/>
      <c r="K35" s="5" t="str">
        <f aca="false">IF(COUNTBLANK(B35:J35)=9,"",IF(AND(COUNTBLANK(B35:J35)=1, G35&gt;=90),OKText,ErrorText))</f>
        <v/>
      </c>
      <c r="L35" s="7"/>
      <c r="M35" s="7"/>
      <c r="N35" s="7"/>
      <c r="O35" s="7"/>
      <c r="P35" s="7"/>
      <c r="Q35" s="31"/>
      <c r="R35" s="31"/>
    </row>
    <row r="36" customFormat="false" ht="13.5" hidden="false" customHeight="false" outlineLevel="0" collapsed="false">
      <c r="A36" s="1" t="str">
        <f aca="true">CONCATENATE(INDIRECT(CONCATENATE("B",ROW(A36))), " ", INDIRECT(CONCATENATE("C",ROW(A36))))</f>
        <v> </v>
      </c>
      <c r="B36" s="29"/>
      <c r="C36" s="21"/>
      <c r="D36" s="29"/>
      <c r="E36" s="29"/>
      <c r="F36" s="29"/>
      <c r="G36" s="29"/>
      <c r="H36" s="7"/>
      <c r="I36" s="7"/>
      <c r="J36" s="7"/>
      <c r="K36" s="5" t="str">
        <f aca="false">IF(COUNTBLANK(B36:J36)=9,"",IF(AND(COUNTBLANK(B36:J36)=1, G36&gt;=90),OKText,ErrorText))</f>
        <v/>
      </c>
      <c r="L36" s="7"/>
      <c r="M36" s="7"/>
      <c r="N36" s="7"/>
      <c r="O36" s="7"/>
      <c r="P36" s="7"/>
      <c r="Q36" s="31"/>
      <c r="R36" s="31"/>
    </row>
    <row r="37" customFormat="false" ht="13.5" hidden="false" customHeight="false" outlineLevel="0" collapsed="false">
      <c r="A37" s="1" t="str">
        <f aca="true">CONCATENATE(INDIRECT(CONCATENATE("B",ROW(A37))), " ", INDIRECT(CONCATENATE("C",ROW(A37))))</f>
        <v> </v>
      </c>
      <c r="B37" s="29"/>
      <c r="C37" s="21"/>
      <c r="D37" s="29"/>
      <c r="E37" s="29"/>
      <c r="F37" s="29"/>
      <c r="G37" s="29"/>
      <c r="H37" s="7"/>
      <c r="I37" s="7"/>
      <c r="J37" s="7"/>
      <c r="K37" s="5" t="str">
        <f aca="false">IF(COUNTBLANK(B37:J37)=9,"",IF(AND(COUNTBLANK(B37:J37)=1, G37&gt;=90),OKText,ErrorText))</f>
        <v/>
      </c>
      <c r="L37" s="7"/>
      <c r="M37" s="7"/>
      <c r="N37" s="7"/>
      <c r="O37" s="7"/>
      <c r="P37" s="7"/>
      <c r="Q37" s="31"/>
      <c r="R37" s="31"/>
    </row>
    <row r="38" customFormat="false" ht="13.5" hidden="false" customHeight="false" outlineLevel="0" collapsed="false">
      <c r="A38" s="1" t="str">
        <f aca="true">CONCATENATE(INDIRECT(CONCATENATE("B",ROW(A38))), " ", INDIRECT(CONCATENATE("C",ROW(A38))))</f>
        <v> </v>
      </c>
    </row>
    <row r="39" customFormat="false" ht="13.5" hidden="false" customHeight="false" outlineLevel="0" collapsed="false">
      <c r="A39" s="1" t="str">
        <f aca="true">CONCATENATE(INDIRECT(CONCATENATE("B",ROW(A39))), " ", INDIRECT(CONCATENATE("C",ROW(A39))))</f>
        <v>Fuses </v>
      </c>
      <c r="B39" s="2" t="s">
        <v>80</v>
      </c>
      <c r="C39" s="2"/>
      <c r="D39" s="2"/>
      <c r="E39" s="2"/>
      <c r="F39" s="2"/>
      <c r="G39" s="2"/>
      <c r="H39" s="2"/>
      <c r="I39" s="2"/>
      <c r="J39" s="2"/>
      <c r="K39" s="5" t="str">
        <f aca="false">IF(COUNTIF(K41:K52, "="&amp;IncompleteText), IncompleteText, IF(COUNTIF(K41:K52, "="&amp;ErrorText), ErrorText, OKText))</f>
        <v>OK</v>
      </c>
    </row>
    <row r="40" customFormat="false" ht="31.3" hidden="false" customHeight="true" outlineLevel="0" collapsed="false">
      <c r="A40" s="1" t="str">
        <f aca="true">CONCATENATE(INDIRECT(CONCATENATE("B",ROW(A40))), " ", INDIRECT(CONCATENATE("C",ROW(A40))))</f>
        <v>Manufacturer Part Number</v>
      </c>
      <c r="B40" s="1" t="s">
        <v>51</v>
      </c>
      <c r="C40" s="24" t="s">
        <v>52</v>
      </c>
      <c r="D40" s="24" t="s">
        <v>81</v>
      </c>
      <c r="E40" s="26" t="s">
        <v>82</v>
      </c>
      <c r="F40" s="24" t="s">
        <v>83</v>
      </c>
      <c r="G40" s="24" t="s">
        <v>84</v>
      </c>
      <c r="H40" s="25" t="s">
        <v>45</v>
      </c>
      <c r="I40" s="25"/>
      <c r="J40" s="24" t="s">
        <v>57</v>
      </c>
      <c r="K40" s="26"/>
      <c r="L40" s="27" t="s">
        <v>20</v>
      </c>
      <c r="M40" s="27"/>
      <c r="N40" s="27"/>
      <c r="O40" s="27"/>
      <c r="P40" s="27"/>
      <c r="Q40" s="28" t="s">
        <v>58</v>
      </c>
      <c r="R40" s="28"/>
    </row>
    <row r="41" customFormat="false" ht="16.4" hidden="false" customHeight="true" outlineLevel="0" collapsed="false">
      <c r="A41" s="1" t="str">
        <f aca="true">CONCATENATE(INDIRECT(CONCATENATE("B",ROW(A41))), " ", INDIRECT(CONCATENATE("C",ROW(A41))))</f>
        <v>Eaton - Electronic Division BK/PCC-3/4-R</v>
      </c>
      <c r="B41" s="29" t="s">
        <v>85</v>
      </c>
      <c r="C41" s="21" t="s">
        <v>86</v>
      </c>
      <c r="D41" s="29" t="n">
        <v>450</v>
      </c>
      <c r="E41" s="29" t="s">
        <v>87</v>
      </c>
      <c r="F41" s="29" t="n">
        <v>0.75</v>
      </c>
      <c r="G41" s="32" t="n">
        <v>5900</v>
      </c>
      <c r="H41" s="7" t="s">
        <v>88</v>
      </c>
      <c r="I41" s="7"/>
      <c r="J41" s="7" t="s">
        <v>89</v>
      </c>
      <c r="K41" s="5" t="str">
        <f aca="false">IF(COUNTBLANK(B41:J41)=9,IncompleteText,IF(COUNTBLANK(B41:J41)=1,OKText,ErrorText))</f>
        <v>OK</v>
      </c>
      <c r="L41" s="7"/>
      <c r="M41" s="7"/>
      <c r="N41" s="7"/>
      <c r="O41" s="7"/>
      <c r="P41" s="7"/>
      <c r="Q41" s="31" t="s">
        <v>90</v>
      </c>
      <c r="R41" s="31"/>
    </row>
    <row r="42" customFormat="false" ht="16.4" hidden="false" customHeight="false" outlineLevel="0" collapsed="false">
      <c r="A42" s="1" t="str">
        <f aca="true">CONCATENATE(INDIRECT(CONCATENATE("B",ROW(A42))), " ", INDIRECT(CONCATENATE("C",ROW(A42))))</f>
        <v>Mersen Semiconductor A50QS75-4Y</v>
      </c>
      <c r="B42" s="29" t="s">
        <v>91</v>
      </c>
      <c r="C42" s="21" t="s">
        <v>92</v>
      </c>
      <c r="D42" s="29" t="n">
        <v>500</v>
      </c>
      <c r="E42" s="29" t="s">
        <v>87</v>
      </c>
      <c r="F42" s="29" t="n">
        <v>75</v>
      </c>
      <c r="G42" s="29" t="n">
        <v>1200</v>
      </c>
      <c r="H42" s="7" t="s">
        <v>93</v>
      </c>
      <c r="I42" s="7"/>
      <c r="J42" s="7" t="s">
        <v>94</v>
      </c>
      <c r="K42" s="5" t="str">
        <f aca="false">IF(COUNTBLANK(B42:J42)=9,"",IF(COUNTBLANK(B42:J42)=1,OKText,ErrorText))</f>
        <v>OK</v>
      </c>
      <c r="L42" s="7"/>
      <c r="M42" s="7"/>
      <c r="N42" s="7"/>
      <c r="O42" s="7"/>
      <c r="P42" s="7"/>
      <c r="Q42" s="31"/>
      <c r="R42" s="31"/>
    </row>
    <row r="43" customFormat="false" ht="16.4" hidden="false" customHeight="false" outlineLevel="0" collapsed="false">
      <c r="A43" s="1" t="str">
        <f aca="true">CONCATENATE(INDIRECT(CONCATENATE("B",ROW(A43))), " ", INDIRECT(CONCATENATE("C",ROW(A43))))</f>
        <v>Bel Fuse Inc 0ADAP6000-RE</v>
      </c>
      <c r="B43" s="29" t="s">
        <v>95</v>
      </c>
      <c r="C43" s="21" t="s">
        <v>96</v>
      </c>
      <c r="D43" s="29" t="n">
        <v>600</v>
      </c>
      <c r="E43" s="29" t="s">
        <v>87</v>
      </c>
      <c r="F43" s="29" t="n">
        <v>6</v>
      </c>
      <c r="G43" s="29" t="n">
        <v>12</v>
      </c>
      <c r="H43" s="7" t="s">
        <v>97</v>
      </c>
      <c r="I43" s="7"/>
      <c r="J43" s="7" t="s">
        <v>98</v>
      </c>
      <c r="K43" s="5" t="str">
        <f aca="false">IF(COUNTBLANK(B43:J43)=9,"",IF(COUNTBLANK(B43:J43)=1,OKText,ErrorText))</f>
        <v>OK</v>
      </c>
      <c r="L43" s="7"/>
      <c r="M43" s="7"/>
      <c r="N43" s="7"/>
      <c r="O43" s="7"/>
      <c r="P43" s="7"/>
      <c r="Q43" s="31"/>
      <c r="R43" s="31"/>
    </row>
    <row r="44" customFormat="false" ht="16.4" hidden="false" customHeight="false" outlineLevel="0" collapsed="false">
      <c r="A44" s="1" t="str">
        <f aca="true">CONCATENATE(INDIRECT(CONCATENATE("B",ROW(A44))), " ", INDIRECT(CONCATENATE("C",ROW(A44))))</f>
        <v>Bel Fuse Inc 0ADGC9200-BE</v>
      </c>
      <c r="B44" s="29" t="s">
        <v>95</v>
      </c>
      <c r="C44" s="21" t="s">
        <v>99</v>
      </c>
      <c r="D44" s="29" t="n">
        <v>500</v>
      </c>
      <c r="E44" s="29" t="s">
        <v>87</v>
      </c>
      <c r="F44" s="29" t="n">
        <v>20</v>
      </c>
      <c r="G44" s="29" t="n">
        <v>1000</v>
      </c>
      <c r="H44" s="7" t="s">
        <v>100</v>
      </c>
      <c r="I44" s="7"/>
      <c r="J44" s="7" t="s">
        <v>101</v>
      </c>
      <c r="K44" s="5" t="str">
        <f aca="false">IF(COUNTBLANK(B44:J44)=9,"",IF(COUNTBLANK(B44:J44)=1,OKText,ErrorText))</f>
        <v>OK</v>
      </c>
      <c r="L44" s="7"/>
      <c r="M44" s="7"/>
      <c r="N44" s="7"/>
      <c r="O44" s="7"/>
      <c r="P44" s="7"/>
      <c r="Q44" s="31"/>
      <c r="R44" s="31"/>
    </row>
    <row r="45" customFormat="false" ht="16.4" hidden="false" customHeight="false" outlineLevel="0" collapsed="false">
      <c r="A45" s="1" t="str">
        <f aca="true">CONCATENATE(INDIRECT(CONCATENATE("B",ROW(A45))), " ", INDIRECT(CONCATENATE("C",ROW(A45))))</f>
        <v>Energus Fusible Link</v>
      </c>
      <c r="B45" s="29" t="s">
        <v>59</v>
      </c>
      <c r="C45" s="21" t="s">
        <v>102</v>
      </c>
      <c r="D45" s="29" t="n">
        <v>12</v>
      </c>
      <c r="E45" s="29" t="s">
        <v>87</v>
      </c>
      <c r="F45" s="29" t="n">
        <v>45</v>
      </c>
      <c r="G45" s="29" t="n">
        <v>1000</v>
      </c>
      <c r="H45" s="7" t="s">
        <v>103</v>
      </c>
      <c r="I45" s="7"/>
      <c r="J45" s="7" t="s">
        <v>104</v>
      </c>
      <c r="K45" s="5" t="str">
        <f aca="false">IF(COUNTBLANK(B45:J45)=9,"",IF(COUNTBLANK(B45:J45)=1,OKText,ErrorText))</f>
        <v>OK</v>
      </c>
      <c r="L45" s="7"/>
      <c r="M45" s="7"/>
      <c r="N45" s="7"/>
      <c r="O45" s="7"/>
      <c r="P45" s="7"/>
      <c r="Q45" s="31"/>
      <c r="R45" s="31"/>
    </row>
    <row r="46" customFormat="false" ht="16.4" hidden="false" customHeight="false" outlineLevel="0" collapsed="false">
      <c r="A46" s="1" t="str">
        <f aca="true">CONCATENATE(INDIRECT(CONCATENATE("B",ROW(A46))), " ", INDIRECT(CONCATENATE("C",ROW(A46))))</f>
        <v>Schurter 8020.5011.G</v>
      </c>
      <c r="B46" s="29" t="s">
        <v>105</v>
      </c>
      <c r="C46" s="21" t="s">
        <v>106</v>
      </c>
      <c r="D46" s="29" t="n">
        <v>400</v>
      </c>
      <c r="E46" s="29" t="s">
        <v>87</v>
      </c>
      <c r="F46" s="29" t="n">
        <v>1</v>
      </c>
      <c r="G46" s="29" t="n">
        <v>1500</v>
      </c>
      <c r="H46" s="7" t="s">
        <v>107</v>
      </c>
      <c r="I46" s="7"/>
      <c r="J46" s="7" t="s">
        <v>108</v>
      </c>
      <c r="K46" s="5" t="str">
        <f aca="false">IF(COUNTBLANK(B46:J46)=9,"",IF(COUNTBLANK(B46:J46)=1,OKText,ErrorText))</f>
        <v>OK</v>
      </c>
      <c r="L46" s="7"/>
      <c r="M46" s="7"/>
      <c r="N46" s="7"/>
      <c r="O46" s="7"/>
      <c r="P46" s="7"/>
      <c r="Q46" s="31"/>
      <c r="R46" s="31"/>
    </row>
    <row r="47" customFormat="false" ht="13.5" hidden="false" customHeight="false" outlineLevel="0" collapsed="false">
      <c r="A47" s="1" t="str">
        <f aca="true">CONCATENATE(INDIRECT(CONCATENATE("B",ROW(A47))), " ", INDIRECT(CONCATENATE("C",ROW(A47))))</f>
        <v> </v>
      </c>
      <c r="B47" s="29"/>
      <c r="C47" s="21"/>
      <c r="D47" s="29"/>
      <c r="E47" s="29"/>
      <c r="F47" s="29"/>
      <c r="G47" s="29"/>
      <c r="H47" s="7"/>
      <c r="I47" s="7"/>
      <c r="J47" s="7"/>
      <c r="K47" s="5" t="str">
        <f aca="false">IF(COUNTBLANK(B47:J47)=9,"",IF(COUNTBLANK(B47:J47)=1,OKText,ErrorText))</f>
        <v/>
      </c>
      <c r="L47" s="7"/>
      <c r="M47" s="7"/>
      <c r="N47" s="7"/>
      <c r="O47" s="7"/>
      <c r="P47" s="7"/>
      <c r="Q47" s="31"/>
      <c r="R47" s="31"/>
    </row>
    <row r="48" customFormat="false" ht="13.5" hidden="false" customHeight="false" outlineLevel="0" collapsed="false">
      <c r="A48" s="1" t="str">
        <f aca="true">CONCATENATE(INDIRECT(CONCATENATE("B",ROW(A48))), " ", INDIRECT(CONCATENATE("C",ROW(A48))))</f>
        <v> </v>
      </c>
      <c r="B48" s="29"/>
      <c r="C48" s="21"/>
      <c r="D48" s="29"/>
      <c r="E48" s="29"/>
      <c r="F48" s="29"/>
      <c r="G48" s="29"/>
      <c r="H48" s="7"/>
      <c r="I48" s="7"/>
      <c r="J48" s="7"/>
      <c r="K48" s="5" t="str">
        <f aca="false">IF(COUNTBLANK(B48:J48)=9,"",IF(COUNTBLANK(B48:J48)=1,OKText,ErrorText))</f>
        <v/>
      </c>
      <c r="L48" s="7"/>
      <c r="M48" s="7"/>
      <c r="N48" s="7"/>
      <c r="O48" s="7"/>
      <c r="P48" s="7"/>
      <c r="Q48" s="31"/>
      <c r="R48" s="31"/>
    </row>
    <row r="49" customFormat="false" ht="13.5" hidden="false" customHeight="false" outlineLevel="0" collapsed="false">
      <c r="A49" s="1" t="str">
        <f aca="true">CONCATENATE(INDIRECT(CONCATENATE("B",ROW(A49))), " ", INDIRECT(CONCATENATE("C",ROW(A49))))</f>
        <v> </v>
      </c>
      <c r="B49" s="29"/>
      <c r="C49" s="21"/>
      <c r="D49" s="29"/>
      <c r="E49" s="29"/>
      <c r="F49" s="29"/>
      <c r="G49" s="29"/>
      <c r="H49" s="7"/>
      <c r="I49" s="7"/>
      <c r="J49" s="7"/>
      <c r="K49" s="5" t="str">
        <f aca="false">IF(COUNTBLANK(B49:J49)=9,"",IF(COUNTBLANK(B49:J49)=1,OKText,ErrorText))</f>
        <v/>
      </c>
      <c r="L49" s="7"/>
      <c r="M49" s="7"/>
      <c r="N49" s="7"/>
      <c r="O49" s="7"/>
      <c r="P49" s="7"/>
      <c r="Q49" s="31"/>
      <c r="R49" s="31"/>
    </row>
    <row r="50" customFormat="false" ht="13.5" hidden="false" customHeight="false" outlineLevel="0" collapsed="false">
      <c r="A50" s="1" t="str">
        <f aca="true">CONCATENATE(INDIRECT(CONCATENATE("B",ROW(A50))), " ", INDIRECT(CONCATENATE("C",ROW(A50))))</f>
        <v> </v>
      </c>
      <c r="B50" s="29"/>
      <c r="C50" s="21"/>
      <c r="D50" s="29"/>
      <c r="E50" s="29"/>
      <c r="F50" s="29"/>
      <c r="G50" s="29"/>
      <c r="H50" s="7"/>
      <c r="I50" s="7"/>
      <c r="J50" s="7"/>
      <c r="K50" s="5" t="str">
        <f aca="false">IF(COUNTBLANK(B50:J50)=9,"",IF(COUNTBLANK(B50:J50)=1,OKText,ErrorText))</f>
        <v/>
      </c>
      <c r="L50" s="7"/>
      <c r="M50" s="7"/>
      <c r="N50" s="7"/>
      <c r="O50" s="7"/>
      <c r="P50" s="7"/>
      <c r="Q50" s="31"/>
      <c r="R50" s="31"/>
    </row>
    <row r="51" customFormat="false" ht="13.5" hidden="false" customHeight="false" outlineLevel="0" collapsed="false">
      <c r="A51" s="1" t="str">
        <f aca="true">CONCATENATE(INDIRECT(CONCATENATE("B",ROW(A51))), " ", INDIRECT(CONCATENATE("C",ROW(A51))))</f>
        <v> </v>
      </c>
      <c r="B51" s="29"/>
      <c r="C51" s="21"/>
      <c r="D51" s="29"/>
      <c r="E51" s="29"/>
      <c r="F51" s="29"/>
      <c r="G51" s="29"/>
      <c r="H51" s="7"/>
      <c r="I51" s="7"/>
      <c r="J51" s="7"/>
      <c r="K51" s="5" t="str">
        <f aca="false">IF(COUNTBLANK(B51:J51)=9,"",IF(COUNTBLANK(B51:J51)=1,OKText,ErrorText))</f>
        <v/>
      </c>
      <c r="L51" s="7"/>
      <c r="M51" s="7"/>
      <c r="N51" s="7"/>
      <c r="O51" s="7"/>
      <c r="P51" s="7"/>
      <c r="Q51" s="31"/>
      <c r="R51" s="31"/>
    </row>
    <row r="52" customFormat="false" ht="13.5" hidden="false" customHeight="false" outlineLevel="0" collapsed="false">
      <c r="A52" s="1" t="str">
        <f aca="true">CONCATENATE(INDIRECT(CONCATENATE("B",ROW(A52))), " ", INDIRECT(CONCATENATE("C",ROW(A52))))</f>
        <v> </v>
      </c>
      <c r="B52" s="29"/>
      <c r="C52" s="21"/>
      <c r="D52" s="29"/>
      <c r="E52" s="29"/>
      <c r="F52" s="29"/>
      <c r="G52" s="29"/>
      <c r="H52" s="7"/>
      <c r="I52" s="7"/>
      <c r="J52" s="7"/>
      <c r="K52" s="5" t="str">
        <f aca="false">IF(COUNTBLANK(B52:J52)=9,"",IF(COUNTBLANK(B52:J52)=1,OKText,ErrorText))</f>
        <v/>
      </c>
      <c r="L52" s="7"/>
      <c r="M52" s="7"/>
      <c r="N52" s="7"/>
      <c r="O52" s="7"/>
      <c r="P52" s="7"/>
      <c r="Q52" s="31"/>
      <c r="R52" s="31"/>
    </row>
    <row r="53" customFormat="false" ht="13.5" hidden="false" customHeight="false" outlineLevel="0" collapsed="false">
      <c r="A53" s="1" t="str">
        <f aca="true">CONCATENATE(INDIRECT(CONCATENATE("B",ROW(A53))), " ", INDIRECT(CONCATENATE("C",ROW(A53))))</f>
        <v> </v>
      </c>
    </row>
    <row r="54" customFormat="false" ht="13.5" hidden="false" customHeight="false" outlineLevel="0" collapsed="false">
      <c r="A54" s="1" t="str">
        <f aca="true">CONCATENATE(INDIRECT(CONCATENATE("B",ROW(A54))), " ", INDIRECT(CONCATENATE("C",ROW(A54))))</f>
        <v>Resistors </v>
      </c>
      <c r="B54" s="2" t="s">
        <v>109</v>
      </c>
      <c r="C54" s="2"/>
      <c r="D54" s="2"/>
      <c r="E54" s="2"/>
      <c r="F54" s="2"/>
      <c r="G54" s="2"/>
      <c r="H54" s="2"/>
      <c r="I54" s="2"/>
      <c r="J54" s="2"/>
      <c r="K54" s="2"/>
      <c r="L54" s="2"/>
      <c r="M54" s="2"/>
      <c r="N54" s="5" t="str">
        <f aca="false">IF(COUNTIF(N56:N61, "="&amp;IncompleteText), IncompleteText, IF(COUNTIF(N56:N61, "="&amp;ErrorText), ErrorText, OKText))</f>
        <v>OK</v>
      </c>
    </row>
    <row r="55" customFormat="false" ht="45.75" hidden="false" customHeight="true" outlineLevel="0" collapsed="false">
      <c r="A55" s="1" t="str">
        <f aca="true">CONCATENATE(INDIRECT(CONCATENATE("B",ROW(A55))), " ", INDIRECT(CONCATENATE("C",ROW(A55))))</f>
        <v>Manufacturer Part Number</v>
      </c>
      <c r="B55" s="1" t="s">
        <v>51</v>
      </c>
      <c r="C55" s="24" t="s">
        <v>52</v>
      </c>
      <c r="D55" s="24" t="s">
        <v>81</v>
      </c>
      <c r="E55" s="24" t="s">
        <v>110</v>
      </c>
      <c r="F55" s="24" t="s">
        <v>111</v>
      </c>
      <c r="G55" s="24" t="s">
        <v>112</v>
      </c>
      <c r="H55" s="33" t="s">
        <v>113</v>
      </c>
      <c r="I55" s="33"/>
      <c r="J55" s="33"/>
      <c r="K55" s="25" t="s">
        <v>45</v>
      </c>
      <c r="L55" s="25"/>
      <c r="M55" s="24" t="s">
        <v>57</v>
      </c>
      <c r="N55" s="26"/>
      <c r="O55" s="27" t="s">
        <v>20</v>
      </c>
      <c r="P55" s="27"/>
      <c r="Q55" s="27"/>
      <c r="R55" s="27"/>
      <c r="S55" s="27"/>
      <c r="T55" s="28" t="s">
        <v>58</v>
      </c>
      <c r="U55" s="28"/>
    </row>
    <row r="56" customFormat="false" ht="16.4" hidden="false" customHeight="true" outlineLevel="0" collapsed="false">
      <c r="A56" s="1" t="str">
        <f aca="true">CONCATENATE(INDIRECT(CONCATENATE("B",ROW(A56))), " ", INDIRECT(CONCATENATE("C",ROW(A56))))</f>
        <v>Ohmite B20J750E</v>
      </c>
      <c r="B56" s="21" t="s">
        <v>114</v>
      </c>
      <c r="C56" s="21" t="s">
        <v>115</v>
      </c>
      <c r="D56" s="21" t="n">
        <v>750</v>
      </c>
      <c r="E56" s="21" t="n">
        <v>750</v>
      </c>
      <c r="F56" s="21" t="n">
        <v>20</v>
      </c>
      <c r="G56" s="21" t="n">
        <v>200</v>
      </c>
      <c r="H56" s="34" t="s">
        <v>116</v>
      </c>
      <c r="I56" s="34"/>
      <c r="J56" s="34"/>
      <c r="K56" s="7" t="s">
        <v>117</v>
      </c>
      <c r="L56" s="7"/>
      <c r="M56" s="7" t="s">
        <v>118</v>
      </c>
      <c r="N56" s="5" t="str">
        <f aca="false">IF(COUNTBLANK(B56:M56)=12,IncompleteText,IF(COUNTBLANK(B56:M56)=3,OKText,ErrorText))</f>
        <v>OK</v>
      </c>
      <c r="O56" s="7"/>
      <c r="P56" s="7"/>
      <c r="Q56" s="7"/>
      <c r="R56" s="7"/>
      <c r="S56" s="7"/>
      <c r="T56" s="31" t="s">
        <v>119</v>
      </c>
      <c r="U56" s="31"/>
    </row>
    <row r="57" customFormat="false" ht="13.5" hidden="false" customHeight="true" outlineLevel="0" collapsed="false">
      <c r="A57" s="1" t="str">
        <f aca="true">CONCATENATE(INDIRECT(CONCATENATE("B",ROW(A57))), " ", INDIRECT(CONCATENATE("C",ROW(A57))))</f>
        <v>TE ROX9J30K</v>
      </c>
      <c r="B57" s="29" t="s">
        <v>120</v>
      </c>
      <c r="C57" s="21" t="s">
        <v>121</v>
      </c>
      <c r="D57" s="29" t="n">
        <v>750</v>
      </c>
      <c r="E57" s="29" t="n">
        <v>30000</v>
      </c>
      <c r="F57" s="29" t="n">
        <v>9</v>
      </c>
      <c r="G57" s="29" t="n">
        <v>9</v>
      </c>
      <c r="H57" s="34" t="s">
        <v>116</v>
      </c>
      <c r="I57" s="34"/>
      <c r="J57" s="34"/>
      <c r="K57" s="30" t="s">
        <v>122</v>
      </c>
      <c r="L57" s="30"/>
      <c r="M57" s="7" t="s">
        <v>123</v>
      </c>
      <c r="N57" s="5" t="str">
        <f aca="false">IF(COUNTBLANK(B57:M57)=12,"",IF(COUNTBLANK(B57:M57)=3,OKText,ErrorText))</f>
        <v>OK</v>
      </c>
      <c r="O57" s="7"/>
      <c r="P57" s="7"/>
      <c r="Q57" s="7"/>
      <c r="R57" s="7"/>
      <c r="S57" s="7"/>
      <c r="T57" s="31"/>
      <c r="U57" s="31"/>
    </row>
    <row r="58" customFormat="false" ht="16.4" hidden="false" customHeight="false" outlineLevel="0" collapsed="false">
      <c r="A58" s="1" t="str">
        <f aca="true">CONCATENATE(INDIRECT(CONCATENATE("B",ROW(A58))), " ", INDIRECT(CONCATENATE("C",ROW(A58))))</f>
        <v>TE RR03J1K5TB</v>
      </c>
      <c r="B58" s="29" t="s">
        <v>120</v>
      </c>
      <c r="C58" s="21" t="s">
        <v>124</v>
      </c>
      <c r="D58" s="29" t="n">
        <v>750</v>
      </c>
      <c r="E58" s="29" t="n">
        <v>1500</v>
      </c>
      <c r="F58" s="29" t="n">
        <v>3</v>
      </c>
      <c r="G58" s="29" t="n">
        <v>3</v>
      </c>
      <c r="H58" s="34" t="s">
        <v>116</v>
      </c>
      <c r="I58" s="34"/>
      <c r="J58" s="34"/>
      <c r="K58" s="7" t="s">
        <v>125</v>
      </c>
      <c r="L58" s="7"/>
      <c r="M58" s="7" t="s">
        <v>126</v>
      </c>
      <c r="N58" s="5" t="str">
        <f aca="false">IF(COUNTBLANK(B58:M58)=12,"",IF(COUNTBLANK(B58:M58)=3,OKText,ErrorText))</f>
        <v>OK</v>
      </c>
      <c r="O58" s="7" t="s">
        <v>127</v>
      </c>
      <c r="P58" s="7"/>
      <c r="Q58" s="7"/>
      <c r="R58" s="7"/>
      <c r="S58" s="7"/>
      <c r="T58" s="31"/>
      <c r="U58" s="31"/>
    </row>
    <row r="59" customFormat="false" ht="13.5" hidden="false" customHeight="true" outlineLevel="0" collapsed="false">
      <c r="A59" s="1" t="str">
        <f aca="true">CONCATENATE(INDIRECT(CONCATENATE("B",ROW(A59))), " ", INDIRECT(CONCATENATE("C",ROW(A59))))</f>
        <v> </v>
      </c>
      <c r="B59" s="29"/>
      <c r="C59" s="21"/>
      <c r="D59" s="29"/>
      <c r="E59" s="29"/>
      <c r="F59" s="29"/>
      <c r="G59" s="29"/>
      <c r="H59" s="34"/>
      <c r="I59" s="34"/>
      <c r="J59" s="34"/>
      <c r="K59" s="7"/>
      <c r="L59" s="7"/>
      <c r="M59" s="7"/>
      <c r="N59" s="5" t="str">
        <f aca="false">IF(COUNTBLANK(B59:M59)=12,"",IF(COUNTBLANK(B59:M59)=3,OKText,ErrorText))</f>
        <v/>
      </c>
      <c r="O59" s="7"/>
      <c r="P59" s="7"/>
      <c r="Q59" s="7"/>
      <c r="R59" s="7"/>
      <c r="S59" s="7"/>
      <c r="T59" s="31"/>
      <c r="U59" s="31"/>
    </row>
    <row r="60" customFormat="false" ht="13.5" hidden="false" customHeight="false" outlineLevel="0" collapsed="false">
      <c r="A60" s="1" t="str">
        <f aca="true">CONCATENATE(INDIRECT(CONCATENATE("B",ROW(A60))), " ", INDIRECT(CONCATENATE("C",ROW(A60))))</f>
        <v> </v>
      </c>
      <c r="B60" s="29"/>
      <c r="C60" s="21"/>
      <c r="D60" s="29"/>
      <c r="E60" s="29"/>
      <c r="F60" s="29"/>
      <c r="G60" s="29"/>
      <c r="H60" s="34"/>
      <c r="I60" s="34"/>
      <c r="J60" s="34"/>
      <c r="K60" s="7"/>
      <c r="L60" s="7"/>
      <c r="M60" s="7"/>
      <c r="N60" s="5" t="str">
        <f aca="false">IF(COUNTBLANK(B60:M60)=12,"",IF(COUNTBLANK(B60:M60)=3,OKText,ErrorText))</f>
        <v/>
      </c>
      <c r="O60" s="7"/>
      <c r="P60" s="7"/>
      <c r="Q60" s="7"/>
      <c r="R60" s="7"/>
      <c r="S60" s="7"/>
      <c r="T60" s="31"/>
      <c r="U60" s="31"/>
    </row>
    <row r="61" customFormat="false" ht="13.5" hidden="false" customHeight="true" outlineLevel="0" collapsed="false">
      <c r="A61" s="1" t="str">
        <f aca="true">CONCATENATE(INDIRECT(CONCATENATE("B",ROW(A61))), " ", INDIRECT(CONCATENATE("C",ROW(A61))))</f>
        <v> </v>
      </c>
      <c r="B61" s="29"/>
      <c r="C61" s="21"/>
      <c r="D61" s="29"/>
      <c r="E61" s="29"/>
      <c r="F61" s="29"/>
      <c r="G61" s="29"/>
      <c r="H61" s="34"/>
      <c r="I61" s="34"/>
      <c r="J61" s="34"/>
      <c r="K61" s="7"/>
      <c r="L61" s="7"/>
      <c r="M61" s="7"/>
      <c r="N61" s="5" t="str">
        <f aca="false">IF(COUNTBLANK(B61:M61)=12,"",IF(COUNTBLANK(B61:M61)=3,OKText,ErrorText))</f>
        <v/>
      </c>
      <c r="O61" s="7"/>
      <c r="P61" s="7"/>
      <c r="Q61" s="7"/>
      <c r="R61" s="7"/>
      <c r="S61" s="7"/>
      <c r="T61" s="31"/>
      <c r="U61" s="31"/>
    </row>
    <row r="62" customFormat="false" ht="13.5" hidden="false" customHeight="false" outlineLevel="0" collapsed="false">
      <c r="A62" s="1" t="str">
        <f aca="true">CONCATENATE(INDIRECT(CONCATENATE("B",ROW(A62))), " ", INDIRECT(CONCATENATE("C",ROW(A62))))</f>
        <v> </v>
      </c>
      <c r="N62" s="35"/>
      <c r="O62" s="35"/>
      <c r="P62" s="35"/>
      <c r="Q62" s="35"/>
      <c r="R62" s="35"/>
    </row>
    <row r="63" customFormat="false" ht="13.5" hidden="false" customHeight="false" outlineLevel="0" collapsed="false">
      <c r="A63" s="1" t="str">
        <f aca="true">CONCATENATE(INDIRECT(CONCATENATE("B",ROW(A63))), " ", INDIRECT(CONCATENATE("C",ROW(A63))))</f>
        <v>Contactors/Relays </v>
      </c>
      <c r="B63" s="2" t="s">
        <v>128</v>
      </c>
      <c r="C63" s="2"/>
      <c r="D63" s="2"/>
      <c r="E63" s="2"/>
      <c r="F63" s="2"/>
      <c r="G63" s="2"/>
      <c r="H63" s="2"/>
      <c r="I63" s="2"/>
      <c r="J63" s="2"/>
      <c r="K63" s="5" t="str">
        <f aca="false">IF(COUNTIF(K65:K69, "="&amp;IncompleteText), IncompleteText, IF(COUNTIF(K65:K69, "="&amp;ErrorText), ErrorText, OKText))</f>
        <v>OK</v>
      </c>
    </row>
    <row r="64" customFormat="false" ht="61.15" hidden="false" customHeight="true" outlineLevel="0" collapsed="false">
      <c r="A64" s="1" t="str">
        <f aca="true">CONCATENATE(INDIRECT(CONCATENATE("B",ROW(A64))), " ", INDIRECT(CONCATENATE("C",ROW(A64))))</f>
        <v>Manufacturer Part Number</v>
      </c>
      <c r="B64" s="1" t="s">
        <v>51</v>
      </c>
      <c r="C64" s="24" t="s">
        <v>52</v>
      </c>
      <c r="D64" s="24" t="s">
        <v>129</v>
      </c>
      <c r="E64" s="24" t="s">
        <v>130</v>
      </c>
      <c r="F64" s="24" t="s">
        <v>131</v>
      </c>
      <c r="G64" s="24" t="s">
        <v>132</v>
      </c>
      <c r="H64" s="25" t="s">
        <v>45</v>
      </c>
      <c r="I64" s="25"/>
      <c r="J64" s="24" t="s">
        <v>57</v>
      </c>
      <c r="K64" s="26"/>
      <c r="L64" s="27" t="s">
        <v>20</v>
      </c>
      <c r="M64" s="27"/>
      <c r="N64" s="27"/>
      <c r="O64" s="27"/>
      <c r="P64" s="27"/>
      <c r="Q64" s="28" t="s">
        <v>58</v>
      </c>
      <c r="R64" s="28"/>
    </row>
    <row r="65" customFormat="false" ht="16.4" hidden="false" customHeight="true" outlineLevel="0" collapsed="false">
      <c r="A65" s="1" t="str">
        <f aca="true">CONCATENATE(INDIRECT(CONCATENATE("B",ROW(A65))), " ", INDIRECT(CONCATENATE("C",ROW(A65))))</f>
        <v>TE Connectivity Potter &amp; Brumfield Relays 1462043-3</v>
      </c>
      <c r="B65" s="29" t="s">
        <v>133</v>
      </c>
      <c r="C65" s="21" t="s">
        <v>134</v>
      </c>
      <c r="D65" s="29" t="n">
        <v>220</v>
      </c>
      <c r="E65" s="29" t="n">
        <v>2</v>
      </c>
      <c r="F65" s="29" t="n">
        <v>2</v>
      </c>
      <c r="G65" s="29" t="s">
        <v>135</v>
      </c>
      <c r="H65" s="7" t="s">
        <v>136</v>
      </c>
      <c r="I65" s="7"/>
      <c r="J65" s="7" t="s">
        <v>137</v>
      </c>
      <c r="K65" s="5" t="str">
        <f aca="false">IF(COUNTBLANK(B65:J65)=9,IncompleteText,IF(COUNTBLANK(B65:J65)=1,OKText,ErrorText))</f>
        <v>OK</v>
      </c>
      <c r="L65" s="7" t="s">
        <v>138</v>
      </c>
      <c r="M65" s="7"/>
      <c r="N65" s="7"/>
      <c r="O65" s="7"/>
      <c r="P65" s="7"/>
      <c r="Q65" s="31" t="s">
        <v>139</v>
      </c>
      <c r="R65" s="31"/>
    </row>
    <row r="66" customFormat="false" ht="16.4" hidden="false" customHeight="false" outlineLevel="0" collapsed="false">
      <c r="A66" s="1" t="str">
        <f aca="true">CONCATENATE(INDIRECT(CONCATENATE("B",ROW(A66))), " ", INDIRECT(CONCATENATE("C",ROW(A66))))</f>
        <v>Gigavac GV241BAB</v>
      </c>
      <c r="B66" s="29" t="s">
        <v>140</v>
      </c>
      <c r="C66" s="21" t="s">
        <v>141</v>
      </c>
      <c r="D66" s="29" t="n">
        <v>800</v>
      </c>
      <c r="E66" s="29" t="n">
        <v>325</v>
      </c>
      <c r="F66" s="29" t="n">
        <v>900</v>
      </c>
      <c r="G66" s="29" t="s">
        <v>135</v>
      </c>
      <c r="H66" s="7" t="s">
        <v>142</v>
      </c>
      <c r="I66" s="7"/>
      <c r="J66" s="7" t="s">
        <v>143</v>
      </c>
      <c r="K66" s="5" t="str">
        <f aca="false">IF(COUNTBLANK(B66:J66)=9,"",IF(COUNTBLANK(B66:J66)=1,OKText,ErrorText))</f>
        <v>OK</v>
      </c>
      <c r="L66" s="7"/>
      <c r="M66" s="7"/>
      <c r="N66" s="7"/>
      <c r="O66" s="7"/>
      <c r="P66" s="7"/>
      <c r="Q66" s="31"/>
      <c r="R66" s="31"/>
    </row>
    <row r="67" customFormat="false" ht="16.4" hidden="false" customHeight="false" outlineLevel="0" collapsed="false">
      <c r="A67" s="1" t="str">
        <f aca="true">CONCATENATE(INDIRECT(CONCATENATE("B",ROW(A67))), " ", INDIRECT(CONCATENATE("C",ROW(A67))))</f>
        <v>Gigavac P115-BDA</v>
      </c>
      <c r="B67" s="29" t="s">
        <v>140</v>
      </c>
      <c r="C67" s="21" t="s">
        <v>144</v>
      </c>
      <c r="D67" s="29" t="n">
        <v>1500</v>
      </c>
      <c r="E67" s="29" t="n">
        <v>50</v>
      </c>
      <c r="F67" s="29" t="n">
        <v>200</v>
      </c>
      <c r="G67" s="29" t="s">
        <v>135</v>
      </c>
      <c r="H67" s="7" t="s">
        <v>145</v>
      </c>
      <c r="I67" s="7"/>
      <c r="J67" s="7" t="s">
        <v>118</v>
      </c>
      <c r="K67" s="5" t="str">
        <f aca="false">IF(COUNTBLANK(B67:J67)=9,"",IF(COUNTBLANK(B67:J67)=1,OKText,ErrorText))</f>
        <v>OK</v>
      </c>
      <c r="L67" s="7"/>
      <c r="M67" s="7"/>
      <c r="N67" s="7"/>
      <c r="O67" s="7"/>
      <c r="P67" s="7"/>
      <c r="Q67" s="31"/>
      <c r="R67" s="31"/>
    </row>
    <row r="68" customFormat="false" ht="16.4" hidden="false" customHeight="false" outlineLevel="0" collapsed="false">
      <c r="A68" s="1" t="str">
        <f aca="true">CONCATENATE(INDIRECT(CONCATENATE("B",ROW(A68))), " ", INDIRECT(CONCATENATE("C",ROW(A68))))</f>
        <v>Gigavac PNC113</v>
      </c>
      <c r="B68" s="29" t="s">
        <v>140</v>
      </c>
      <c r="C68" s="21" t="s">
        <v>146</v>
      </c>
      <c r="D68" s="29" t="n">
        <v>1500</v>
      </c>
      <c r="E68" s="29" t="n">
        <v>30</v>
      </c>
      <c r="F68" s="29" t="n">
        <v>200</v>
      </c>
      <c r="G68" s="29" t="s">
        <v>147</v>
      </c>
      <c r="H68" s="7" t="s">
        <v>148</v>
      </c>
      <c r="I68" s="7"/>
      <c r="J68" s="7" t="s">
        <v>149</v>
      </c>
      <c r="K68" s="5" t="str">
        <f aca="false">IF(COUNTBLANK(B68:J68)=9,"",IF(COUNTBLANK(B68:J68)=1,OKText,ErrorText))</f>
        <v>OK</v>
      </c>
      <c r="L68" s="7"/>
      <c r="M68" s="7"/>
      <c r="N68" s="7"/>
      <c r="O68" s="7"/>
      <c r="P68" s="7"/>
      <c r="Q68" s="31"/>
      <c r="R68" s="31"/>
    </row>
    <row r="69" customFormat="false" ht="13.5" hidden="false" customHeight="false" outlineLevel="0" collapsed="false">
      <c r="A69" s="1" t="str">
        <f aca="true">CONCATENATE(INDIRECT(CONCATENATE("B",ROW(A69))), " ", INDIRECT(CONCATENATE("C",ROW(A69))))</f>
        <v> </v>
      </c>
      <c r="B69" s="29"/>
      <c r="C69" s="21"/>
      <c r="D69" s="29"/>
      <c r="E69" s="29"/>
      <c r="F69" s="29"/>
      <c r="G69" s="29"/>
      <c r="H69" s="7"/>
      <c r="I69" s="7"/>
      <c r="J69" s="7"/>
      <c r="K69" s="5" t="str">
        <f aca="false">IF(COUNTBLANK(B69:J69)=9,"",IF(COUNTBLANK(B69:J69)=1,OKText,ErrorText))</f>
        <v/>
      </c>
      <c r="L69" s="7"/>
      <c r="M69" s="7"/>
      <c r="N69" s="7"/>
      <c r="O69" s="7"/>
      <c r="P69" s="7"/>
      <c r="Q69" s="31"/>
      <c r="R69" s="31"/>
    </row>
    <row r="70" customFormat="false" ht="13.5" hidden="false" customHeight="false" outlineLevel="0" collapsed="false">
      <c r="A70" s="1" t="str">
        <f aca="true">CONCATENATE(INDIRECT(CONCATENATE("B",ROW(A70))), " ", INDIRECT(CONCATENATE("C",ROW(A70))))</f>
        <v> </v>
      </c>
    </row>
    <row r="71" customFormat="false" ht="13.5" hidden="false" customHeight="false" outlineLevel="0" collapsed="false">
      <c r="A71" s="1" t="str">
        <f aca="true">CONCATENATE(INDIRECT(CONCATENATE("B",ROW(A71))), " ", INDIRECT(CONCATENATE("C",ROW(A71))))</f>
        <v>Connectors </v>
      </c>
      <c r="B71" s="2" t="s">
        <v>150</v>
      </c>
      <c r="C71" s="2"/>
      <c r="D71" s="2"/>
      <c r="E71" s="2"/>
      <c r="F71" s="2"/>
      <c r="G71" s="2"/>
      <c r="H71" s="2"/>
      <c r="I71" s="2"/>
      <c r="J71" s="5" t="str">
        <f aca="false">IF(COUNTIF(J73:J91, "="&amp;IncompleteText), IncompleteText, IF(COUNTIF(J73:J91, "="&amp;ErrorText), ErrorText, OKText))</f>
        <v>OK</v>
      </c>
    </row>
    <row r="72" customFormat="false" ht="30.75" hidden="false" customHeight="true" outlineLevel="0" collapsed="false">
      <c r="A72" s="1" t="str">
        <f aca="true">CONCATENATE(INDIRECT(CONCATENATE("B",ROW(A72))), " ", INDIRECT(CONCATENATE("C",ROW(A72))))</f>
        <v>Manufacturer Part Number</v>
      </c>
      <c r="B72" s="1" t="s">
        <v>51</v>
      </c>
      <c r="C72" s="24" t="s">
        <v>52</v>
      </c>
      <c r="D72" s="24" t="s">
        <v>81</v>
      </c>
      <c r="E72" s="24" t="s">
        <v>55</v>
      </c>
      <c r="F72" s="24" t="s">
        <v>151</v>
      </c>
      <c r="G72" s="25" t="s">
        <v>45</v>
      </c>
      <c r="H72" s="25"/>
      <c r="I72" s="24" t="s">
        <v>57</v>
      </c>
      <c r="J72" s="26"/>
      <c r="K72" s="27" t="s">
        <v>20</v>
      </c>
      <c r="L72" s="27"/>
      <c r="M72" s="27"/>
      <c r="N72" s="27"/>
      <c r="O72" s="27"/>
      <c r="P72" s="28" t="s">
        <v>58</v>
      </c>
      <c r="Q72" s="28"/>
    </row>
    <row r="73" customFormat="false" ht="16.4" hidden="false" customHeight="true" outlineLevel="0" collapsed="false">
      <c r="A73" s="1" t="str">
        <f aca="true">CONCATENATE(INDIRECT(CONCATENATE("B",ROW(A73))), " ", INDIRECT(CONCATENATE("C",ROW(A73))))</f>
        <v>Amphenol MINIMSDF000R</v>
      </c>
      <c r="B73" s="29" t="s">
        <v>152</v>
      </c>
      <c r="C73" s="21" t="s">
        <v>153</v>
      </c>
      <c r="D73" s="29" t="n">
        <v>1000</v>
      </c>
      <c r="E73" s="29" t="n">
        <v>630</v>
      </c>
      <c r="F73" s="29" t="n">
        <v>50</v>
      </c>
      <c r="G73" s="7" t="s">
        <v>154</v>
      </c>
      <c r="H73" s="7"/>
      <c r="I73" s="7" t="s">
        <v>155</v>
      </c>
      <c r="J73" s="5" t="str">
        <f aca="false">IF(COUNTBLANK(B73:I73)=8,IncompleteText,IF(COUNTBLANK(B73:I73)=1,OKText,ErrorText))</f>
        <v>OK</v>
      </c>
      <c r="K73" s="7"/>
      <c r="L73" s="7"/>
      <c r="M73" s="7"/>
      <c r="N73" s="7"/>
      <c r="O73" s="7"/>
      <c r="P73" s="31" t="s">
        <v>156</v>
      </c>
      <c r="Q73" s="31"/>
    </row>
    <row r="74" customFormat="false" ht="16.4" hidden="false" customHeight="false" outlineLevel="0" collapsed="false">
      <c r="A74" s="1" t="str">
        <f aca="true">CONCATENATE(INDIRECT(CONCATENATE("B",ROW(A74))), " ", INDIRECT(CONCATENATE("C",ROW(A74))))</f>
        <v>Molex 334724001</v>
      </c>
      <c r="B74" s="29" t="s">
        <v>157</v>
      </c>
      <c r="C74" s="21" t="s">
        <v>158</v>
      </c>
      <c r="D74" s="29" t="n">
        <v>14</v>
      </c>
      <c r="E74" s="29" t="n">
        <v>22</v>
      </c>
      <c r="F74" s="29" t="n">
        <v>0.75</v>
      </c>
      <c r="G74" s="7" t="s">
        <v>159</v>
      </c>
      <c r="H74" s="7"/>
      <c r="I74" s="7" t="s">
        <v>160</v>
      </c>
      <c r="J74" s="5" t="str">
        <f aca="false">IF(COUNTBLANK(B74:I74)=8,"",IF(COUNTBLANK(B74:I74)=1,OKText,ErrorText))</f>
        <v>OK</v>
      </c>
      <c r="K74" s="7" t="s">
        <v>161</v>
      </c>
      <c r="L74" s="7"/>
      <c r="M74" s="7"/>
      <c r="N74" s="7"/>
      <c r="O74" s="7"/>
      <c r="P74" s="31"/>
      <c r="Q74" s="31"/>
    </row>
    <row r="75" customFormat="false" ht="16.4" hidden="false" customHeight="false" outlineLevel="0" collapsed="false">
      <c r="A75" s="1" t="str">
        <f aca="true">CONCATENATE(INDIRECT(CONCATENATE("B",ROW(A75))), " ", INDIRECT(CONCATENATE("C",ROW(A75))))</f>
        <v>Mueller BU-P72930-0</v>
      </c>
      <c r="B75" s="29" t="s">
        <v>162</v>
      </c>
      <c r="C75" s="21" t="s">
        <v>163</v>
      </c>
      <c r="D75" s="29" t="n">
        <v>1000</v>
      </c>
      <c r="E75" s="29" t="n">
        <v>36</v>
      </c>
      <c r="F75" s="29" t="n">
        <v>0.35</v>
      </c>
      <c r="G75" s="30" t="s">
        <v>164</v>
      </c>
      <c r="H75" s="30"/>
      <c r="I75" s="7" t="s">
        <v>126</v>
      </c>
      <c r="J75" s="5" t="str">
        <f aca="false">IF(COUNTBLANK(B75:I75)=8,"",IF(COUNTBLANK(B75:I75)=1,OKText,ErrorText))</f>
        <v>OK</v>
      </c>
      <c r="K75" s="7" t="s">
        <v>165</v>
      </c>
      <c r="L75" s="7"/>
      <c r="M75" s="7"/>
      <c r="N75" s="7"/>
      <c r="O75" s="7"/>
      <c r="P75" s="31"/>
      <c r="Q75" s="31"/>
    </row>
    <row r="76" customFormat="false" ht="16.4" hidden="false" customHeight="false" outlineLevel="0" collapsed="false">
      <c r="A76" s="1" t="str">
        <f aca="true">CONCATENATE(INDIRECT(CONCATENATE("B",ROW(A76))), " ", INDIRECT(CONCATENATE("C",ROW(A76))))</f>
        <v>Mueller BU-P72930-2</v>
      </c>
      <c r="B76" s="29" t="s">
        <v>162</v>
      </c>
      <c r="C76" s="21" t="s">
        <v>166</v>
      </c>
      <c r="D76" s="29" t="n">
        <v>1000</v>
      </c>
      <c r="E76" s="29" t="n">
        <v>36</v>
      </c>
      <c r="F76" s="29" t="n">
        <v>0.35</v>
      </c>
      <c r="G76" s="30" t="s">
        <v>164</v>
      </c>
      <c r="H76" s="30"/>
      <c r="I76" s="7" t="s">
        <v>126</v>
      </c>
      <c r="J76" s="5" t="str">
        <f aca="false">IF(COUNTBLANK(B76:I76)=8,"",IF(COUNTBLANK(B76:I76)=1,OKText,ErrorText))</f>
        <v>OK</v>
      </c>
      <c r="K76" s="7" t="s">
        <v>167</v>
      </c>
      <c r="L76" s="7"/>
      <c r="M76" s="7"/>
      <c r="N76" s="7"/>
      <c r="O76" s="7"/>
      <c r="P76" s="31"/>
      <c r="Q76" s="31"/>
    </row>
    <row r="77" customFormat="false" ht="16.4" hidden="false" customHeight="false" outlineLevel="0" collapsed="false">
      <c r="A77" s="1" t="str">
        <f aca="true">CONCATENATE(INDIRECT(CONCATENATE("B",ROW(A77))), " ", INDIRECT(CONCATENATE("C",ROW(A77))))</f>
        <v>Amphenol UPCR012ALS2</v>
      </c>
      <c r="B77" s="29" t="s">
        <v>152</v>
      </c>
      <c r="C77" s="21" t="s">
        <v>168</v>
      </c>
      <c r="D77" s="29" t="n">
        <v>1000</v>
      </c>
      <c r="E77" s="29" t="n">
        <v>120</v>
      </c>
      <c r="F77" s="29" t="n">
        <v>22</v>
      </c>
      <c r="G77" s="7" t="s">
        <v>169</v>
      </c>
      <c r="H77" s="7"/>
      <c r="I77" s="7" t="s">
        <v>170</v>
      </c>
      <c r="J77" s="5" t="str">
        <f aca="false">IF(COUNTBLANK(B77:I77)=8,"",IF(COUNTBLANK(B77:I77)=1,OKText,ErrorText))</f>
        <v>OK</v>
      </c>
      <c r="K77" s="7"/>
      <c r="L77" s="7"/>
      <c r="M77" s="7"/>
      <c r="N77" s="7"/>
      <c r="O77" s="7"/>
      <c r="P77" s="31"/>
      <c r="Q77" s="31"/>
    </row>
    <row r="78" customFormat="false" ht="16.4" hidden="false" customHeight="false" outlineLevel="0" collapsed="false">
      <c r="A78" s="1" t="str">
        <f aca="true">CONCATENATE(INDIRECT(CONCATENATE("B",ROW(A78))), " ", INDIRECT(CONCATENATE("C",ROW(A78))))</f>
        <v>Amphenol UPCR012ALS1</v>
      </c>
      <c r="B78" s="29" t="s">
        <v>152</v>
      </c>
      <c r="C78" s="21" t="s">
        <v>171</v>
      </c>
      <c r="D78" s="29" t="n">
        <v>1000</v>
      </c>
      <c r="E78" s="29" t="n">
        <v>120</v>
      </c>
      <c r="F78" s="29" t="n">
        <v>22</v>
      </c>
      <c r="G78" s="30" t="s">
        <v>169</v>
      </c>
      <c r="H78" s="30"/>
      <c r="I78" s="7" t="s">
        <v>172</v>
      </c>
      <c r="J78" s="5" t="str">
        <f aca="false">IF(COUNTBLANK(B78:I78)=8,"",IF(COUNTBLANK(B78:I78)=1,OKText,ErrorText))</f>
        <v>OK</v>
      </c>
      <c r="K78" s="7" t="s">
        <v>173</v>
      </c>
      <c r="L78" s="7"/>
      <c r="M78" s="7"/>
      <c r="N78" s="7"/>
      <c r="O78" s="7"/>
      <c r="P78" s="31"/>
      <c r="Q78" s="31"/>
    </row>
    <row r="79" customFormat="false" ht="16.4" hidden="false" customHeight="false" outlineLevel="0" collapsed="false">
      <c r="A79" s="1" t="str">
        <f aca="true">CONCATENATE(INDIRECT(CONCATENATE("B",ROW(A79))), " ", INDIRECT(CONCATENATE("C",ROW(A79))))</f>
        <v>TE Connectivity DTM06-12SA</v>
      </c>
      <c r="B79" s="29" t="s">
        <v>174</v>
      </c>
      <c r="C79" s="21" t="s">
        <v>175</v>
      </c>
      <c r="D79" s="29" t="n">
        <v>167</v>
      </c>
      <c r="E79" s="29" t="n">
        <v>7.5</v>
      </c>
      <c r="F79" s="29" t="s">
        <v>176</v>
      </c>
      <c r="G79" s="7" t="s">
        <v>177</v>
      </c>
      <c r="H79" s="7"/>
      <c r="I79" s="7" t="s">
        <v>178</v>
      </c>
      <c r="J79" s="5" t="str">
        <f aca="false">IF(COUNTBLANK(B79:I79)=8,"",IF(COUNTBLANK(B79:I79)=1,OKText,ErrorText))</f>
        <v>OK</v>
      </c>
      <c r="K79" s="7"/>
      <c r="L79" s="7"/>
      <c r="M79" s="7"/>
      <c r="N79" s="7"/>
      <c r="O79" s="7"/>
      <c r="P79" s="31"/>
      <c r="Q79" s="31"/>
    </row>
    <row r="80" customFormat="false" ht="16.4" hidden="false" customHeight="false" outlineLevel="0" collapsed="false">
      <c r="A80" s="1" t="str">
        <f aca="true">CONCATENATE(INDIRECT(CONCATENATE("B",ROW(A80))), " ", INDIRECT(CONCATENATE("C",ROW(A80))))</f>
        <v>TE Connectivity DTM04-12PA-L012</v>
      </c>
      <c r="B80" s="29" t="s">
        <v>174</v>
      </c>
      <c r="C80" s="21" t="s">
        <v>179</v>
      </c>
      <c r="D80" s="29" t="n">
        <v>167</v>
      </c>
      <c r="E80" s="29" t="n">
        <v>7.5</v>
      </c>
      <c r="F80" s="29" t="s">
        <v>176</v>
      </c>
      <c r="G80" s="7" t="s">
        <v>180</v>
      </c>
      <c r="H80" s="7"/>
      <c r="I80" s="7" t="s">
        <v>178</v>
      </c>
      <c r="J80" s="5" t="str">
        <f aca="false">IF(COUNTBLANK(B80:I80)=8,"",IF(COUNTBLANK(B80:I80)=1,OKText,ErrorText))</f>
        <v>OK</v>
      </c>
      <c r="K80" s="7"/>
      <c r="L80" s="7"/>
      <c r="M80" s="7"/>
      <c r="N80" s="7"/>
      <c r="O80" s="7"/>
      <c r="P80" s="31"/>
      <c r="Q80" s="31"/>
    </row>
    <row r="81" customFormat="false" ht="16.4" hidden="false" customHeight="false" outlineLevel="0" collapsed="false">
      <c r="A81" s="1" t="str">
        <f aca="true">CONCATENATE(INDIRECT(CONCATENATE("B",ROW(A81))), " ", INDIRECT(CONCATENATE("C",ROW(A81))))</f>
        <v>TE Connectivity DT04-6P-CL09</v>
      </c>
      <c r="B81" s="29" t="s">
        <v>174</v>
      </c>
      <c r="C81" s="21" t="s">
        <v>181</v>
      </c>
      <c r="D81" s="29" t="n">
        <v>167</v>
      </c>
      <c r="E81" s="29" t="n">
        <v>13</v>
      </c>
      <c r="F81" s="29" t="s">
        <v>176</v>
      </c>
      <c r="G81" s="7" t="s">
        <v>182</v>
      </c>
      <c r="H81" s="7"/>
      <c r="I81" s="7" t="s">
        <v>183</v>
      </c>
      <c r="J81" s="5" t="str">
        <f aca="false">IF(COUNTBLANK(B81:I81)=8,"",IF(COUNTBLANK(B81:I81)=1,OKText,ErrorText))</f>
        <v>OK</v>
      </c>
      <c r="K81" s="7"/>
      <c r="L81" s="7"/>
      <c r="M81" s="7"/>
      <c r="N81" s="7"/>
      <c r="O81" s="7"/>
      <c r="P81" s="31"/>
      <c r="Q81" s="31"/>
    </row>
    <row r="82" customFormat="false" ht="16.4" hidden="false" customHeight="false" outlineLevel="0" collapsed="false">
      <c r="A82" s="1" t="str">
        <f aca="true">CONCATENATE(INDIRECT(CONCATENATE("B",ROW(A82))), " ", INDIRECT(CONCATENATE("C",ROW(A82))))</f>
        <v>TE Connectivity DT06-6S</v>
      </c>
      <c r="B82" s="29" t="s">
        <v>174</v>
      </c>
      <c r="C82" s="21" t="s">
        <v>184</v>
      </c>
      <c r="D82" s="29" t="n">
        <v>167</v>
      </c>
      <c r="E82" s="29" t="n">
        <v>13</v>
      </c>
      <c r="F82" s="29" t="s">
        <v>176</v>
      </c>
      <c r="G82" s="7" t="s">
        <v>185</v>
      </c>
      <c r="H82" s="7"/>
      <c r="I82" s="7" t="s">
        <v>183</v>
      </c>
      <c r="J82" s="5" t="str">
        <f aca="false">IF(COUNTBLANK(B82:I82)=8,"",IF(COUNTBLANK(B82:I82)=1,OKText,ErrorText))</f>
        <v>OK</v>
      </c>
      <c r="K82" s="7"/>
      <c r="L82" s="7"/>
      <c r="M82" s="7"/>
      <c r="N82" s="7"/>
      <c r="O82" s="7"/>
      <c r="P82" s="31"/>
      <c r="Q82" s="31"/>
    </row>
    <row r="83" customFormat="false" ht="13.5" hidden="false" customHeight="false" outlineLevel="0" collapsed="false">
      <c r="A83" s="1" t="str">
        <f aca="true">CONCATENATE(INDIRECT(CONCATENATE("B",ROW(A83))), " ", INDIRECT(CONCATENATE("C",ROW(A83))))</f>
        <v> </v>
      </c>
      <c r="B83" s="29"/>
      <c r="C83" s="21"/>
      <c r="D83" s="29"/>
      <c r="E83" s="29"/>
      <c r="F83" s="29"/>
      <c r="G83" s="7"/>
      <c r="H83" s="7"/>
      <c r="I83" s="7"/>
      <c r="J83" s="5" t="str">
        <f aca="false">IF(COUNTBLANK(B83:I83)=8,"",IF(COUNTBLANK(B83:I83)=1,OKText,ErrorText))</f>
        <v/>
      </c>
      <c r="K83" s="7"/>
      <c r="L83" s="7"/>
      <c r="M83" s="7"/>
      <c r="N83" s="7"/>
      <c r="O83" s="7"/>
      <c r="P83" s="31"/>
      <c r="Q83" s="31"/>
    </row>
    <row r="84" customFormat="false" ht="13.5" hidden="false" customHeight="false" outlineLevel="0" collapsed="false">
      <c r="A84" s="1" t="str">
        <f aca="true">CONCATENATE(INDIRECT(CONCATENATE("B",ROW(A84))), " ", INDIRECT(CONCATENATE("C",ROW(A84))))</f>
        <v> </v>
      </c>
      <c r="B84" s="29"/>
      <c r="C84" s="21"/>
      <c r="D84" s="29"/>
      <c r="E84" s="29"/>
      <c r="F84" s="29"/>
      <c r="G84" s="7"/>
      <c r="H84" s="7"/>
      <c r="I84" s="7"/>
      <c r="J84" s="5" t="str">
        <f aca="false">IF(COUNTBLANK(B84:I84)=8,"",IF(COUNTBLANK(B84:I84)=1,OKText,ErrorText))</f>
        <v/>
      </c>
      <c r="K84" s="7"/>
      <c r="L84" s="7"/>
      <c r="M84" s="7"/>
      <c r="N84" s="7"/>
      <c r="O84" s="7"/>
      <c r="P84" s="31"/>
      <c r="Q84" s="31"/>
    </row>
    <row r="85" customFormat="false" ht="13.5" hidden="false" customHeight="false" outlineLevel="0" collapsed="false">
      <c r="A85" s="1" t="str">
        <f aca="true">CONCATENATE(INDIRECT(CONCATENATE("B",ROW(A85))), " ", INDIRECT(CONCATENATE("C",ROW(A85))))</f>
        <v> </v>
      </c>
      <c r="B85" s="29"/>
      <c r="C85" s="21"/>
      <c r="D85" s="29"/>
      <c r="E85" s="29"/>
      <c r="F85" s="29"/>
      <c r="G85" s="7"/>
      <c r="H85" s="7"/>
      <c r="I85" s="7"/>
      <c r="J85" s="5" t="str">
        <f aca="false">IF(COUNTBLANK(B85:I85)=8,"",IF(COUNTBLANK(B85:I85)=1,OKText,ErrorText))</f>
        <v/>
      </c>
      <c r="K85" s="7"/>
      <c r="L85" s="7"/>
      <c r="M85" s="7"/>
      <c r="N85" s="7"/>
      <c r="O85" s="7"/>
      <c r="P85" s="31"/>
      <c r="Q85" s="31"/>
    </row>
    <row r="86" customFormat="false" ht="13.5" hidden="false" customHeight="false" outlineLevel="0" collapsed="false">
      <c r="A86" s="1" t="str">
        <f aca="true">CONCATENATE(INDIRECT(CONCATENATE("B",ROW(A86))), " ", INDIRECT(CONCATENATE("C",ROW(A86))))</f>
        <v> </v>
      </c>
      <c r="B86" s="29"/>
      <c r="C86" s="21"/>
      <c r="D86" s="29"/>
      <c r="E86" s="29"/>
      <c r="F86" s="29"/>
      <c r="G86" s="7"/>
      <c r="H86" s="7"/>
      <c r="I86" s="7"/>
      <c r="J86" s="5" t="str">
        <f aca="false">IF(COUNTBLANK(B86:I86)=8,"",IF(COUNTBLANK(B86:I86)=1,OKText,ErrorText))</f>
        <v/>
      </c>
      <c r="K86" s="7"/>
      <c r="L86" s="7"/>
      <c r="M86" s="7"/>
      <c r="N86" s="7"/>
      <c r="O86" s="7"/>
      <c r="P86" s="31"/>
      <c r="Q86" s="31"/>
    </row>
    <row r="87" customFormat="false" ht="13.5" hidden="false" customHeight="false" outlineLevel="0" collapsed="false">
      <c r="A87" s="1" t="str">
        <f aca="true">CONCATENATE(INDIRECT(CONCATENATE("B",ROW(A87))), " ", INDIRECT(CONCATENATE("C",ROW(A87))))</f>
        <v> </v>
      </c>
      <c r="B87" s="29"/>
      <c r="C87" s="21"/>
      <c r="D87" s="29"/>
      <c r="E87" s="29"/>
      <c r="F87" s="29"/>
      <c r="G87" s="7"/>
      <c r="H87" s="7"/>
      <c r="I87" s="7"/>
      <c r="J87" s="5" t="str">
        <f aca="false">IF(COUNTBLANK(B87:I87)=8,"",IF(COUNTBLANK(B87:I87)=1,OKText,ErrorText))</f>
        <v/>
      </c>
      <c r="K87" s="7"/>
      <c r="L87" s="7"/>
      <c r="M87" s="7"/>
      <c r="N87" s="7"/>
      <c r="O87" s="7"/>
      <c r="P87" s="31"/>
      <c r="Q87" s="31"/>
    </row>
    <row r="88" customFormat="false" ht="13.5" hidden="false" customHeight="false" outlineLevel="0" collapsed="false">
      <c r="A88" s="1" t="str">
        <f aca="true">CONCATENATE(INDIRECT(CONCATENATE("B",ROW(A88))), " ", INDIRECT(CONCATENATE("C",ROW(A88))))</f>
        <v> </v>
      </c>
      <c r="B88" s="29"/>
      <c r="C88" s="21"/>
      <c r="D88" s="29"/>
      <c r="E88" s="29"/>
      <c r="F88" s="29"/>
      <c r="G88" s="7"/>
      <c r="H88" s="7"/>
      <c r="I88" s="7"/>
      <c r="J88" s="5" t="str">
        <f aca="false">IF(COUNTBLANK(B88:I88)=8,"",IF(COUNTBLANK(B88:I88)=1,OKText,ErrorText))</f>
        <v/>
      </c>
      <c r="K88" s="7"/>
      <c r="L88" s="7"/>
      <c r="M88" s="7"/>
      <c r="N88" s="7"/>
      <c r="O88" s="7"/>
      <c r="P88" s="31"/>
      <c r="Q88" s="31"/>
    </row>
    <row r="89" customFormat="false" ht="13.5" hidden="false" customHeight="false" outlineLevel="0" collapsed="false">
      <c r="A89" s="1" t="str">
        <f aca="true">CONCATENATE(INDIRECT(CONCATENATE("B",ROW(A89))), " ", INDIRECT(CONCATENATE("C",ROW(A89))))</f>
        <v> </v>
      </c>
      <c r="B89" s="29"/>
      <c r="C89" s="21"/>
      <c r="D89" s="29"/>
      <c r="E89" s="29"/>
      <c r="F89" s="29"/>
      <c r="G89" s="7"/>
      <c r="H89" s="7"/>
      <c r="I89" s="7"/>
      <c r="J89" s="5" t="str">
        <f aca="false">IF(COUNTBLANK(B89:I89)=8,"",IF(COUNTBLANK(B89:I89)=1,OKText,ErrorText))</f>
        <v/>
      </c>
      <c r="K89" s="7"/>
      <c r="L89" s="7"/>
      <c r="M89" s="7"/>
      <c r="N89" s="7"/>
      <c r="O89" s="7"/>
      <c r="P89" s="31"/>
      <c r="Q89" s="31"/>
    </row>
    <row r="90" customFormat="false" ht="13.5" hidden="false" customHeight="false" outlineLevel="0" collapsed="false">
      <c r="A90" s="1" t="str">
        <f aca="true">CONCATENATE(INDIRECT(CONCATENATE("B",ROW(A90))), " ", INDIRECT(CONCATENATE("C",ROW(A90))))</f>
        <v> </v>
      </c>
      <c r="B90" s="29"/>
      <c r="C90" s="21"/>
      <c r="D90" s="29"/>
      <c r="E90" s="29"/>
      <c r="F90" s="29"/>
      <c r="G90" s="7"/>
      <c r="H90" s="7"/>
      <c r="I90" s="7"/>
      <c r="J90" s="5" t="str">
        <f aca="false">IF(COUNTBLANK(B90:I90)=8,"",IF(COUNTBLANK(B90:I90)=1,OKText,ErrorText))</f>
        <v/>
      </c>
      <c r="K90" s="7"/>
      <c r="L90" s="7"/>
      <c r="M90" s="7"/>
      <c r="N90" s="7"/>
      <c r="O90" s="7"/>
      <c r="P90" s="31"/>
      <c r="Q90" s="31"/>
    </row>
    <row r="91" customFormat="false" ht="13.5" hidden="false" customHeight="false" outlineLevel="0" collapsed="false">
      <c r="A91" s="1" t="str">
        <f aca="true">CONCATENATE(INDIRECT(CONCATENATE("B",ROW(A91))), " ", INDIRECT(CONCATENATE("C",ROW(A91))))</f>
        <v> </v>
      </c>
      <c r="B91" s="29"/>
      <c r="C91" s="21"/>
      <c r="D91" s="29"/>
      <c r="E91" s="29"/>
      <c r="F91" s="29"/>
      <c r="G91" s="7"/>
      <c r="H91" s="7"/>
      <c r="I91" s="7"/>
      <c r="J91" s="5" t="str">
        <f aca="false">IF(COUNTBLANK(B91:I91)=8,"",IF(COUNTBLANK(B91:I91)=1,OKText,ErrorText))</f>
        <v/>
      </c>
      <c r="K91" s="7"/>
      <c r="L91" s="7"/>
      <c r="M91" s="7"/>
      <c r="N91" s="7"/>
      <c r="O91" s="7"/>
      <c r="P91" s="31"/>
      <c r="Q91" s="31"/>
    </row>
    <row r="92" customFormat="false" ht="13.5" hidden="false" customHeight="false" outlineLevel="0" collapsed="false">
      <c r="A92" s="1" t="str">
        <f aca="true">CONCATENATE(INDIRECT(CONCATENATE("B",ROW(A92))), " ", INDIRECT(CONCATENATE("C",ROW(A92))))</f>
        <v> </v>
      </c>
    </row>
    <row r="93" customFormat="false" ht="13.5" hidden="false" customHeight="false" outlineLevel="0" collapsed="false">
      <c r="A93" s="1" t="str">
        <f aca="true">CONCATENATE(INDIRECT(CONCATENATE("B",ROW(A93))), " ", INDIRECT(CONCATENATE("C",ROW(A93))))</f>
        <v>Insulating Materials </v>
      </c>
      <c r="B93" s="2" t="s">
        <v>186</v>
      </c>
      <c r="C93" s="2"/>
      <c r="D93" s="2"/>
      <c r="E93" s="2"/>
      <c r="F93" s="2"/>
      <c r="G93" s="2"/>
      <c r="H93" s="2"/>
      <c r="I93" s="2"/>
      <c r="J93" s="2"/>
      <c r="K93" s="2"/>
      <c r="L93" s="5" t="str">
        <f aca="false">IF(COUNTIF(L95:L104, "="&amp;IncompleteText), IncompleteText, IF(COUNTIF(L95:L104, "="&amp;ErrorText), ErrorText, OKText))</f>
        <v>OK</v>
      </c>
    </row>
    <row r="94" customFormat="false" ht="46.25" hidden="false" customHeight="true" outlineLevel="0" collapsed="false">
      <c r="A94" s="1" t="str">
        <f aca="true">CONCATENATE(INDIRECT(CONCATENATE("B",ROW(A94))), " ", INDIRECT(CONCATENATE("C",ROW(A94))))</f>
        <v>Manufacturer Part Number</v>
      </c>
      <c r="B94" s="1" t="s">
        <v>51</v>
      </c>
      <c r="C94" s="24" t="s">
        <v>52</v>
      </c>
      <c r="D94" s="24" t="s">
        <v>187</v>
      </c>
      <c r="E94" s="24" t="s">
        <v>188</v>
      </c>
      <c r="F94" s="24" t="s">
        <v>189</v>
      </c>
      <c r="G94" s="24" t="s">
        <v>56</v>
      </c>
      <c r="H94" s="36" t="s">
        <v>190</v>
      </c>
      <c r="I94" s="25" t="s">
        <v>45</v>
      </c>
      <c r="J94" s="25"/>
      <c r="K94" s="24" t="s">
        <v>57</v>
      </c>
      <c r="L94" s="26"/>
      <c r="M94" s="27" t="s">
        <v>20</v>
      </c>
      <c r="N94" s="27"/>
      <c r="O94" s="27"/>
      <c r="P94" s="27"/>
      <c r="Q94" s="27"/>
      <c r="R94" s="28" t="s">
        <v>58</v>
      </c>
      <c r="S94" s="28"/>
    </row>
    <row r="95" customFormat="false" ht="16.4" hidden="false" customHeight="true" outlineLevel="0" collapsed="false">
      <c r="A95" s="1" t="str">
        <f aca="true">CONCATENATE(INDIRECT(CONCATENATE("B",ROW(A95))), " ", INDIRECT(CONCATENATE("C",ROW(A95))))</f>
        <v>DuPont 845</v>
      </c>
      <c r="B95" s="21" t="s">
        <v>191</v>
      </c>
      <c r="C95" s="21" t="s">
        <v>192</v>
      </c>
      <c r="D95" s="29" t="n">
        <v>0.25</v>
      </c>
      <c r="E95" s="29" t="n">
        <v>33000</v>
      </c>
      <c r="F95" s="37" t="n">
        <f aca="false">IF(OR(ISBLANK(D95),ISBLANK(E95)), "", D95*E95)</f>
        <v>8250</v>
      </c>
      <c r="G95" s="29" t="n">
        <v>400</v>
      </c>
      <c r="H95" s="21" t="s">
        <v>193</v>
      </c>
      <c r="I95" s="7" t="s">
        <v>194</v>
      </c>
      <c r="J95" s="7"/>
      <c r="K95" s="7" t="s">
        <v>195</v>
      </c>
      <c r="L95" s="5" t="str">
        <f aca="false">IF(COUNTBLANK(B95:K95)=10,IncompleteText,IF(AND(COUNTBLANK(B95:K95)=1,G95&gt;=90),OKText,ErrorText))</f>
        <v>OK</v>
      </c>
      <c r="M95" s="7" t="s">
        <v>196</v>
      </c>
      <c r="N95" s="7"/>
      <c r="O95" s="7"/>
      <c r="P95" s="7"/>
      <c r="Q95" s="7"/>
      <c r="R95" s="31" t="s">
        <v>197</v>
      </c>
      <c r="S95" s="31"/>
    </row>
    <row r="96" customFormat="false" ht="13.5" hidden="false" customHeight="false" outlineLevel="0" collapsed="false">
      <c r="A96" s="1" t="str">
        <f aca="true">CONCATENATE(INDIRECT(CONCATENATE("B",ROW(A96))), " ", INDIRECT(CONCATENATE("C",ROW(A96))))</f>
        <v> </v>
      </c>
      <c r="B96" s="29"/>
      <c r="C96" s="21"/>
      <c r="D96" s="29"/>
      <c r="E96" s="29"/>
      <c r="F96" s="37" t="str">
        <f aca="false">IF(OR(ISBLANK(D96),ISBLANK(E96)), "", D96*E96)</f>
        <v/>
      </c>
      <c r="G96" s="29"/>
      <c r="H96" s="21"/>
      <c r="I96" s="7"/>
      <c r="J96" s="7"/>
      <c r="K96" s="7"/>
      <c r="L96" s="5" t="str">
        <f aca="false">IF(COUNTBLANK(B96:K96)=10,"",IF(AND(COUNTBLANK(B96:K96)=1,G96&gt;=90),OKText,ErrorText))</f>
        <v/>
      </c>
      <c r="M96" s="7"/>
      <c r="N96" s="7"/>
      <c r="O96" s="7"/>
      <c r="P96" s="7"/>
      <c r="Q96" s="7"/>
      <c r="R96" s="31"/>
      <c r="S96" s="31"/>
    </row>
    <row r="97" customFormat="false" ht="13.5" hidden="false" customHeight="false" outlineLevel="0" collapsed="false">
      <c r="A97" s="1" t="str">
        <f aca="true">CONCATENATE(INDIRECT(CONCATENATE("B",ROW(A97))), " ", INDIRECT(CONCATENATE("C",ROW(A97))))</f>
        <v> </v>
      </c>
      <c r="B97" s="29"/>
      <c r="C97" s="21"/>
      <c r="D97" s="29"/>
      <c r="E97" s="29"/>
      <c r="F97" s="37" t="str">
        <f aca="false">IF(OR(ISBLANK(D97),ISBLANK(E97)), "", D97*E97)</f>
        <v/>
      </c>
      <c r="G97" s="29"/>
      <c r="H97" s="21"/>
      <c r="I97" s="7"/>
      <c r="J97" s="7"/>
      <c r="K97" s="7"/>
      <c r="L97" s="5" t="str">
        <f aca="false">IF(COUNTBLANK(B97:K97)=10,"",IF(AND(COUNTBLANK(B97:K97)=1,G97&gt;=90),OKText,ErrorText))</f>
        <v/>
      </c>
      <c r="M97" s="7"/>
      <c r="N97" s="7"/>
      <c r="O97" s="7"/>
      <c r="P97" s="7"/>
      <c r="Q97" s="7"/>
      <c r="R97" s="31"/>
      <c r="S97" s="31"/>
    </row>
    <row r="98" customFormat="false" ht="13.5" hidden="false" customHeight="false" outlineLevel="0" collapsed="false">
      <c r="A98" s="1" t="str">
        <f aca="true">CONCATENATE(INDIRECT(CONCATENATE("B",ROW(A98))), " ", INDIRECT(CONCATENATE("C",ROW(A98))))</f>
        <v> </v>
      </c>
      <c r="B98" s="29"/>
      <c r="C98" s="21"/>
      <c r="D98" s="29"/>
      <c r="E98" s="29"/>
      <c r="F98" s="37" t="str">
        <f aca="false">IF(OR(ISBLANK(D98),ISBLANK(E98)), "", D98*E98)</f>
        <v/>
      </c>
      <c r="G98" s="29"/>
      <c r="H98" s="21"/>
      <c r="I98" s="7"/>
      <c r="J98" s="7"/>
      <c r="K98" s="7"/>
      <c r="L98" s="5" t="str">
        <f aca="false">IF(COUNTBLANK(B98:K98)=10,"",IF(AND(COUNTBLANK(B98:K98)=1,G98&gt;=90),OKText,ErrorText))</f>
        <v/>
      </c>
      <c r="M98" s="7"/>
      <c r="N98" s="7"/>
      <c r="O98" s="7"/>
      <c r="P98" s="7"/>
      <c r="Q98" s="7"/>
      <c r="R98" s="31"/>
      <c r="S98" s="31"/>
    </row>
    <row r="99" customFormat="false" ht="13.5" hidden="false" customHeight="false" outlineLevel="0" collapsed="false">
      <c r="A99" s="1" t="str">
        <f aca="true">CONCATENATE(INDIRECT(CONCATENATE("B",ROW(A99))), " ", INDIRECT(CONCATENATE("C",ROW(A99))))</f>
        <v> </v>
      </c>
      <c r="B99" s="29"/>
      <c r="C99" s="21"/>
      <c r="D99" s="29"/>
      <c r="E99" s="29"/>
      <c r="F99" s="37" t="str">
        <f aca="false">IF(OR(ISBLANK(D99),ISBLANK(E99)), "", D99*E99)</f>
        <v/>
      </c>
      <c r="G99" s="29"/>
      <c r="H99" s="21"/>
      <c r="I99" s="7"/>
      <c r="J99" s="7"/>
      <c r="K99" s="7"/>
      <c r="L99" s="5" t="str">
        <f aca="false">IF(COUNTBLANK(B99:K99)=10,"",IF(AND(COUNTBLANK(B99:K99)=1,G99&gt;=90),OKText,ErrorText))</f>
        <v/>
      </c>
      <c r="M99" s="7"/>
      <c r="N99" s="7"/>
      <c r="O99" s="7"/>
      <c r="P99" s="7"/>
      <c r="Q99" s="7"/>
      <c r="R99" s="31"/>
      <c r="S99" s="31"/>
    </row>
    <row r="100" customFormat="false" ht="13.5" hidden="false" customHeight="false" outlineLevel="0" collapsed="false">
      <c r="A100" s="1" t="str">
        <f aca="true">CONCATENATE(INDIRECT(CONCATENATE("B",ROW(A100))), " ", INDIRECT(CONCATENATE("C",ROW(A100))))</f>
        <v> </v>
      </c>
      <c r="B100" s="29"/>
      <c r="C100" s="21"/>
      <c r="D100" s="29"/>
      <c r="E100" s="29"/>
      <c r="F100" s="37" t="str">
        <f aca="false">IF(OR(ISBLANK(D100),ISBLANK(E100)), "", D100*E100)</f>
        <v/>
      </c>
      <c r="G100" s="29"/>
      <c r="H100" s="21"/>
      <c r="I100" s="7"/>
      <c r="J100" s="7"/>
      <c r="K100" s="7"/>
      <c r="L100" s="5" t="str">
        <f aca="false">IF(COUNTBLANK(B100:K100)=10,"",IF(AND(COUNTBLANK(B100:K100)=1,G100&gt;=90),OKText,ErrorText))</f>
        <v/>
      </c>
      <c r="M100" s="7"/>
      <c r="N100" s="7"/>
      <c r="O100" s="7"/>
      <c r="P100" s="7"/>
      <c r="Q100" s="7"/>
      <c r="R100" s="31"/>
      <c r="S100" s="31"/>
    </row>
    <row r="101" customFormat="false" ht="13.5" hidden="false" customHeight="false" outlineLevel="0" collapsed="false">
      <c r="A101" s="1" t="str">
        <f aca="true">CONCATENATE(INDIRECT(CONCATENATE("B",ROW(A101))), " ", INDIRECT(CONCATENATE("C",ROW(A101))))</f>
        <v> </v>
      </c>
      <c r="B101" s="29"/>
      <c r="C101" s="21"/>
      <c r="D101" s="29"/>
      <c r="E101" s="29"/>
      <c r="F101" s="37" t="str">
        <f aca="false">IF(OR(ISBLANK(D101),ISBLANK(E101)), "", D101*E101)</f>
        <v/>
      </c>
      <c r="G101" s="29"/>
      <c r="H101" s="21"/>
      <c r="I101" s="7"/>
      <c r="J101" s="7"/>
      <c r="K101" s="7"/>
      <c r="L101" s="5" t="str">
        <f aca="false">IF(COUNTBLANK(B101:K101)=10,"",IF(AND(COUNTBLANK(B101:K101)=1,G101&gt;=90),OKText,ErrorText))</f>
        <v/>
      </c>
      <c r="M101" s="7"/>
      <c r="N101" s="7"/>
      <c r="O101" s="7"/>
      <c r="P101" s="7"/>
      <c r="Q101" s="7"/>
      <c r="R101" s="31"/>
      <c r="S101" s="31"/>
    </row>
    <row r="102" customFormat="false" ht="13.5" hidden="false" customHeight="false" outlineLevel="0" collapsed="false">
      <c r="A102" s="1" t="str">
        <f aca="true">CONCATENATE(INDIRECT(CONCATENATE("B",ROW(A102))), " ", INDIRECT(CONCATENATE("C",ROW(A102))))</f>
        <v> </v>
      </c>
      <c r="B102" s="29"/>
      <c r="C102" s="21"/>
      <c r="D102" s="29"/>
      <c r="E102" s="29"/>
      <c r="F102" s="37" t="str">
        <f aca="false">IF(OR(ISBLANK(D102),ISBLANK(E102)), "", D102*E102)</f>
        <v/>
      </c>
      <c r="G102" s="29"/>
      <c r="H102" s="21"/>
      <c r="I102" s="7"/>
      <c r="J102" s="7"/>
      <c r="K102" s="7"/>
      <c r="L102" s="5" t="str">
        <f aca="false">IF(COUNTBLANK(B102:K102)=10,"",IF(AND(COUNTBLANK(B102:K102)=1,G102&gt;=90),OKText,ErrorText))</f>
        <v/>
      </c>
      <c r="M102" s="7"/>
      <c r="N102" s="7"/>
      <c r="O102" s="7"/>
      <c r="P102" s="7"/>
      <c r="Q102" s="7"/>
      <c r="R102" s="31"/>
      <c r="S102" s="31"/>
    </row>
    <row r="103" customFormat="false" ht="13.5" hidden="false" customHeight="false" outlineLevel="0" collapsed="false">
      <c r="A103" s="1" t="str">
        <f aca="true">CONCATENATE(INDIRECT(CONCATENATE("B",ROW(A103))), " ", INDIRECT(CONCATENATE("C",ROW(A103))))</f>
        <v> </v>
      </c>
      <c r="B103" s="29"/>
      <c r="C103" s="21"/>
      <c r="D103" s="29"/>
      <c r="E103" s="29"/>
      <c r="F103" s="37" t="str">
        <f aca="false">IF(OR(ISBLANK(D103),ISBLANK(E103)), "", D103*E103)</f>
        <v/>
      </c>
      <c r="G103" s="29"/>
      <c r="H103" s="21"/>
      <c r="I103" s="7"/>
      <c r="J103" s="7"/>
      <c r="K103" s="7"/>
      <c r="L103" s="5" t="str">
        <f aca="false">IF(COUNTBLANK(B103:K103)=10,"",IF(AND(COUNTBLANK(B103:K103)=1,G103&gt;=90),OKText,ErrorText))</f>
        <v/>
      </c>
      <c r="M103" s="7"/>
      <c r="N103" s="7"/>
      <c r="O103" s="7"/>
      <c r="P103" s="7"/>
      <c r="Q103" s="7"/>
      <c r="R103" s="31"/>
      <c r="S103" s="31"/>
    </row>
    <row r="104" customFormat="false" ht="13.5" hidden="false" customHeight="false" outlineLevel="0" collapsed="false">
      <c r="A104" s="1" t="str">
        <f aca="true">CONCATENATE(INDIRECT(CONCATENATE("B",ROW(A104))), " ", INDIRECT(CONCATENATE("C",ROW(A104))))</f>
        <v> </v>
      </c>
      <c r="B104" s="29"/>
      <c r="C104" s="21"/>
      <c r="D104" s="29"/>
      <c r="E104" s="29"/>
      <c r="F104" s="37" t="str">
        <f aca="false">IF(OR(ISBLANK(D104),ISBLANK(E104)), "", D104*E104)</f>
        <v/>
      </c>
      <c r="G104" s="29"/>
      <c r="H104" s="21"/>
      <c r="I104" s="7"/>
      <c r="J104" s="7"/>
      <c r="K104" s="7"/>
      <c r="L104" s="5" t="str">
        <f aca="false">IF(COUNTBLANK(B104:K104)=10,"",IF(AND(COUNTBLANK(B104:K104)=1,G104&gt;=90),OKText,ErrorText))</f>
        <v/>
      </c>
      <c r="M104" s="7"/>
      <c r="N104" s="7"/>
      <c r="O104" s="7"/>
      <c r="P104" s="7"/>
      <c r="Q104" s="7"/>
      <c r="R104" s="31"/>
      <c r="S104" s="31"/>
    </row>
  </sheetData>
  <mergeCells count="199">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L27:P27"/>
    <mergeCell ref="H28:I28"/>
    <mergeCell ref="L28:P28"/>
    <mergeCell ref="H29:I29"/>
    <mergeCell ref="L29:P29"/>
    <mergeCell ref="H30:I30"/>
    <mergeCell ref="L30:P30"/>
    <mergeCell ref="H31:I31"/>
    <mergeCell ref="L31:P31"/>
    <mergeCell ref="H32:I32"/>
    <mergeCell ref="L32:P32"/>
    <mergeCell ref="H33:I33"/>
    <mergeCell ref="L33:P33"/>
    <mergeCell ref="H34:I34"/>
    <mergeCell ref="L34:P34"/>
    <mergeCell ref="H35:I35"/>
    <mergeCell ref="L35:P35"/>
    <mergeCell ref="H36:I36"/>
    <mergeCell ref="L36:P36"/>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L49:P49"/>
    <mergeCell ref="H50:I50"/>
    <mergeCell ref="L50:P50"/>
    <mergeCell ref="H51:I51"/>
    <mergeCell ref="L51:P51"/>
    <mergeCell ref="H52:I52"/>
    <mergeCell ref="L52:P52"/>
    <mergeCell ref="B54:L54"/>
    <mergeCell ref="H55:J55"/>
    <mergeCell ref="K55:L55"/>
    <mergeCell ref="O55:S55"/>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K82:O82"/>
    <mergeCell ref="G83:H83"/>
    <mergeCell ref="K83:O83"/>
    <mergeCell ref="G84:H84"/>
    <mergeCell ref="K84:O84"/>
    <mergeCell ref="G85:H85"/>
    <mergeCell ref="K85:O85"/>
    <mergeCell ref="G86:H86"/>
    <mergeCell ref="K86:O86"/>
    <mergeCell ref="G87:H87"/>
    <mergeCell ref="K87:O87"/>
    <mergeCell ref="G88:H88"/>
    <mergeCell ref="K88:O88"/>
    <mergeCell ref="G89:H89"/>
    <mergeCell ref="K89:O89"/>
    <mergeCell ref="G90:H90"/>
    <mergeCell ref="K90:O90"/>
    <mergeCell ref="G91:H91"/>
    <mergeCell ref="K91:O91"/>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M104:Q104"/>
  </mergeCells>
  <dataValidations count="3">
    <dataValidation allowBlank="true" errorStyle="stop" operator="between" showDropDown="false" showErrorMessage="true" showInputMessage="true" sqref="E41:E52" type="list">
      <formula1>"AC,DC"</formula1>
      <formula2>0</formula2>
    </dataValidation>
    <dataValidation allowBlank="true" errorStyle="stop" operator="between" showDropDown="false" showErrorMessage="true" showInputMessage="true" sqref="J37" type="custom">
      <formula1>COUNTIF(J37,"ts*")+COUNTIF(J37,"glv*")</formula1>
      <formula2>0</formula2>
    </dataValidation>
    <dataValidation allowBlank="true" errorStyle="stop" operator="between" showDropDown="false" showErrorMessage="true" showInputMessage="true" sqref="G65:G69" type="list">
      <formula1>"NO,NC"</formula1>
      <formula2>0</formula2>
    </dataValidation>
  </dataValidations>
  <hyperlinks>
    <hyperlink ref="D13" r:id="rId2" display="https://www.imrbatteries.com/content/sony_us18650vtc6-2.pdf"/>
    <hyperlink ref="D14" r:id="rId3" display="https://www.murata.com/-/media/webrenewal/products/batteries/cylindrical/pdf-sds/us18650vtc6-sds.ashx?la=en-US&amp;cvid=20210215080000000000"/>
    <hyperlink ref="H19" r:id="rId4" display="https://www.energusps.com/page/technology"/>
    <hyperlink ref="H22" r:id="rId5" display="https://www.champcable.com/wp-content/uploads/2018/08/212.-SAE-EXRAD-150-HVFX-XLE-Shielded-Battery-Cable.pdf"/>
    <hyperlink ref="H23" r:id="rId6" display="https://www.champcable.com/wp-content/uploads/2018/08/212.-SAE-EXRAD-150-HVFX-XLE-Shielded-Battery-Cable.pdf"/>
    <hyperlink ref="H24" r:id="rId7" display="https://www.champcable.com/wp-content/uploads/2018/08/212.-SAE-EXRAD-150-HVFX-XLE-Shielded-Battery-Cable.pdf"/>
    <hyperlink ref="H25" r:id="rId8" display="https://www.champcable.com/wp-content/uploads/2018/08/212.-SAE-EXRAD-150-HVFX-XLE-Shielded-Battery-Cable.pdf"/>
    <hyperlink ref="H26" r:id="rId9" display="https://www.champcable.com/wp-content/uploads/2018/08/212.-SAE-EXRAD-150-HVFX-XLE-Shielded-Battery-Cable.pdf"/>
    <hyperlink ref="H27" r:id="rId10" display="https://www.champcable.com/wp-content/uploads/2018/08/212.-SAE-EXRAD-150-HVFX-XLE-Shielded-Battery-Cable.pdf"/>
    <hyperlink ref="H28" r:id="rId11" display="https://www.eaton.com/content/dam/eaton/products/electronic-components/resources/data-sheet/eaton-pcs-fuse-holder-data-sheet.pdf"/>
    <hyperlink ref="H41" r:id="rId12" display="https://www.eaton.com/content/dam/eaton/products/electronic-components/resources/data-sheet/eaton-pc-tron-subminiature-radial-leaded-fuses-data-sheet.pdf"/>
    <hyperlink ref="H42" r:id="rId13" display="https://www.grainger.com/ec/pdf/6XPF4_1.pdf"/>
    <hyperlink ref="H43" r:id="rId14" display="https://www.belfuse.com/resources/datasheets/circuitprotection/ds-cp-0adax-series.pdf"/>
    <hyperlink ref="H44" r:id="rId15" display="https://www.belfuse.com/resources/datasheets/circuitprotection/ds-CP-0ADG-series.pdf"/>
    <hyperlink ref="H45" r:id="rId16" display="https://www.energusps.com/web/binary/saveas?filename_field=datas_fname&amp;field=datas&amp;model=ir.attachment&amp;id=4223"/>
    <hyperlink ref="H46" r:id="rId17" display="https://us.schurter.com/en/datasheet/typ_SHT_6.3x32.pdf"/>
    <hyperlink ref="K56" r:id="rId18" display="https://www.ohmite.com/assets/docs/res_200.pdf?r=false"/>
    <hyperlink ref="K57" r:id="rId19" display="https://www.te.com/usa-en/product-6-2176416-7.datasheet.pdf"/>
    <hyperlink ref="K58" r:id="rId20" display="https://www.te.com/usa-en/product-8-1879354-9.datasheet.pdf"/>
    <hyperlink ref="H65" r:id="rId21" display="https://www.te.com/commerce/DocumentDelivery/DDEController?Action=srchrtrv&amp;DocNm=1462043-2&amp;DocType=Customer+Drawing&amp;DocLang=English"/>
    <hyperlink ref="H66" r:id="rId22" display="https://www.sensata.com/sites/default/files/a/sensata-gigavac-gv24-sereies-800v-contactors-datasheet.pdf"/>
    <hyperlink ref="H67" r:id="rId23" display="https://www.sensata.com/sites/default/files/a/sensata-gigavac-p115-series-minitactor-contactors-datasheet.pdf"/>
    <hyperlink ref="H68" r:id="rId24" display="https://www.sensata.com/sites/default/files/a/sensata-gigavac-pnc113-series-minitactor-contactors-datasheet.pdf"/>
    <hyperlink ref="G73" r:id="rId25"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hyperlink ref="G74" r:id="rId26" display="https://www.molex.com/webdocs/datasheets/pdf/en-us/0334724001_CRIMP_HOUSINGS.pdf"/>
    <hyperlink ref="G75" r:id="rId27" display="https://www.muellerelectric.com/product_files/986/DS-BU-P72930-@.pdf"/>
    <hyperlink ref="G76" r:id="rId28" display="https://www.muellerelectric.com/product_files/986/DS-BU-P72930-@.pdf"/>
    <hyperlink ref="G77" r:id="rId29" display="https://www.farnell.com/datasheets/2013715.pdf"/>
    <hyperlink ref="G78" r:id="rId30" display="https://www.farnell.com/datasheets/2013715.pdf"/>
    <hyperlink ref="G79" r:id="rId31" display="https://www.te.com/usa-en/product-DTM06-12SA.datasheet.pdf"/>
    <hyperlink ref="G80" r:id="rId32" display="https://www.te.com/usa-en/product-DTM04-12PA-L012.datasheet.pdf"/>
    <hyperlink ref="G81" r:id="rId33" display="https://www.te.com/usa-en/product-DT04-6P-CL09.datasheet.pdf"/>
    <hyperlink ref="G82" r:id="rId34" display="https://www.te.com/usa-en/product-DT06-6S.datasheet.pdf"/>
    <hyperlink ref="I95" r:id="rId35" display="https://www.dupont.com/content/dam/dupont/amer/us/en/safety/public/documents/en/DPT16_21668_Nomex_410_Tech_Data_Sheet_me03_REFERENC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legacyDrawing r:id="rId3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54"/>
  <sheetViews>
    <sheetView showFormulas="false" showGridLines="true" showRowColHeaders="true" showZeros="true" rightToLeft="false" tabSelected="false" showOutlineSymbols="true" defaultGridColor="true" view="normal" topLeftCell="K1" colorId="64" zoomScale="75" zoomScaleNormal="75" zoomScalePageLayoutView="100" workbookViewId="0">
      <pane xSplit="0" ySplit="1" topLeftCell="A14" activePane="bottomLeft" state="frozen"/>
      <selection pane="topLeft" activeCell="K1" activeCellId="0" sqref="K1"/>
      <selection pane="bottomLeft" activeCell="O36" activeCellId="0" sqref="O36"/>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9.14"/>
    <col collapsed="false" customWidth="false" hidden="false" outlineLevel="0" max="16384" min="6" style="1" width="8.72"/>
  </cols>
  <sheetData>
    <row r="1" customFormat="false" ht="13.5" hidden="false" customHeight="false" outlineLevel="0" collapsed="false">
      <c r="A1" s="19" t="s">
        <v>1</v>
      </c>
      <c r="B1" s="5" t="str">
        <f aca="true" t="array" ref="B1:B1">IF(SUM(COUNTIF(INDIRECT({"'TS Schematics'!$K$28","'TS Schematics'!$W$28","'TS Schematics'!$K$46"}), "="&amp;IncompleteText)), IncompleteText, IF(SUM(COUNTIF(INDIRECT({"'TS Schematics'!$K$28","'TS Schematics'!$W$28","'TS Schematics'!$K$46"}), "="&amp;ErrorText)), ErrorText, OKText))</f>
        <v>OK</v>
      </c>
    </row>
    <row r="2" customFormat="false" ht="13.5" hidden="false" customHeight="false" outlineLevel="0" collapsed="false">
      <c r="A2" s="38" t="s">
        <v>198</v>
      </c>
      <c r="B2" s="38"/>
      <c r="C2" s="38"/>
      <c r="D2" s="38"/>
      <c r="E2" s="38"/>
      <c r="F2" s="38"/>
      <c r="G2" s="38"/>
      <c r="H2" s="38"/>
      <c r="I2" s="38"/>
      <c r="J2" s="38"/>
      <c r="K2" s="38"/>
      <c r="M2" s="38" t="s">
        <v>199</v>
      </c>
      <c r="N2" s="38"/>
      <c r="O2" s="38"/>
      <c r="P2" s="38"/>
      <c r="Q2" s="38"/>
      <c r="R2" s="38"/>
      <c r="S2" s="38"/>
      <c r="T2" s="38"/>
      <c r="U2" s="38"/>
      <c r="V2" s="38"/>
      <c r="W2" s="38"/>
      <c r="Y2" s="2" t="s">
        <v>20</v>
      </c>
      <c r="Z2" s="2"/>
      <c r="AA2" s="2"/>
      <c r="AB2" s="2"/>
      <c r="AC2" s="2"/>
      <c r="AD2" s="2"/>
      <c r="AE2" s="2"/>
    </row>
    <row r="3" customFormat="false" ht="13.5" hidden="false" customHeight="false" outlineLevel="0" collapsed="false">
      <c r="A3" s="38"/>
      <c r="B3" s="38"/>
      <c r="C3" s="38"/>
      <c r="D3" s="38"/>
      <c r="E3" s="38"/>
      <c r="F3" s="38"/>
      <c r="G3" s="38"/>
      <c r="H3" s="38"/>
      <c r="I3" s="38"/>
      <c r="J3" s="38"/>
      <c r="K3" s="38"/>
      <c r="M3" s="38"/>
      <c r="N3" s="38"/>
      <c r="O3" s="38"/>
      <c r="P3" s="38"/>
      <c r="Q3" s="38"/>
      <c r="R3" s="38"/>
      <c r="S3" s="38"/>
      <c r="T3" s="38"/>
      <c r="U3" s="38"/>
      <c r="V3" s="38"/>
      <c r="W3" s="38"/>
      <c r="Y3" s="39"/>
      <c r="Z3" s="39"/>
      <c r="AA3" s="39"/>
      <c r="AB3" s="39"/>
      <c r="AC3" s="39"/>
      <c r="AD3" s="39"/>
      <c r="AE3" s="39"/>
    </row>
    <row r="4" customFormat="false" ht="13.5" hidden="false" customHeight="false" outlineLevel="0" collapsed="false">
      <c r="A4" s="38"/>
      <c r="B4" s="38"/>
      <c r="C4" s="38"/>
      <c r="D4" s="38"/>
      <c r="E4" s="38"/>
      <c r="F4" s="38"/>
      <c r="G4" s="38"/>
      <c r="H4" s="38"/>
      <c r="I4" s="38"/>
      <c r="J4" s="38"/>
      <c r="K4" s="38"/>
      <c r="M4" s="38"/>
      <c r="N4" s="38"/>
      <c r="O4" s="38"/>
      <c r="P4" s="38"/>
      <c r="Q4" s="38"/>
      <c r="R4" s="38"/>
      <c r="S4" s="38"/>
      <c r="T4" s="38"/>
      <c r="U4" s="38"/>
      <c r="V4" s="38"/>
      <c r="W4" s="38"/>
      <c r="Y4" s="39"/>
      <c r="Z4" s="39"/>
      <c r="AA4" s="39"/>
      <c r="AB4" s="39"/>
      <c r="AC4" s="39"/>
      <c r="AD4" s="39"/>
      <c r="AE4" s="39"/>
    </row>
    <row r="5" customFormat="false" ht="13.5" hidden="false" customHeight="false" outlineLevel="0" collapsed="false">
      <c r="A5" s="38"/>
      <c r="B5" s="38"/>
      <c r="C5" s="38"/>
      <c r="D5" s="38"/>
      <c r="E5" s="38"/>
      <c r="F5" s="38"/>
      <c r="G5" s="38"/>
      <c r="H5" s="38"/>
      <c r="I5" s="38"/>
      <c r="J5" s="38"/>
      <c r="K5" s="38"/>
      <c r="M5" s="38"/>
      <c r="N5" s="38"/>
      <c r="O5" s="38"/>
      <c r="P5" s="38"/>
      <c r="Q5" s="38"/>
      <c r="R5" s="38"/>
      <c r="S5" s="38"/>
      <c r="T5" s="38"/>
      <c r="U5" s="38"/>
      <c r="V5" s="38"/>
      <c r="W5" s="38"/>
      <c r="Y5" s="39"/>
      <c r="Z5" s="39"/>
      <c r="AA5" s="39"/>
      <c r="AB5" s="39"/>
      <c r="AC5" s="39"/>
      <c r="AD5" s="39"/>
      <c r="AE5" s="39"/>
    </row>
    <row r="6" customFormat="false" ht="13.5" hidden="false" customHeight="false" outlineLevel="0" collapsed="false">
      <c r="A6" s="38"/>
      <c r="B6" s="38"/>
      <c r="C6" s="38"/>
      <c r="D6" s="38"/>
      <c r="E6" s="38"/>
      <c r="F6" s="38"/>
      <c r="G6" s="38"/>
      <c r="H6" s="38"/>
      <c r="I6" s="38"/>
      <c r="J6" s="38"/>
      <c r="K6" s="38"/>
      <c r="M6" s="38"/>
      <c r="N6" s="38"/>
      <c r="O6" s="38"/>
      <c r="P6" s="38"/>
      <c r="Q6" s="38"/>
      <c r="R6" s="38"/>
      <c r="S6" s="38"/>
      <c r="T6" s="38"/>
      <c r="U6" s="38"/>
      <c r="V6" s="38"/>
      <c r="W6" s="38"/>
      <c r="Y6" s="39"/>
      <c r="Z6" s="39"/>
      <c r="AA6" s="39"/>
      <c r="AB6" s="39"/>
      <c r="AC6" s="39"/>
      <c r="AD6" s="39"/>
      <c r="AE6" s="39"/>
    </row>
    <row r="7" customFormat="false" ht="13.5" hidden="false" customHeight="false" outlineLevel="0" collapsed="false">
      <c r="A7" s="38"/>
      <c r="B7" s="38"/>
      <c r="C7" s="38"/>
      <c r="D7" s="38"/>
      <c r="E7" s="38"/>
      <c r="F7" s="38"/>
      <c r="G7" s="38"/>
      <c r="H7" s="38"/>
      <c r="I7" s="38"/>
      <c r="J7" s="38"/>
      <c r="K7" s="38"/>
      <c r="M7" s="38"/>
      <c r="N7" s="38"/>
      <c r="O7" s="38"/>
      <c r="P7" s="38"/>
      <c r="Q7" s="38"/>
      <c r="R7" s="38"/>
      <c r="S7" s="38"/>
      <c r="T7" s="38"/>
      <c r="U7" s="38"/>
      <c r="V7" s="38"/>
      <c r="W7" s="38"/>
      <c r="Y7" s="39"/>
      <c r="Z7" s="39"/>
      <c r="AA7" s="39"/>
      <c r="AB7" s="39"/>
      <c r="AC7" s="39"/>
      <c r="AD7" s="39"/>
      <c r="AE7" s="39"/>
    </row>
    <row r="8" customFormat="false" ht="13.5" hidden="false" customHeight="false" outlineLevel="0" collapsed="false">
      <c r="A8" s="38"/>
      <c r="B8" s="38"/>
      <c r="C8" s="38"/>
      <c r="D8" s="38"/>
      <c r="E8" s="38"/>
      <c r="F8" s="38"/>
      <c r="G8" s="38"/>
      <c r="H8" s="38"/>
      <c r="I8" s="38"/>
      <c r="J8" s="38"/>
      <c r="K8" s="38"/>
      <c r="M8" s="38"/>
      <c r="N8" s="38"/>
      <c r="O8" s="38"/>
      <c r="P8" s="38"/>
      <c r="Q8" s="38"/>
      <c r="R8" s="38"/>
      <c r="S8" s="38"/>
      <c r="T8" s="38"/>
      <c r="U8" s="38"/>
      <c r="V8" s="38"/>
      <c r="W8" s="38"/>
      <c r="Y8" s="39"/>
      <c r="Z8" s="39"/>
      <c r="AA8" s="39"/>
      <c r="AB8" s="39"/>
      <c r="AC8" s="39"/>
      <c r="AD8" s="39"/>
      <c r="AE8" s="39"/>
    </row>
    <row r="9" customFormat="false" ht="13.5" hidden="false" customHeight="false" outlineLevel="0" collapsed="false">
      <c r="A9" s="38"/>
      <c r="B9" s="38"/>
      <c r="C9" s="38"/>
      <c r="D9" s="38"/>
      <c r="E9" s="38"/>
      <c r="F9" s="38"/>
      <c r="G9" s="38"/>
      <c r="H9" s="38"/>
      <c r="I9" s="38"/>
      <c r="J9" s="38"/>
      <c r="K9" s="38"/>
      <c r="M9" s="38"/>
      <c r="N9" s="38"/>
      <c r="O9" s="38"/>
      <c r="P9" s="38"/>
      <c r="Q9" s="38"/>
      <c r="R9" s="38"/>
      <c r="S9" s="38"/>
      <c r="T9" s="38"/>
      <c r="U9" s="38"/>
      <c r="V9" s="38"/>
      <c r="W9" s="38"/>
      <c r="Y9" s="39"/>
      <c r="Z9" s="39"/>
      <c r="AA9" s="39"/>
      <c r="AB9" s="39"/>
      <c r="AC9" s="39"/>
      <c r="AD9" s="39"/>
      <c r="AE9" s="39"/>
    </row>
    <row r="10" customFormat="false" ht="13.5" hidden="false" customHeight="false" outlineLevel="0" collapsed="false">
      <c r="A10" s="38"/>
      <c r="B10" s="38"/>
      <c r="C10" s="38"/>
      <c r="D10" s="38"/>
      <c r="E10" s="38"/>
      <c r="F10" s="38"/>
      <c r="G10" s="38"/>
      <c r="H10" s="38"/>
      <c r="I10" s="38"/>
      <c r="J10" s="38"/>
      <c r="K10" s="38"/>
      <c r="M10" s="38"/>
      <c r="N10" s="38"/>
      <c r="O10" s="38"/>
      <c r="P10" s="38"/>
      <c r="Q10" s="38"/>
      <c r="R10" s="38"/>
      <c r="S10" s="38"/>
      <c r="T10" s="38"/>
      <c r="U10" s="38"/>
      <c r="V10" s="38"/>
      <c r="W10" s="38"/>
      <c r="Y10" s="39"/>
      <c r="Z10" s="39"/>
      <c r="AA10" s="39"/>
      <c r="AB10" s="39"/>
      <c r="AC10" s="39"/>
      <c r="AD10" s="39"/>
      <c r="AE10" s="39"/>
    </row>
    <row r="11" customFormat="false" ht="13.5"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c r="Y11" s="39"/>
      <c r="Z11" s="39"/>
      <c r="AA11" s="39"/>
      <c r="AB11" s="39"/>
      <c r="AC11" s="39"/>
      <c r="AD11" s="39"/>
      <c r="AE11" s="39"/>
    </row>
    <row r="12" customFormat="false" ht="13.5"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c r="Y12" s="39"/>
      <c r="Z12" s="39"/>
      <c r="AA12" s="39"/>
      <c r="AB12" s="39"/>
      <c r="AC12" s="39"/>
      <c r="AD12" s="39"/>
      <c r="AE12" s="39"/>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c r="Y13" s="39"/>
      <c r="Z13" s="39"/>
      <c r="AA13" s="39"/>
      <c r="AB13" s="39"/>
      <c r="AC13" s="39"/>
      <c r="AD13" s="39"/>
      <c r="AE13" s="39"/>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c r="Y14" s="39"/>
      <c r="Z14" s="39"/>
      <c r="AA14" s="39"/>
      <c r="AB14" s="39"/>
      <c r="AC14" s="39"/>
      <c r="AD14" s="39"/>
      <c r="AE14" s="39"/>
    </row>
    <row r="15" customFormat="false" ht="13.8"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c r="Y15" s="39"/>
      <c r="Z15" s="39"/>
      <c r="AA15" s="39"/>
      <c r="AB15" s="39"/>
      <c r="AC15" s="39"/>
      <c r="AD15" s="39"/>
      <c r="AE15" s="39"/>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c r="Y16" s="39"/>
      <c r="Z16" s="39"/>
      <c r="AA16" s="39"/>
      <c r="AB16" s="39"/>
      <c r="AC16" s="39"/>
      <c r="AD16" s="39"/>
      <c r="AE16" s="39"/>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c r="Y17" s="39"/>
      <c r="Z17" s="39"/>
      <c r="AA17" s="39"/>
      <c r="AB17" s="39"/>
      <c r="AC17" s="39"/>
      <c r="AD17" s="39"/>
      <c r="AE17" s="39"/>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c r="Y18" s="39"/>
      <c r="Z18" s="39"/>
      <c r="AA18" s="39"/>
      <c r="AB18" s="39"/>
      <c r="AC18" s="39"/>
      <c r="AD18" s="39"/>
      <c r="AE18" s="39"/>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c r="Y19" s="39"/>
      <c r="Z19" s="39"/>
      <c r="AA19" s="39"/>
      <c r="AB19" s="39"/>
      <c r="AC19" s="39"/>
      <c r="AD19" s="39"/>
      <c r="AE19" s="39"/>
    </row>
    <row r="20" customFormat="false" ht="13.8"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c r="Y20" s="39"/>
      <c r="Z20" s="39"/>
      <c r="AA20" s="39"/>
      <c r="AB20" s="39"/>
      <c r="AC20" s="39"/>
      <c r="AD20" s="39"/>
      <c r="AE20" s="39"/>
    </row>
    <row r="21" customFormat="false" ht="13.8"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c r="Y21" s="39"/>
      <c r="Z21" s="39"/>
      <c r="AA21" s="39"/>
      <c r="AB21" s="39"/>
      <c r="AC21" s="39"/>
      <c r="AD21" s="39"/>
      <c r="AE21" s="39"/>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c r="Y22" s="39"/>
      <c r="Z22" s="39"/>
      <c r="AA22" s="39"/>
      <c r="AB22" s="39"/>
      <c r="AC22" s="39"/>
      <c r="AD22" s="39"/>
      <c r="AE22" s="39"/>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c r="Y23" s="39"/>
      <c r="Z23" s="39"/>
      <c r="AA23" s="39"/>
      <c r="AB23" s="39"/>
      <c r="AC23" s="39"/>
      <c r="AD23" s="39"/>
      <c r="AE23" s="39"/>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c r="Y24" s="39"/>
      <c r="Z24" s="39"/>
      <c r="AA24" s="39"/>
      <c r="AB24" s="39"/>
      <c r="AC24" s="39"/>
      <c r="AD24" s="39"/>
      <c r="AE24" s="39"/>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c r="Y25" s="39"/>
      <c r="Z25" s="39"/>
      <c r="AA25" s="39"/>
      <c r="AB25" s="39"/>
      <c r="AC25" s="39"/>
      <c r="AD25" s="39"/>
      <c r="AE25" s="39"/>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c r="Y26" s="39"/>
      <c r="Z26" s="39"/>
      <c r="AA26" s="39"/>
      <c r="AB26" s="39"/>
      <c r="AC26" s="39"/>
      <c r="AD26" s="39"/>
      <c r="AE26" s="39"/>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c r="Y27" s="39"/>
      <c r="Z27" s="39"/>
      <c r="AA27" s="39"/>
      <c r="AB27" s="39"/>
      <c r="AC27" s="39"/>
      <c r="AD27" s="39"/>
      <c r="AE27" s="39"/>
    </row>
    <row r="28" customFormat="false" ht="16.4" hidden="false" customHeight="false" outlineLevel="0" collapsed="false">
      <c r="A28" s="2" t="s">
        <v>200</v>
      </c>
      <c r="B28" s="2"/>
      <c r="C28" s="2"/>
      <c r="D28" s="2"/>
      <c r="E28" s="2"/>
      <c r="F28" s="2"/>
      <c r="G28" s="2"/>
      <c r="H28" s="2"/>
      <c r="I28" s="2"/>
      <c r="J28" s="2"/>
      <c r="K28" s="40" t="str">
        <f aca="false">IF(COUNTIF(K30:K43, "="&amp;IncompleteText), IncompleteText, IF(COUNTIF(K30:K43, "="&amp;ErrorText), ErrorText, OKText))</f>
        <v>OK</v>
      </c>
      <c r="M28" s="2" t="s">
        <v>201</v>
      </c>
      <c r="N28" s="2"/>
      <c r="O28" s="2"/>
      <c r="P28" s="2"/>
      <c r="Q28" s="2"/>
      <c r="R28" s="2"/>
      <c r="S28" s="2"/>
      <c r="T28" s="2"/>
      <c r="U28" s="2"/>
      <c r="V28" s="2"/>
      <c r="W28" s="40" t="str">
        <f aca="false">IF(COUNTIF(W30:W41, "="&amp;IncompleteText), IncompleteText, IF(COUNTIF(W30:W41, "="&amp;ErrorText), ErrorText, OKText))</f>
        <v>OK</v>
      </c>
    </row>
    <row r="29" customFormat="false" ht="13.5" hidden="false" customHeight="false" outlineLevel="0" collapsed="false">
      <c r="A29" s="41" t="s">
        <v>58</v>
      </c>
      <c r="B29" s="41"/>
      <c r="C29" s="2"/>
      <c r="D29" s="2"/>
      <c r="E29" s="2"/>
      <c r="F29" s="2"/>
      <c r="G29" s="2"/>
      <c r="H29" s="2"/>
      <c r="I29" s="2"/>
      <c r="J29" s="2"/>
      <c r="K29" s="40"/>
      <c r="M29" s="42" t="s">
        <v>58</v>
      </c>
      <c r="N29" s="42"/>
      <c r="O29" s="2"/>
      <c r="P29" s="2"/>
      <c r="Q29" s="2"/>
      <c r="R29" s="2"/>
      <c r="S29" s="2"/>
      <c r="T29" s="2"/>
      <c r="U29" s="2"/>
      <c r="V29" s="2"/>
      <c r="W29" s="40"/>
    </row>
    <row r="30" customFormat="false" ht="16.4" hidden="false" customHeight="false" outlineLevel="0" collapsed="false">
      <c r="A30" s="43"/>
      <c r="B30" s="43"/>
      <c r="C30" s="22" t="s">
        <v>202</v>
      </c>
      <c r="D30" s="22"/>
      <c r="E30" s="22"/>
      <c r="F30" s="22"/>
      <c r="G30" s="22"/>
      <c r="H30" s="22"/>
      <c r="I30" s="22"/>
      <c r="J30" s="44" t="b">
        <f aca="false">TRUE()</f>
        <v>1</v>
      </c>
      <c r="K30" s="45" t="str">
        <f aca="false">IF(ISBLANK(J30),IncompleteText, IF(J30, OKText, ErrorText))</f>
        <v>OK</v>
      </c>
      <c r="M30" s="43"/>
      <c r="N30" s="43"/>
      <c r="O30" s="22" t="s">
        <v>203</v>
      </c>
      <c r="P30" s="22"/>
      <c r="Q30" s="22"/>
      <c r="R30" s="22"/>
      <c r="S30" s="22"/>
      <c r="T30" s="22"/>
      <c r="U30" s="22"/>
      <c r="V30" s="44" t="b">
        <f aca="false">TRUE()</f>
        <v>1</v>
      </c>
      <c r="W30" s="45" t="str">
        <f aca="false">IF(ISBLANK(V30),IncompleteText, IF(V30, OKText, ErrorText))</f>
        <v>OK</v>
      </c>
    </row>
    <row r="31" customFormat="false" ht="16.4" hidden="false" customHeight="false" outlineLevel="0" collapsed="false">
      <c r="A31" s="46"/>
      <c r="B31" s="46"/>
      <c r="C31" s="22" t="s">
        <v>204</v>
      </c>
      <c r="D31" s="22"/>
      <c r="E31" s="22"/>
      <c r="F31" s="22"/>
      <c r="G31" s="22"/>
      <c r="H31" s="22"/>
      <c r="I31" s="22"/>
      <c r="J31" s="44" t="b">
        <f aca="false">TRUE()</f>
        <v>1</v>
      </c>
      <c r="K31" s="45" t="str">
        <f aca="false">IF(ISBLANK(J31),IncompleteText, IF(J31, OKText, ErrorText))</f>
        <v>OK</v>
      </c>
      <c r="M31" s="46"/>
      <c r="N31" s="46"/>
      <c r="O31" s="22" t="s">
        <v>205</v>
      </c>
      <c r="P31" s="22"/>
      <c r="Q31" s="22"/>
      <c r="R31" s="22"/>
      <c r="S31" s="22"/>
      <c r="T31" s="22"/>
      <c r="U31" s="22"/>
      <c r="V31" s="44" t="b">
        <f aca="false">TRUE()</f>
        <v>1</v>
      </c>
      <c r="W31" s="45" t="str">
        <f aca="false">IF(ISBLANK(V31),IncompleteText, IF(V31, OKText, ErrorText))</f>
        <v>OK</v>
      </c>
    </row>
    <row r="32" customFormat="false" ht="16.4" hidden="false" customHeight="false" outlineLevel="0" collapsed="false">
      <c r="A32" s="46"/>
      <c r="B32" s="46"/>
      <c r="C32" s="22" t="s">
        <v>205</v>
      </c>
      <c r="D32" s="22"/>
      <c r="E32" s="22"/>
      <c r="F32" s="22"/>
      <c r="G32" s="22"/>
      <c r="H32" s="22"/>
      <c r="I32" s="22"/>
      <c r="J32" s="44" t="b">
        <f aca="false">TRUE()</f>
        <v>1</v>
      </c>
      <c r="K32" s="45" t="str">
        <f aca="false">IF(ISBLANK(J32),IncompleteText, IF(J32, OKText, ErrorText))</f>
        <v>OK</v>
      </c>
      <c r="M32" s="46"/>
      <c r="N32" s="46"/>
      <c r="O32" s="22" t="s">
        <v>206</v>
      </c>
      <c r="P32" s="22"/>
      <c r="Q32" s="22"/>
      <c r="R32" s="22"/>
      <c r="S32" s="22"/>
      <c r="T32" s="22"/>
      <c r="U32" s="22"/>
      <c r="V32" s="44" t="b">
        <f aca="false">TRUE()</f>
        <v>1</v>
      </c>
      <c r="W32" s="45" t="str">
        <f aca="false">IF(ISBLANK(V32),IncompleteText, IF(V32, OKText, ErrorText))</f>
        <v>OK</v>
      </c>
    </row>
    <row r="33" customFormat="false" ht="16.4" hidden="false" customHeight="false" outlineLevel="0" collapsed="false">
      <c r="A33" s="46"/>
      <c r="B33" s="46"/>
      <c r="C33" s="22" t="s">
        <v>206</v>
      </c>
      <c r="D33" s="22"/>
      <c r="E33" s="22"/>
      <c r="F33" s="22"/>
      <c r="G33" s="22"/>
      <c r="H33" s="22"/>
      <c r="I33" s="22"/>
      <c r="J33" s="44" t="b">
        <f aca="false">TRUE()</f>
        <v>1</v>
      </c>
      <c r="K33" s="45" t="str">
        <f aca="false">IF(ISBLANK(J33),IncompleteText, IF(J33, OKText, ErrorText))</f>
        <v>OK</v>
      </c>
      <c r="M33" s="46"/>
      <c r="N33" s="46"/>
      <c r="O33" s="22" t="s">
        <v>207</v>
      </c>
      <c r="P33" s="22"/>
      <c r="Q33" s="22"/>
      <c r="R33" s="22"/>
      <c r="S33" s="22"/>
      <c r="T33" s="22"/>
      <c r="U33" s="22"/>
      <c r="V33" s="44" t="b">
        <f aca="false">TRUE()</f>
        <v>1</v>
      </c>
      <c r="W33" s="45" t="str">
        <f aca="false">IF(ISBLANK(V33),IncompleteText, IF(V33, OKText, ErrorText))</f>
        <v>OK</v>
      </c>
    </row>
    <row r="34" customFormat="false" ht="16.4" hidden="false" customHeight="false" outlineLevel="0" collapsed="false">
      <c r="A34" s="46"/>
      <c r="B34" s="46"/>
      <c r="C34" s="22" t="s">
        <v>207</v>
      </c>
      <c r="D34" s="22"/>
      <c r="E34" s="22"/>
      <c r="F34" s="22"/>
      <c r="G34" s="22"/>
      <c r="H34" s="22"/>
      <c r="I34" s="22"/>
      <c r="J34" s="44" t="b">
        <f aca="false">TRUE()</f>
        <v>1</v>
      </c>
      <c r="K34" s="45" t="str">
        <f aca="false">IF(ISBLANK(J34),IncompleteText, IF(J34, OKText, ErrorText))</f>
        <v>OK</v>
      </c>
      <c r="M34" s="47"/>
      <c r="N34" s="47"/>
      <c r="O34" s="22" t="s">
        <v>208</v>
      </c>
      <c r="P34" s="22"/>
      <c r="Q34" s="22"/>
      <c r="R34" s="22"/>
      <c r="S34" s="22"/>
      <c r="T34" s="22"/>
      <c r="U34" s="22"/>
      <c r="V34" s="44" t="b">
        <f aca="false">TRUE()</f>
        <v>1</v>
      </c>
      <c r="W34" s="45" t="str">
        <f aca="false">IF(ISBLANK(V34),IncompleteText, IF(V34, OKText, ErrorText))</f>
        <v>OK</v>
      </c>
    </row>
    <row r="35" customFormat="false" ht="16.4" hidden="false" customHeight="false" outlineLevel="0" collapsed="false">
      <c r="A35" s="46"/>
      <c r="B35" s="46"/>
      <c r="C35" s="22" t="s">
        <v>208</v>
      </c>
      <c r="D35" s="22"/>
      <c r="E35" s="22"/>
      <c r="F35" s="22"/>
      <c r="G35" s="22"/>
      <c r="H35" s="22"/>
      <c r="I35" s="22"/>
      <c r="J35" s="44" t="b">
        <f aca="false">TRUE()</f>
        <v>1</v>
      </c>
      <c r="K35" s="45" t="str">
        <f aca="false">IF(ISBLANK(J35),IncompleteText, IF(J35, OKText, ErrorText))</f>
        <v>OK</v>
      </c>
      <c r="M35" s="46"/>
      <c r="N35" s="46"/>
      <c r="O35" s="22" t="s">
        <v>209</v>
      </c>
      <c r="P35" s="22"/>
      <c r="Q35" s="22"/>
      <c r="R35" s="22"/>
      <c r="S35" s="22"/>
      <c r="T35" s="22"/>
      <c r="U35" s="22"/>
      <c r="V35" s="44" t="b">
        <f aca="false">TRUE()</f>
        <v>1</v>
      </c>
      <c r="W35" s="45" t="str">
        <f aca="false">IF(ISBLANK(V35),IncompleteText, IF(V35, OKText, ErrorText))</f>
        <v>OK</v>
      </c>
    </row>
    <row r="36" customFormat="false" ht="16.4" hidden="false" customHeight="false" outlineLevel="0" collapsed="false">
      <c r="A36" s="46"/>
      <c r="B36" s="46"/>
      <c r="C36" s="22" t="s">
        <v>210</v>
      </c>
      <c r="D36" s="22"/>
      <c r="E36" s="22"/>
      <c r="F36" s="22"/>
      <c r="G36" s="22"/>
      <c r="H36" s="22"/>
      <c r="I36" s="22"/>
      <c r="J36" s="44" t="b">
        <f aca="false">TRUE()</f>
        <v>1</v>
      </c>
      <c r="K36" s="45" t="str">
        <f aca="false">IF(ISBLANK(J36),IncompleteText, IF(J36, OKText, ErrorText))</f>
        <v>OK</v>
      </c>
      <c r="M36" s="46"/>
      <c r="N36" s="46"/>
      <c r="O36" s="22" t="s">
        <v>211</v>
      </c>
      <c r="P36" s="22"/>
      <c r="Q36" s="22"/>
      <c r="R36" s="22"/>
      <c r="S36" s="22"/>
      <c r="T36" s="22"/>
      <c r="U36" s="22"/>
      <c r="V36" s="44" t="b">
        <f aca="false">TRUE()</f>
        <v>1</v>
      </c>
      <c r="W36" s="45" t="str">
        <f aca="false">IF(ISBLANK(V36),IncompleteText, IF(V36, OKText, ErrorText))</f>
        <v>OK</v>
      </c>
    </row>
    <row r="37" customFormat="false" ht="16.4" hidden="false" customHeight="false" outlineLevel="0" collapsed="false">
      <c r="A37" s="46"/>
      <c r="B37" s="46"/>
      <c r="C37" s="22" t="s">
        <v>209</v>
      </c>
      <c r="D37" s="22"/>
      <c r="E37" s="22"/>
      <c r="F37" s="22"/>
      <c r="G37" s="22"/>
      <c r="H37" s="22"/>
      <c r="I37" s="22"/>
      <c r="J37" s="44" t="b">
        <f aca="false">TRUE()</f>
        <v>1</v>
      </c>
      <c r="K37" s="45" t="str">
        <f aca="false">IF(ISBLANK(J37),IncompleteText, IF(J37, OKText, ErrorText))</f>
        <v>OK</v>
      </c>
      <c r="M37" s="46"/>
      <c r="N37" s="46"/>
      <c r="O37" s="22" t="s">
        <v>212</v>
      </c>
      <c r="P37" s="22"/>
      <c r="Q37" s="22"/>
      <c r="R37" s="22"/>
      <c r="S37" s="22"/>
      <c r="T37" s="22"/>
      <c r="U37" s="22"/>
      <c r="V37" s="44" t="b">
        <f aca="false">TRUE()</f>
        <v>1</v>
      </c>
      <c r="W37" s="45" t="str">
        <f aca="false">IF(ISBLANK(V37),IncompleteText, IF(V37, OKText, ErrorText))</f>
        <v>OK</v>
      </c>
    </row>
    <row r="38" customFormat="false" ht="16.4" hidden="false" customHeight="false" outlineLevel="0" collapsed="false">
      <c r="A38" s="46"/>
      <c r="B38" s="46"/>
      <c r="C38" s="22" t="s">
        <v>211</v>
      </c>
      <c r="D38" s="22"/>
      <c r="E38" s="22"/>
      <c r="F38" s="22"/>
      <c r="G38" s="22"/>
      <c r="H38" s="22"/>
      <c r="I38" s="22"/>
      <c r="J38" s="44" t="b">
        <f aca="false">TRUE()</f>
        <v>1</v>
      </c>
      <c r="K38" s="45" t="str">
        <f aca="false">IF(ISBLANK(J38),IncompleteText, IF(J38, OKText, ErrorText))</f>
        <v>OK</v>
      </c>
      <c r="M38" s="46" t="s">
        <v>213</v>
      </c>
      <c r="N38" s="46"/>
      <c r="O38" s="22" t="s">
        <v>214</v>
      </c>
      <c r="P38" s="22"/>
      <c r="Q38" s="22"/>
      <c r="R38" s="22"/>
      <c r="S38" s="22"/>
      <c r="T38" s="22"/>
      <c r="U38" s="22"/>
      <c r="V38" s="44" t="b">
        <f aca="false">TRUE()</f>
        <v>1</v>
      </c>
      <c r="W38" s="45" t="str">
        <f aca="false">IF(ISBLANK(V38),IncompleteText, IF(V38, OKText, ErrorText))</f>
        <v>OK</v>
      </c>
    </row>
    <row r="39" customFormat="false" ht="16.4" hidden="false" customHeight="false" outlineLevel="0" collapsed="false">
      <c r="A39" s="46"/>
      <c r="B39" s="46"/>
      <c r="C39" s="22" t="s">
        <v>212</v>
      </c>
      <c r="D39" s="22"/>
      <c r="E39" s="22"/>
      <c r="F39" s="22"/>
      <c r="G39" s="22"/>
      <c r="H39" s="22"/>
      <c r="I39" s="22"/>
      <c r="J39" s="44" t="b">
        <f aca="false">TRUE()</f>
        <v>1</v>
      </c>
      <c r="K39" s="45" t="str">
        <f aca="false">IF(ISBLANK(J39),IncompleteText, IF(J39, OKText, ErrorText))</f>
        <v>OK</v>
      </c>
      <c r="M39" s="46" t="s">
        <v>215</v>
      </c>
      <c r="N39" s="46"/>
      <c r="O39" s="22" t="s">
        <v>216</v>
      </c>
      <c r="P39" s="22"/>
      <c r="Q39" s="22"/>
      <c r="R39" s="22"/>
      <c r="S39" s="22"/>
      <c r="T39" s="22"/>
      <c r="U39" s="22"/>
      <c r="V39" s="44" t="b">
        <f aca="false">TRUE()</f>
        <v>1</v>
      </c>
      <c r="W39" s="45" t="str">
        <f aca="false">IF(ISBLANK(V39),IncompleteText, IF(V39, OKText, ErrorText))</f>
        <v>OK</v>
      </c>
    </row>
    <row r="40" customFormat="false" ht="16.4" hidden="false" customHeight="false" outlineLevel="0" collapsed="false">
      <c r="A40" s="46" t="s">
        <v>217</v>
      </c>
      <c r="B40" s="46"/>
      <c r="C40" s="22" t="s">
        <v>218</v>
      </c>
      <c r="D40" s="22"/>
      <c r="E40" s="22"/>
      <c r="F40" s="22"/>
      <c r="G40" s="22"/>
      <c r="H40" s="22"/>
      <c r="I40" s="22"/>
      <c r="J40" s="44" t="b">
        <f aca="false">TRUE()</f>
        <v>1</v>
      </c>
      <c r="K40" s="45" t="str">
        <f aca="false">IF(ISBLANK(J40),IncompleteText, IF(J40, OKText, ErrorText))</f>
        <v>OK</v>
      </c>
      <c r="M40" s="46"/>
      <c r="N40" s="46"/>
      <c r="O40" s="22" t="s">
        <v>219</v>
      </c>
      <c r="P40" s="22"/>
      <c r="Q40" s="22"/>
      <c r="R40" s="22"/>
      <c r="S40" s="22"/>
      <c r="T40" s="22"/>
      <c r="U40" s="22"/>
      <c r="V40" s="44" t="b">
        <f aca="false">TRUE()</f>
        <v>1</v>
      </c>
      <c r="W40" s="45" t="str">
        <f aca="false">IF(ISBLANK(V40),IncompleteText, IF(V40, OKText, ErrorText))</f>
        <v>OK</v>
      </c>
    </row>
    <row r="41" customFormat="false" ht="16.4" hidden="false" customHeight="false" outlineLevel="0" collapsed="false">
      <c r="A41" s="46"/>
      <c r="B41" s="46"/>
      <c r="C41" s="22" t="s">
        <v>220</v>
      </c>
      <c r="D41" s="22"/>
      <c r="E41" s="22"/>
      <c r="F41" s="22"/>
      <c r="G41" s="22"/>
      <c r="H41" s="22"/>
      <c r="I41" s="22"/>
      <c r="J41" s="44" t="b">
        <f aca="false">TRUE()</f>
        <v>1</v>
      </c>
      <c r="K41" s="45" t="str">
        <f aca="false">IF(ISBLANK(J41),IncompleteText, IF(J41, OKText, ErrorText))</f>
        <v>OK</v>
      </c>
      <c r="M41" s="46"/>
      <c r="N41" s="46"/>
      <c r="O41" s="22" t="s">
        <v>221</v>
      </c>
      <c r="P41" s="22"/>
      <c r="Q41" s="22"/>
      <c r="R41" s="22"/>
      <c r="S41" s="22"/>
      <c r="T41" s="22"/>
      <c r="U41" s="22"/>
      <c r="V41" s="44" t="b">
        <f aca="false">TRUE()</f>
        <v>1</v>
      </c>
      <c r="W41" s="45" t="str">
        <f aca="false">IF(ISBLANK(V41),IncompleteText, IF(V41, OKText, ErrorText))</f>
        <v>OK</v>
      </c>
    </row>
    <row r="42" customFormat="false" ht="16.4" hidden="false" customHeight="false" outlineLevel="0" collapsed="false">
      <c r="A42" s="46"/>
      <c r="B42" s="46"/>
      <c r="C42" s="22" t="s">
        <v>222</v>
      </c>
      <c r="D42" s="22"/>
      <c r="E42" s="22"/>
      <c r="F42" s="22"/>
      <c r="G42" s="22"/>
      <c r="H42" s="22"/>
      <c r="I42" s="22"/>
      <c r="J42" s="44" t="b">
        <f aca="false">TRUE()</f>
        <v>1</v>
      </c>
      <c r="K42" s="45" t="str">
        <f aca="false">IF(ISBLANK(J42),IncompleteText, IF(J42, OKText, ErrorText))</f>
        <v>OK</v>
      </c>
    </row>
    <row r="43" customFormat="false" ht="16.4" hidden="false" customHeight="false" outlineLevel="0" collapsed="false">
      <c r="A43" s="46" t="s">
        <v>223</v>
      </c>
      <c r="B43" s="46"/>
      <c r="C43" s="22" t="s">
        <v>224</v>
      </c>
      <c r="D43" s="22"/>
      <c r="E43" s="22"/>
      <c r="F43" s="22"/>
      <c r="G43" s="22"/>
      <c r="H43" s="22"/>
      <c r="I43" s="22"/>
      <c r="J43" s="44" t="b">
        <f aca="false">TRUE()</f>
        <v>1</v>
      </c>
      <c r="K43" s="45" t="str">
        <f aca="false">IF(ISBLANK(J43),IncompleteText, IF(J43, OKText, ErrorText))</f>
        <v>OK</v>
      </c>
    </row>
    <row r="44" customFormat="false" ht="16.4" hidden="false" customHeight="false" outlineLevel="0" collapsed="false"/>
    <row r="45" customFormat="false" ht="16.4" hidden="false" customHeight="false" outlineLevel="0" collapsed="false"/>
    <row r="46" customFormat="false" ht="16.4" hidden="false" customHeight="false" outlineLevel="0" collapsed="false">
      <c r="A46" s="2" t="s">
        <v>225</v>
      </c>
      <c r="B46" s="2"/>
      <c r="C46" s="2"/>
      <c r="D46" s="2"/>
      <c r="E46" s="2"/>
      <c r="F46" s="2"/>
      <c r="G46" s="2"/>
      <c r="H46" s="2"/>
      <c r="I46" s="2"/>
      <c r="J46" s="2"/>
      <c r="K46" s="48" t="str">
        <f aca="false">IF(COUNTIF(K48:K54, "="&amp;IncompleteText), IncompleteText, IF(COUNTIF(K48:K54, "="&amp;ErrorText), ErrorText, OKText))</f>
        <v>OK</v>
      </c>
    </row>
    <row r="47" customFormat="false" ht="13.5" hidden="false" customHeight="false" outlineLevel="0" collapsed="false">
      <c r="A47" s="42" t="s">
        <v>58</v>
      </c>
      <c r="B47" s="42"/>
      <c r="C47" s="2"/>
      <c r="D47" s="2"/>
      <c r="E47" s="2"/>
      <c r="F47" s="2"/>
      <c r="G47" s="2"/>
      <c r="H47" s="2"/>
      <c r="I47" s="2"/>
      <c r="J47" s="2"/>
      <c r="K47" s="48"/>
    </row>
    <row r="48" customFormat="false" ht="16.4" hidden="false" customHeight="false" outlineLevel="0" collapsed="false">
      <c r="A48" s="43" t="s">
        <v>226</v>
      </c>
      <c r="B48" s="43"/>
      <c r="C48" s="22" t="s">
        <v>98</v>
      </c>
      <c r="D48" s="22"/>
      <c r="E48" s="22"/>
      <c r="F48" s="22"/>
      <c r="G48" s="22"/>
      <c r="H48" s="22"/>
      <c r="I48" s="22"/>
      <c r="J48" s="44" t="b">
        <f aca="false">TRUE()</f>
        <v>1</v>
      </c>
      <c r="K48" s="45" t="str">
        <f aca="false">IF(ISBLANK(J48),IncompleteText, IF(J48, OKText, ErrorText))</f>
        <v>OK</v>
      </c>
    </row>
    <row r="49" customFormat="false" ht="16.4" hidden="false" customHeight="false" outlineLevel="0" collapsed="false">
      <c r="A49" s="46" t="s">
        <v>227</v>
      </c>
      <c r="B49" s="46"/>
      <c r="C49" s="22" t="s">
        <v>155</v>
      </c>
      <c r="D49" s="22"/>
      <c r="E49" s="22"/>
      <c r="F49" s="22"/>
      <c r="G49" s="22"/>
      <c r="H49" s="22"/>
      <c r="I49" s="22"/>
      <c r="J49" s="44" t="b">
        <f aca="false">TRUE()</f>
        <v>1</v>
      </c>
      <c r="K49" s="45" t="str">
        <f aca="false">IF(ISBLANK(J49),IncompleteText, IF(J49, OKText, ErrorText))</f>
        <v>OK</v>
      </c>
    </row>
    <row r="50" customFormat="false" ht="16.4" hidden="false" customHeight="false" outlineLevel="0" collapsed="false">
      <c r="A50" s="46" t="s">
        <v>228</v>
      </c>
      <c r="B50" s="46"/>
      <c r="C50" s="22" t="s">
        <v>118</v>
      </c>
      <c r="D50" s="22"/>
      <c r="E50" s="22"/>
      <c r="F50" s="22"/>
      <c r="G50" s="22"/>
      <c r="H50" s="22"/>
      <c r="I50" s="22"/>
      <c r="J50" s="44" t="b">
        <f aca="false">TRUE()</f>
        <v>1</v>
      </c>
      <c r="K50" s="45" t="str">
        <f aca="false">IF(ISBLANK(J50),IncompleteText, IF(J50, OKText, ErrorText))</f>
        <v>OK</v>
      </c>
    </row>
    <row r="51" customFormat="false" ht="16.4" hidden="false" customHeight="false" outlineLevel="0" collapsed="false">
      <c r="A51" s="46" t="s">
        <v>228</v>
      </c>
      <c r="B51" s="46"/>
      <c r="C51" s="22" t="s">
        <v>123</v>
      </c>
      <c r="D51" s="22"/>
      <c r="E51" s="22"/>
      <c r="F51" s="22"/>
      <c r="G51" s="22"/>
      <c r="H51" s="22"/>
      <c r="I51" s="22"/>
      <c r="J51" s="44" t="b">
        <f aca="false">TRUE()</f>
        <v>1</v>
      </c>
      <c r="K51" s="45" t="str">
        <f aca="false">IF(ISBLANK(J51),IncompleteText, IF(J51, OKText, ErrorText))</f>
        <v>OK</v>
      </c>
    </row>
    <row r="52" customFormat="false" ht="16.4" hidden="false" customHeight="false" outlineLevel="0" collapsed="false">
      <c r="A52" s="46" t="s">
        <v>229</v>
      </c>
      <c r="B52" s="46"/>
      <c r="C52" s="22" t="s">
        <v>160</v>
      </c>
      <c r="D52" s="22"/>
      <c r="E52" s="22"/>
      <c r="F52" s="22"/>
      <c r="G52" s="22"/>
      <c r="H52" s="22"/>
      <c r="I52" s="22"/>
      <c r="J52" s="44" t="b">
        <f aca="false">TRUE()</f>
        <v>1</v>
      </c>
      <c r="K52" s="45" t="str">
        <f aca="false">IF(ISBLANK(J52),IncompleteText, IF(J52, OKText, ErrorText))</f>
        <v>OK</v>
      </c>
    </row>
    <row r="53" customFormat="false" ht="16.4" hidden="false" customHeight="false" outlineLevel="0" collapsed="false">
      <c r="A53" s="46" t="s">
        <v>230</v>
      </c>
      <c r="B53" s="46"/>
      <c r="C53" s="22" t="s">
        <v>231</v>
      </c>
      <c r="D53" s="22"/>
      <c r="E53" s="22"/>
      <c r="F53" s="22"/>
      <c r="G53" s="22"/>
      <c r="H53" s="22"/>
      <c r="I53" s="22"/>
      <c r="J53" s="44" t="b">
        <f aca="false">TRUE()</f>
        <v>1</v>
      </c>
      <c r="K53" s="45" t="str">
        <f aca="false">IF(ISBLANK(J53),IncompleteText, IF(J53, OKText, ErrorText))</f>
        <v>OK</v>
      </c>
    </row>
    <row r="54" customFormat="false" ht="16.4" hidden="false" customHeight="false" outlineLevel="0" collapsed="false">
      <c r="A54" s="46" t="s">
        <v>230</v>
      </c>
      <c r="B54" s="46"/>
      <c r="C54" s="22" t="s">
        <v>232</v>
      </c>
      <c r="D54" s="22"/>
      <c r="E54" s="22"/>
      <c r="F54" s="22"/>
      <c r="G54" s="22"/>
      <c r="H54" s="22"/>
      <c r="I54" s="22"/>
      <c r="J54" s="44" t="b">
        <f aca="false">TRUE()</f>
        <v>1</v>
      </c>
      <c r="K54" s="45" t="str">
        <f aca="false">IF(ISBLANK(J54),IncompleteText, IF(J54, OKText, ErrorText))</f>
        <v>OK</v>
      </c>
    </row>
  </sheetData>
  <mergeCells count="79">
    <mergeCell ref="A2:K27"/>
    <mergeCell ref="M2:W27"/>
    <mergeCell ref="Y2:AE2"/>
    <mergeCell ref="Y3:AE27"/>
    <mergeCell ref="A28:J28"/>
    <mergeCell ref="K28:K29"/>
    <mergeCell ref="M28:V28"/>
    <mergeCell ref="W28:W29"/>
    <mergeCell ref="A29:B29"/>
    <mergeCell ref="M29:N29"/>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A40:B40"/>
    <mergeCell ref="C40:I40"/>
    <mergeCell ref="M40:N40"/>
    <mergeCell ref="O40:U40"/>
    <mergeCell ref="A41:B41"/>
    <mergeCell ref="C41:I41"/>
    <mergeCell ref="M41:N41"/>
    <mergeCell ref="O41:U41"/>
    <mergeCell ref="A42:B42"/>
    <mergeCell ref="C42:I42"/>
    <mergeCell ref="A43:B43"/>
    <mergeCell ref="C43:I43"/>
    <mergeCell ref="A46:J46"/>
    <mergeCell ref="K46:K47"/>
    <mergeCell ref="A47:B47"/>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s>
  <dataValidations count="1">
    <dataValidation allowBlank="true" errorStyle="stop" operator="between" showDropDown="false" showErrorMessage="true" showInputMessage="true" sqref="J30:J43 V30:V42 J44:J45 J48:J54" type="list">
      <formula1>"TRUE,FALSE"</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B3979073-D2F8-46E0-90BA-305C4C49D3E4}">
            <xm:f>Accumulator!$D$62 = "Team Designed"</xm:f>
            <x14:dxf>
              <font>
                <color rgb="FFFFFFFF"/>
              </font>
              <border diagonalUp="false" diagonalDown="false">
                <left/>
                <right/>
                <top/>
                <bottom/>
                <diagonal/>
              </border>
            </x14:dxf>
          </x14:cfRule>
          <xm:sqref>K30:K43 K48:K54</xm:sqref>
        </x14:conditionalFormatting>
        <x14:conditionalFormatting xmlns:xm="http://schemas.microsoft.com/office/excel/2006/main">
          <x14:cfRule type="expression" priority="3" id="{A95E43B1-2D14-484B-B483-ECB2719F4DBB}">
            <xm:f>Accumulator!$D$62 = "Team Designed"</xm:f>
            <x14:dxf>
              <font>
                <color rgb="FFFFFFFF"/>
              </font>
              <border diagonalUp="false" diagonalDown="false">
                <left/>
                <right/>
                <top/>
                <bottom/>
                <diagonal/>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9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O18" activeCellId="0" sqref="O18"/>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10.29"/>
    <col collapsed="false" customWidth="false" hidden="false" outlineLevel="0" max="7" min="6" style="1" width="8.72"/>
    <col collapsed="false" customWidth="true" hidden="false" outlineLevel="0" max="8" min="8" style="1" width="13.71"/>
    <col collapsed="false" customWidth="false" hidden="false" outlineLevel="0" max="13" min="9" style="1" width="8.72"/>
    <col collapsed="false" customWidth="true" hidden="false" outlineLevel="0" max="14" min="14" style="1" width="8.86"/>
    <col collapsed="false" customWidth="false" hidden="false" outlineLevel="0" max="16" min="15" style="1" width="8.72"/>
    <col collapsed="false" customWidth="true" hidden="false" outlineLevel="0" max="17" min="17" style="1" width="13.71"/>
    <col collapsed="false" customWidth="false" hidden="false" outlineLevel="0" max="25" min="18" style="1" width="8.72"/>
    <col collapsed="false" customWidth="true" hidden="false" outlineLevel="0" max="26" min="26" style="1" width="13.71"/>
    <col collapsed="false" customWidth="false" hidden="false" outlineLevel="0" max="34" min="27" style="1" width="8.72"/>
    <col collapsed="false" customWidth="true" hidden="false" outlineLevel="0" max="35" min="35" style="1" width="13.71"/>
    <col collapsed="false" customWidth="false" hidden="false" outlineLevel="0" max="43" min="36" style="1" width="8.72"/>
    <col collapsed="false" customWidth="true" hidden="false" outlineLevel="0" max="44" min="44" style="1" width="13.71"/>
    <col collapsed="false" customWidth="false" hidden="false" outlineLevel="0" max="52" min="45" style="1" width="8.72"/>
    <col collapsed="false" customWidth="true" hidden="false" outlineLevel="0" max="53" min="53" style="1" width="13.71"/>
    <col collapsed="false" customWidth="false" hidden="false" outlineLevel="0" max="16384" min="54" style="1" width="8.72"/>
  </cols>
  <sheetData>
    <row r="1" customFormat="false" ht="13.5" hidden="false" customHeight="false" outlineLevel="0" collapsed="false">
      <c r="A1" s="19" t="s">
        <v>1</v>
      </c>
      <c r="B1" s="5" t="str">
        <f aca="true" t="array" ref="B1: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customFormat="false" ht="13.5" hidden="false" customHeight="false" outlineLevel="0" collapsed="false">
      <c r="A3" s="22" t="s">
        <v>233</v>
      </c>
      <c r="B3" s="22"/>
      <c r="C3" s="22"/>
      <c r="D3" s="22"/>
      <c r="E3" s="29" t="s">
        <v>234</v>
      </c>
      <c r="G3" s="5" t="str">
        <f aca="false">IF(ISBLANK(E3), IncompleteText, OKText)</f>
        <v>OK</v>
      </c>
    </row>
    <row r="4" customFormat="false" ht="13.5" hidden="false" customHeight="false" outlineLevel="0" collapsed="false">
      <c r="A4" s="22" t="s">
        <v>235</v>
      </c>
      <c r="B4" s="22"/>
      <c r="C4" s="22"/>
      <c r="D4" s="22"/>
      <c r="E4" s="37" t="n">
        <f aca="false" t="array" ref="E4:E4">IF(E3="Series",SUM(C12:C29)*BattCellMaxV,C12*BattCellMaxV*SUM(IF(FREQUENCY(E12:E29,E12:E29)&gt;0,1)))</f>
        <v>403.2</v>
      </c>
      <c r="F4" s="1" t="s">
        <v>17</v>
      </c>
      <c r="G4" s="5" t="str">
        <f aca="false">IF(E4 &gt; 600, ErrorText, OKText)</f>
        <v>OK</v>
      </c>
    </row>
    <row r="5" customFormat="false" ht="13.5" hidden="false" customHeight="false" outlineLevel="0" collapsed="false">
      <c r="A5" s="22" t="s">
        <v>236</v>
      </c>
      <c r="B5" s="22"/>
      <c r="C5" s="22"/>
      <c r="D5" s="22"/>
      <c r="E5" s="37" t="n">
        <f aca="false" t="array" ref="E5:E5">IF(E3="Series",SUM(C12:C29)*BattCellNomV,C12*BattCellNomV*SUM(IF(FREQUENCY(E12:E29,E12:E29)&gt;0,1)))</f>
        <v>345.6</v>
      </c>
      <c r="F5" s="1" t="s">
        <v>17</v>
      </c>
    </row>
    <row r="6" customFormat="false" ht="13.5" hidden="false" customHeight="false" outlineLevel="0" collapsed="false">
      <c r="A6" s="22" t="s">
        <v>237</v>
      </c>
      <c r="B6" s="22"/>
      <c r="C6" s="22"/>
      <c r="D6" s="22"/>
      <c r="E6" s="37" t="n">
        <f aca="false">SUMPRODUCT(B12:B29,C12:C29)</f>
        <v>480</v>
      </c>
    </row>
    <row r="8" customFormat="false" ht="13.5" hidden="false" customHeight="false" outlineLevel="0" collapsed="false">
      <c r="A8" s="2" t="s">
        <v>238</v>
      </c>
      <c r="B8" s="2"/>
      <c r="C8" s="2"/>
      <c r="D8" s="2"/>
      <c r="E8" s="2"/>
      <c r="F8" s="2"/>
      <c r="G8" s="2"/>
      <c r="H8" s="2"/>
      <c r="I8" s="2"/>
      <c r="J8" s="5" t="str">
        <f aca="false">IF(COUNTIF(J9:J29, "="&amp;IncompleteText), IncompleteText, IF(COUNTIF(J9:J29, "="&amp;ErrorText), ErrorText, OKText))</f>
        <v>OK</v>
      </c>
      <c r="K8" s="2" t="s">
        <v>239</v>
      </c>
      <c r="L8" s="2"/>
      <c r="M8" s="2"/>
      <c r="N8" s="2"/>
      <c r="O8" s="2"/>
      <c r="P8" s="2"/>
      <c r="Q8" s="5" t="str">
        <f aca="false">IF(COUNTIF(Q9:Q30, "="&amp;IncompleteText), IncompleteText, IF(COUNTIF(Q9:Q30, "="&amp;ErrorText), ErrorText, OKText))</f>
        <v>OK</v>
      </c>
      <c r="R8" s="2" t="s">
        <v>240</v>
      </c>
      <c r="S8" s="2"/>
      <c r="T8" s="2"/>
      <c r="U8" s="2"/>
      <c r="V8" s="2"/>
      <c r="W8" s="5" t="str">
        <f aca="false">IF(COUNTIF(W9:W21, "="&amp;IncompleteText), IncompleteText, IF(COUNTIF(W9:W21, "="&amp;ErrorText), ErrorText, OKText))</f>
        <v>BLANK</v>
      </c>
      <c r="X8" s="2" t="s">
        <v>186</v>
      </c>
      <c r="Y8" s="2"/>
      <c r="Z8" s="2"/>
      <c r="AA8" s="2"/>
      <c r="AB8" s="2"/>
      <c r="AC8" s="2"/>
      <c r="AD8" s="5" t="str">
        <f aca="false">IF(COUNTIF(AD9:AD17, "="&amp;IncompleteText), IncompleteText, IF(COUNTIF(AD9:AD17, "="&amp;ErrorText), ErrorText, OKText))</f>
        <v>OK</v>
      </c>
      <c r="AE8" s="2" t="s">
        <v>20</v>
      </c>
      <c r="AF8" s="2"/>
      <c r="AG8" s="2"/>
      <c r="AH8" s="2"/>
      <c r="AI8" s="2"/>
      <c r="AJ8" s="2"/>
      <c r="AK8" s="2"/>
    </row>
    <row r="9" customFormat="false" ht="13.5" hidden="false" customHeight="true" outlineLevel="0" collapsed="false">
      <c r="A9" s="22" t="s">
        <v>241</v>
      </c>
      <c r="B9" s="22"/>
      <c r="C9" s="22"/>
      <c r="D9" s="34" t="s">
        <v>242</v>
      </c>
      <c r="E9" s="34"/>
      <c r="J9" s="5" t="str">
        <f aca="false">IF(ISBLANK(D9), IncompleteText, OKText)</f>
        <v>OK</v>
      </c>
      <c r="K9" s="22" t="s">
        <v>243</v>
      </c>
      <c r="L9" s="22"/>
      <c r="M9" s="22"/>
      <c r="N9" s="22"/>
      <c r="O9" s="7" t="s">
        <v>244</v>
      </c>
      <c r="P9" s="7"/>
      <c r="Q9" s="5" t="str">
        <f aca="false">IF(ISBLANK(O9), IncompleteText, OKText)</f>
        <v>OK</v>
      </c>
      <c r="R9" s="22" t="s">
        <v>245</v>
      </c>
      <c r="S9" s="22"/>
      <c r="T9" s="22"/>
      <c r="U9" s="34"/>
      <c r="V9" s="34"/>
      <c r="W9" s="5" t="str">
        <f aca="false">IF(ISBLANK(U9), IncompleteText, OKText)</f>
        <v>BLANK</v>
      </c>
      <c r="X9" s="22" t="s">
        <v>246</v>
      </c>
      <c r="Y9" s="22"/>
      <c r="Z9" s="22"/>
      <c r="AA9" s="22"/>
      <c r="AB9" s="7" t="s">
        <v>247</v>
      </c>
      <c r="AC9" s="7"/>
      <c r="AD9" s="5" t="str">
        <f aca="false">IF(ISBLANK(AB9), IncompleteText, OKText)</f>
        <v>OK</v>
      </c>
      <c r="AE9" s="11"/>
      <c r="AF9" s="11"/>
      <c r="AG9" s="11"/>
      <c r="AH9" s="11"/>
      <c r="AI9" s="11"/>
      <c r="AJ9" s="11"/>
      <c r="AK9" s="11"/>
    </row>
    <row r="10" customFormat="false" ht="13.5" hidden="false" customHeight="true" outlineLevel="0" collapsed="false">
      <c r="A10" s="27" t="s">
        <v>248</v>
      </c>
      <c r="B10" s="33" t="s">
        <v>249</v>
      </c>
      <c r="C10" s="33" t="s">
        <v>250</v>
      </c>
      <c r="D10" s="33" t="s">
        <v>251</v>
      </c>
      <c r="E10" s="33" t="s">
        <v>252</v>
      </c>
      <c r="F10" s="27" t="s">
        <v>253</v>
      </c>
      <c r="G10" s="27"/>
      <c r="H10" s="33" t="s">
        <v>254</v>
      </c>
      <c r="I10" s="33"/>
      <c r="K10" s="22" t="s">
        <v>255</v>
      </c>
      <c r="L10" s="22"/>
      <c r="M10" s="22"/>
      <c r="N10" s="22"/>
      <c r="O10" s="7" t="s">
        <v>256</v>
      </c>
      <c r="P10" s="7"/>
      <c r="Q10" s="5" t="str">
        <f aca="false">IF(ISBLANK(O10), IncompleteText, OKText)</f>
        <v>OK</v>
      </c>
      <c r="R10" s="22" t="s">
        <v>257</v>
      </c>
      <c r="S10" s="22"/>
      <c r="T10" s="22"/>
      <c r="U10" s="37" t="e">
        <f aca="false">VLOOKUP(U9, ConnectorsTable, 5, FALSE())</f>
        <v>#N/A</v>
      </c>
      <c r="V10" s="1" t="s">
        <v>19</v>
      </c>
      <c r="W10" s="5" t="str">
        <f aca="false">IF(ISERROR(U10),IncompleteText,IF(E3="Series",IF(U10&gt;=U20,OKText,ErrorText),IF(E3="Parallel",IF(U10&gt;=U12,OKText,ErrorText),IncompleteText)))</f>
        <v>BLANK</v>
      </c>
      <c r="X10" s="22" t="s">
        <v>258</v>
      </c>
      <c r="Y10" s="22"/>
      <c r="Z10" s="22"/>
      <c r="AA10" s="22"/>
      <c r="AB10" s="37" t="n">
        <f aca="false">VLOOKUP(AB9, InsulationsTable, 6, FALSE())</f>
        <v>8250</v>
      </c>
      <c r="AC10" s="49" t="s">
        <v>17</v>
      </c>
      <c r="AD10" s="5" t="str">
        <f aca="false">IF(ISERROR(AB10), IncompleteText, IF(AB10 &lt; MaxTSVoltage,  ErrorText, OKText))</f>
        <v>OK</v>
      </c>
      <c r="AE10" s="11"/>
      <c r="AF10" s="11"/>
      <c r="AG10" s="11"/>
      <c r="AH10" s="11"/>
      <c r="AI10" s="11"/>
      <c r="AJ10" s="11"/>
      <c r="AK10" s="11"/>
    </row>
    <row r="11" customFormat="false" ht="16.4" hidden="false" customHeight="false" outlineLevel="0" collapsed="false">
      <c r="A11" s="27"/>
      <c r="B11" s="33"/>
      <c r="C11" s="33"/>
      <c r="D11" s="33"/>
      <c r="E11" s="33"/>
      <c r="F11" s="27"/>
      <c r="G11" s="27"/>
      <c r="H11" s="33"/>
      <c r="I11" s="33"/>
      <c r="K11" s="19" t="s">
        <v>30</v>
      </c>
      <c r="L11" s="7" t="s">
        <v>259</v>
      </c>
      <c r="M11" s="7"/>
      <c r="N11" s="19" t="s">
        <v>32</v>
      </c>
      <c r="O11" s="7" t="s">
        <v>260</v>
      </c>
      <c r="P11" s="7"/>
      <c r="Q11" s="5" t="str">
        <f aca="false">IF(O10="Purchased", IF(OR(ISBLANK(L11), ISBLANK(O11)), IncompleteText, OKText), "")</f>
        <v>OK</v>
      </c>
      <c r="R11" s="22" t="s">
        <v>261</v>
      </c>
      <c r="S11" s="22"/>
      <c r="T11" s="22"/>
      <c r="U11" s="34"/>
      <c r="V11" s="34"/>
      <c r="W11" s="5" t="str">
        <f aca="false">IF(E3="Series","",IF(ISBLANK(U11), IncompleteText, OKText))</f>
        <v/>
      </c>
      <c r="X11" s="22" t="s">
        <v>262</v>
      </c>
      <c r="Y11" s="22"/>
      <c r="Z11" s="22"/>
      <c r="AA11" s="22"/>
      <c r="AB11" s="37" t="n">
        <f aca="false">VLOOKUP(AB9, InsulationsTable, 7, FALSE())</f>
        <v>400</v>
      </c>
      <c r="AC11" s="49" t="s">
        <v>42</v>
      </c>
      <c r="AD11" s="5" t="str">
        <f aca="false">IF(ISERROR(AB11), IncompleteText, IF(AB11 &lt; 90,  ErrorText, OKText))</f>
        <v>OK</v>
      </c>
      <c r="AE11" s="11"/>
      <c r="AF11" s="11"/>
      <c r="AG11" s="11"/>
      <c r="AH11" s="11"/>
      <c r="AI11" s="11"/>
      <c r="AJ11" s="11"/>
      <c r="AK11" s="11"/>
    </row>
    <row r="12" customFormat="false" ht="16.4" hidden="false" customHeight="false" outlineLevel="0" collapsed="false">
      <c r="A12" s="1" t="n">
        <v>1</v>
      </c>
      <c r="B12" s="29" t="n">
        <v>5</v>
      </c>
      <c r="C12" s="29" t="n">
        <v>12</v>
      </c>
      <c r="D12" s="29" t="n">
        <v>12</v>
      </c>
      <c r="E12" s="29" t="n">
        <v>1</v>
      </c>
      <c r="F12" s="50" t="n">
        <f aca="false">C12*BattCellMaxV</f>
        <v>50.4</v>
      </c>
      <c r="G12" s="50"/>
      <c r="H12" s="50" t="n">
        <f aca="false">F12*B12*BattCellCapacity*0.0036</f>
        <v>2.830464</v>
      </c>
      <c r="I12" s="50"/>
      <c r="J12" s="5" t="str">
        <f aca="false">IF(COUNTBLANK(A12:E12) &gt; 0, IncompleteText, IF(OR(F12&gt;120, H12&gt;6), ErrorText, OKText))</f>
        <v>OK</v>
      </c>
      <c r="K12" s="22" t="s">
        <v>263</v>
      </c>
      <c r="L12" s="22"/>
      <c r="M12" s="22"/>
      <c r="N12" s="22"/>
      <c r="O12" s="29" t="n">
        <v>2500</v>
      </c>
      <c r="P12" s="1" t="s">
        <v>17</v>
      </c>
      <c r="Q12" s="5" t="str">
        <f aca="false">IF(ISBLANK(O12), IncompleteText, IF(O12&lt;E4, ErrorText, OKText))</f>
        <v>OK</v>
      </c>
      <c r="R12" s="22" t="s">
        <v>264</v>
      </c>
      <c r="S12" s="22"/>
      <c r="T12" s="22"/>
      <c r="U12" s="37" t="e">
        <f aca="false">VLOOKUP(U11, FusesTable, 6, FALSE())</f>
        <v>#N/A</v>
      </c>
      <c r="V12" s="51" t="s">
        <v>19</v>
      </c>
      <c r="X12" s="22" t="s">
        <v>265</v>
      </c>
      <c r="Y12" s="22"/>
      <c r="Z12" s="22"/>
      <c r="AA12" s="22"/>
      <c r="AB12" s="7" t="s">
        <v>247</v>
      </c>
      <c r="AC12" s="7"/>
      <c r="AD12" s="5" t="str">
        <f aca="false">IF(ISBLANK(AB12), IncompleteText, OKText)</f>
        <v>OK</v>
      </c>
      <c r="AE12" s="11"/>
      <c r="AF12" s="11"/>
      <c r="AG12" s="11"/>
      <c r="AH12" s="11"/>
      <c r="AI12" s="11"/>
      <c r="AJ12" s="11"/>
      <c r="AK12" s="11"/>
    </row>
    <row r="13" customFormat="false" ht="16.4" hidden="false" customHeight="false" outlineLevel="0" collapsed="false">
      <c r="A13" s="1" t="n">
        <v>2</v>
      </c>
      <c r="B13" s="29" t="n">
        <v>5</v>
      </c>
      <c r="C13" s="29" t="n">
        <v>12</v>
      </c>
      <c r="D13" s="29" t="n">
        <v>12</v>
      </c>
      <c r="E13" s="29" t="n">
        <v>1</v>
      </c>
      <c r="F13" s="50" t="n">
        <f aca="false">C13*BattCellMaxV</f>
        <v>50.4</v>
      </c>
      <c r="G13" s="50"/>
      <c r="H13" s="50" t="n">
        <f aca="false">F13*B13*BattCellCapacity*0.0036</f>
        <v>2.830464</v>
      </c>
      <c r="I13" s="50"/>
      <c r="J13" s="5" t="str">
        <f aca="false">IF(COUNTBLANK(A13:E13)=4,"",IF(COUNTBLANK(A13:E13) &gt; 0, IncompleteText, IF(OR(F13&gt;120, H13&gt;6), ErrorText, OKText)))</f>
        <v>OK</v>
      </c>
      <c r="K13" s="22" t="s">
        <v>266</v>
      </c>
      <c r="L13" s="22"/>
      <c r="M13" s="22"/>
      <c r="N13" s="22"/>
      <c r="O13" s="29" t="n">
        <v>100</v>
      </c>
      <c r="P13" s="1" t="s">
        <v>17</v>
      </c>
      <c r="Q13" s="5" t="str">
        <f aca="false">IF(ISBLANK(O13), IncompleteText, IF(O13&lt;MAX(F12:G29), ErrorText, OKText))</f>
        <v>OK</v>
      </c>
      <c r="R13" s="2" t="s">
        <v>267</v>
      </c>
      <c r="S13" s="2"/>
      <c r="T13" s="2"/>
      <c r="U13" s="2"/>
      <c r="V13" s="2"/>
      <c r="X13" s="22" t="s">
        <v>258</v>
      </c>
      <c r="Y13" s="22"/>
      <c r="Z13" s="22"/>
      <c r="AA13" s="22"/>
      <c r="AB13" s="37" t="n">
        <f aca="false">VLOOKUP(AB12, InsulationsTable, 6, FALSE())</f>
        <v>8250</v>
      </c>
      <c r="AC13" s="49" t="s">
        <v>17</v>
      </c>
      <c r="AD13" s="5" t="str">
        <f aca="false">IF(ISERROR(AB13), IncompleteText, IF(AB13 &lt; MaxTSVoltage,  ErrorText, OKText))</f>
        <v>OK</v>
      </c>
      <c r="AE13" s="11"/>
      <c r="AF13" s="11"/>
      <c r="AG13" s="11"/>
      <c r="AH13" s="11"/>
      <c r="AI13" s="11"/>
      <c r="AJ13" s="11"/>
      <c r="AK13" s="11"/>
    </row>
    <row r="14" customFormat="false" ht="16.4" hidden="false" customHeight="false" outlineLevel="0" collapsed="false">
      <c r="A14" s="1" t="n">
        <v>3</v>
      </c>
      <c r="B14" s="29" t="n">
        <v>5</v>
      </c>
      <c r="C14" s="29" t="n">
        <v>12</v>
      </c>
      <c r="D14" s="29" t="n">
        <v>12</v>
      </c>
      <c r="E14" s="29" t="n">
        <v>1</v>
      </c>
      <c r="F14" s="50" t="n">
        <f aca="false">C14*BattCellMaxV</f>
        <v>50.4</v>
      </c>
      <c r="G14" s="50"/>
      <c r="H14" s="50" t="n">
        <f aca="false">F14*B14*BattCellCapacity*0.0036</f>
        <v>2.830464</v>
      </c>
      <c r="I14" s="50"/>
      <c r="J14" s="5" t="str">
        <f aca="false">IF(COUNTBLANK(A14:E14)=4,"",IF(COUNTBLANK(A14:E14) &gt; 0, IncompleteText, IF(OR(F14&gt;120, H14&gt;6), ErrorText, OKText)))</f>
        <v>OK</v>
      </c>
      <c r="K14" s="22" t="s">
        <v>268</v>
      </c>
      <c r="L14" s="22"/>
      <c r="M14" s="22"/>
      <c r="N14" s="22"/>
      <c r="O14" s="7"/>
      <c r="P14" s="7"/>
      <c r="Q14" s="5" t="str">
        <f aca="false">IF($O$10="Team Built", IF(ISBLANK(O14), IncompleteText, OKText), "")</f>
        <v/>
      </c>
      <c r="R14" s="22" t="s">
        <v>269</v>
      </c>
      <c r="S14" s="22"/>
      <c r="T14" s="22"/>
      <c r="U14" s="34" t="s">
        <v>270</v>
      </c>
      <c r="V14" s="34"/>
      <c r="W14" s="5" t="str">
        <f aca="false">IF(ISBLANK(U14), IncompleteText, OKText)</f>
        <v>OK</v>
      </c>
      <c r="X14" s="22" t="s">
        <v>262</v>
      </c>
      <c r="Y14" s="22"/>
      <c r="Z14" s="22"/>
      <c r="AA14" s="22"/>
      <c r="AB14" s="37" t="n">
        <f aca="false">VLOOKUP(AB12, InsulationsTable, 7, FALSE())</f>
        <v>400</v>
      </c>
      <c r="AC14" s="49" t="s">
        <v>42</v>
      </c>
      <c r="AD14" s="5" t="str">
        <f aca="false">IF(ISERROR(AB14), IncompleteText, IF(AB14 &lt; 90,  ErrorText, OKText))</f>
        <v>OK</v>
      </c>
      <c r="AE14" s="11"/>
      <c r="AF14" s="11"/>
      <c r="AG14" s="11"/>
      <c r="AH14" s="11"/>
      <c r="AI14" s="11"/>
      <c r="AJ14" s="11"/>
      <c r="AK14" s="11"/>
    </row>
    <row r="15" customFormat="false" ht="16.4" hidden="false" customHeight="false" outlineLevel="0" collapsed="false">
      <c r="A15" s="1" t="n">
        <v>4</v>
      </c>
      <c r="B15" s="29" t="n">
        <v>5</v>
      </c>
      <c r="C15" s="29" t="n">
        <v>12</v>
      </c>
      <c r="D15" s="29" t="n">
        <v>12</v>
      </c>
      <c r="E15" s="29" t="n">
        <v>1</v>
      </c>
      <c r="F15" s="50" t="n">
        <f aca="false">C15*BattCellMaxV</f>
        <v>50.4</v>
      </c>
      <c r="G15" s="50"/>
      <c r="H15" s="50" t="n">
        <f aca="false">F15*B15*BattCellCapacity*0.0036</f>
        <v>2.830464</v>
      </c>
      <c r="I15" s="50"/>
      <c r="J15" s="5" t="str">
        <f aca="false">IF(COUNTBLANK(A15:E15)=4,"",IF(COUNTBLANK(A15:E15) &gt; 0, IncompleteText, IF(OR(F15&gt;120, H15&gt;6), ErrorText, OKText)))</f>
        <v>OK</v>
      </c>
      <c r="K15" s="22" t="s">
        <v>271</v>
      </c>
      <c r="L15" s="22"/>
      <c r="M15" s="22"/>
      <c r="N15" s="22"/>
      <c r="O15" s="7"/>
      <c r="P15" s="7"/>
      <c r="Q15" s="5" t="str">
        <f aca="false">IF($O$10="Team Built", IF(ISBLANK(O15), IncompleteText, OKText), "")</f>
        <v/>
      </c>
      <c r="R15" s="22" t="s">
        <v>272</v>
      </c>
      <c r="S15" s="22"/>
      <c r="T15" s="22"/>
      <c r="U15" s="37" t="n">
        <f aca="false">VLOOKUP(U14, ContactorsTable, 4, FALSE())</f>
        <v>800</v>
      </c>
      <c r="V15" s="1" t="s">
        <v>17</v>
      </c>
      <c r="W15" s="5" t="str">
        <f aca="false">IF(ISERROR(U15), IncompleteText, IF(U15 &lt; MaxTSVoltage,  ErrorText, OKText))</f>
        <v>OK</v>
      </c>
      <c r="X15" s="22" t="s">
        <v>273</v>
      </c>
      <c r="Y15" s="22"/>
      <c r="Z15" s="22"/>
      <c r="AA15" s="22"/>
      <c r="AB15" s="7" t="s">
        <v>247</v>
      </c>
      <c r="AC15" s="7"/>
      <c r="AD15" s="5" t="str">
        <f aca="false">IF(ISBLANK(AB15), IncompleteText, OKText)</f>
        <v>OK</v>
      </c>
      <c r="AE15" s="11"/>
      <c r="AF15" s="11"/>
      <c r="AG15" s="11"/>
      <c r="AH15" s="11"/>
      <c r="AI15" s="11"/>
      <c r="AJ15" s="11"/>
      <c r="AK15" s="11"/>
    </row>
    <row r="16" customFormat="false" ht="13.8" hidden="false" customHeight="false" outlineLevel="0" collapsed="false">
      <c r="A16" s="1" t="n">
        <v>5</v>
      </c>
      <c r="B16" s="29" t="n">
        <v>5</v>
      </c>
      <c r="C16" s="29" t="n">
        <v>12</v>
      </c>
      <c r="D16" s="29" t="n">
        <v>12</v>
      </c>
      <c r="E16" s="29" t="n">
        <v>1</v>
      </c>
      <c r="F16" s="50" t="n">
        <f aca="false">C16*BattCellMaxV</f>
        <v>50.4</v>
      </c>
      <c r="G16" s="50"/>
      <c r="H16" s="50" t="n">
        <f aca="false">F16*B16*BattCellCapacity*0.0036</f>
        <v>2.830464</v>
      </c>
      <c r="I16" s="50"/>
      <c r="J16" s="5" t="str">
        <f aca="false">IF(COUNTBLANK(A16:E16)=4,"",IF(COUNTBLANK(A16:E16) &gt; 0, IncompleteText, IF(OR(F16&gt;120, H16&gt;6), ErrorText, OKText)))</f>
        <v>OK</v>
      </c>
      <c r="K16" s="52" t="s">
        <v>274</v>
      </c>
      <c r="L16" s="52"/>
      <c r="M16" s="52"/>
      <c r="N16" s="52"/>
      <c r="O16" s="52"/>
      <c r="P16" s="52"/>
      <c r="R16" s="22" t="s">
        <v>275</v>
      </c>
      <c r="S16" s="22"/>
      <c r="T16" s="22"/>
      <c r="U16" s="37" t="n">
        <f aca="false">VLOOKUP(U14, ContactorsTable, 6, FALSE())</f>
        <v>900</v>
      </c>
      <c r="V16" s="1" t="s">
        <v>19</v>
      </c>
      <c r="X16" s="22" t="s">
        <v>258</v>
      </c>
      <c r="Y16" s="22"/>
      <c r="Z16" s="22"/>
      <c r="AA16" s="22"/>
      <c r="AB16" s="37" t="n">
        <f aca="false">VLOOKUP(AB15, InsulationsTable, 6, FALSE())</f>
        <v>8250</v>
      </c>
      <c r="AC16" s="49" t="s">
        <v>17</v>
      </c>
      <c r="AD16" s="5" t="str">
        <f aca="false">IF(ISERROR(AB16), IncompleteText, IF(AB16 &lt; MaxTSVoltage,  ErrorText, OKText))</f>
        <v>OK</v>
      </c>
      <c r="AE16" s="11"/>
      <c r="AF16" s="11"/>
      <c r="AG16" s="11"/>
      <c r="AH16" s="11"/>
      <c r="AI16" s="11"/>
      <c r="AJ16" s="11"/>
      <c r="AK16" s="11"/>
    </row>
    <row r="17" customFormat="false" ht="13.8" hidden="false" customHeight="false" outlineLevel="0" collapsed="false">
      <c r="A17" s="1" t="n">
        <v>6</v>
      </c>
      <c r="B17" s="29" t="n">
        <v>5</v>
      </c>
      <c r="C17" s="29" t="n">
        <v>12</v>
      </c>
      <c r="D17" s="29" t="n">
        <v>12</v>
      </c>
      <c r="E17" s="29" t="n">
        <v>1</v>
      </c>
      <c r="F17" s="50" t="n">
        <f aca="false">C17*BattCellMaxV</f>
        <v>50.4</v>
      </c>
      <c r="G17" s="50"/>
      <c r="H17" s="50" t="n">
        <f aca="false">F17*B17*BattCellCapacity*0.0036</f>
        <v>2.830464</v>
      </c>
      <c r="I17" s="50"/>
      <c r="J17" s="5" t="str">
        <f aca="false">IF(COUNTBLANK(A17:E17)=4,"",IF(COUNTBLANK(A17:E17) &gt; 0, IncompleteText, IF(OR(F17&gt;120, H17&gt;6), ErrorText, OKText)))</f>
        <v>OK</v>
      </c>
      <c r="K17" s="22" t="s">
        <v>276</v>
      </c>
      <c r="L17" s="22"/>
      <c r="M17" s="22"/>
      <c r="N17" s="22"/>
      <c r="O17" s="29" t="n">
        <v>55</v>
      </c>
      <c r="P17" s="1" t="s">
        <v>277</v>
      </c>
      <c r="Q17" s="5" t="str">
        <f aca="false">IF(ISBLANK(O17), IncompleteText, OKText)</f>
        <v>OK</v>
      </c>
      <c r="R17" s="22" t="s">
        <v>40</v>
      </c>
      <c r="S17" s="22"/>
      <c r="T17" s="22"/>
      <c r="U17" s="37" t="n">
        <f aca="false">VLOOKUP(U14, ContactorsTable, 5, FALSE())</f>
        <v>325</v>
      </c>
      <c r="V17" s="1" t="s">
        <v>19</v>
      </c>
      <c r="W17" s="5" t="str">
        <f aca="false">IF(ISERROR(U17), IncompleteText, IF(U17&gt;=U20, OKText, ErrorText))</f>
        <v>OK</v>
      </c>
      <c r="X17" s="22" t="s">
        <v>262</v>
      </c>
      <c r="Y17" s="22"/>
      <c r="Z17" s="22"/>
      <c r="AA17" s="22"/>
      <c r="AB17" s="37" t="n">
        <f aca="false">VLOOKUP(AB15, InsulationsTable, 7, FALSE())</f>
        <v>400</v>
      </c>
      <c r="AC17" s="49" t="s">
        <v>42</v>
      </c>
      <c r="AD17" s="5" t="str">
        <f aca="false">IF(ISERROR(AB17), IncompleteText, IF(AB17 &lt; 90,  ErrorText, OKText))</f>
        <v>OK</v>
      </c>
      <c r="AE17" s="11"/>
      <c r="AF17" s="11"/>
      <c r="AG17" s="11"/>
      <c r="AH17" s="11"/>
      <c r="AI17" s="11"/>
      <c r="AJ17" s="11"/>
      <c r="AK17" s="11"/>
    </row>
    <row r="18" customFormat="false" ht="13.8" hidden="false" customHeight="false" outlineLevel="0" collapsed="false">
      <c r="A18" s="1" t="n">
        <v>7</v>
      </c>
      <c r="B18" s="29" t="n">
        <v>5</v>
      </c>
      <c r="C18" s="29" t="n">
        <v>12</v>
      </c>
      <c r="D18" s="29" t="n">
        <v>12</v>
      </c>
      <c r="E18" s="29" t="n">
        <v>1</v>
      </c>
      <c r="F18" s="50" t="n">
        <f aca="false">C18*BattCellMaxV</f>
        <v>50.4</v>
      </c>
      <c r="G18" s="50"/>
      <c r="H18" s="50" t="n">
        <f aca="false">F18*B18*BattCellCapacity*0.0036</f>
        <v>2.830464</v>
      </c>
      <c r="I18" s="50"/>
      <c r="J18" s="5" t="str">
        <f aca="false">IF(COUNTBLANK(A18:E18)=4,"",IF(COUNTBLANK(A18:E18) &gt; 0, IncompleteText, IF(OR(F18&gt;120, H18&gt;6), ErrorText, OKText)))</f>
        <v>OK</v>
      </c>
      <c r="K18" s="53" t="s">
        <v>278</v>
      </c>
      <c r="L18" s="53"/>
      <c r="M18" s="53"/>
      <c r="N18" s="53"/>
      <c r="O18" s="7" t="s">
        <v>279</v>
      </c>
      <c r="P18" s="7"/>
      <c r="Q18" s="5" t="str">
        <f aca="false">IF(ISBLANK(O18), IncompleteText, OKText)</f>
        <v>OK</v>
      </c>
      <c r="R18" s="2" t="s">
        <v>280</v>
      </c>
      <c r="S18" s="2"/>
      <c r="T18" s="2"/>
      <c r="U18" s="2"/>
      <c r="V18" s="2"/>
      <c r="AE18" s="11"/>
      <c r="AF18" s="11"/>
      <c r="AG18" s="11"/>
      <c r="AH18" s="11"/>
      <c r="AI18" s="11"/>
      <c r="AJ18" s="11"/>
      <c r="AK18" s="11"/>
    </row>
    <row r="19" customFormat="false" ht="13.8" hidden="false" customHeight="false" outlineLevel="0" collapsed="false">
      <c r="A19" s="1" t="n">
        <v>8</v>
      </c>
      <c r="B19" s="29" t="n">
        <v>5</v>
      </c>
      <c r="C19" s="29" t="n">
        <v>12</v>
      </c>
      <c r="D19" s="29" t="n">
        <v>12</v>
      </c>
      <c r="E19" s="29" t="n">
        <v>1</v>
      </c>
      <c r="F19" s="50" t="n">
        <f aca="false">C19*BattCellMaxV</f>
        <v>50.4</v>
      </c>
      <c r="G19" s="50"/>
      <c r="H19" s="50" t="n">
        <f aca="false">F19*B19*BattCellCapacity*0.0036</f>
        <v>2.830464</v>
      </c>
      <c r="I19" s="50"/>
      <c r="J19" s="5" t="str">
        <f aca="false">IF(COUNTBLANK(A19:E19)=4,"",IF(COUNTBLANK(A19:E19) &gt; 0, IncompleteText, IF(OR(F19&gt;120, H19&gt;6), ErrorText, OKText)))</f>
        <v>OK</v>
      </c>
      <c r="K19" s="22" t="s">
        <v>281</v>
      </c>
      <c r="L19" s="22"/>
      <c r="M19" s="22"/>
      <c r="N19" s="22"/>
      <c r="O19" s="7" t="s">
        <v>10</v>
      </c>
      <c r="P19" s="7"/>
      <c r="Q19" s="5" t="str">
        <f aca="false">IF(ISBLANK(O19), IncompleteText, OKText)</f>
        <v>OK</v>
      </c>
      <c r="R19" s="22" t="s">
        <v>280</v>
      </c>
      <c r="S19" s="22"/>
      <c r="T19" s="22"/>
      <c r="U19" s="34" t="s">
        <v>282</v>
      </c>
      <c r="V19" s="34"/>
      <c r="W19" s="5" t="str">
        <f aca="false">IF(ISBLANK(U19), IncompleteText, OKText)</f>
        <v>OK</v>
      </c>
      <c r="AE19" s="11"/>
      <c r="AF19" s="11"/>
      <c r="AG19" s="11"/>
      <c r="AH19" s="11"/>
      <c r="AI19" s="11"/>
      <c r="AJ19" s="11"/>
      <c r="AK19" s="11"/>
    </row>
    <row r="20" customFormat="false" ht="16.4" hidden="false" customHeight="false" outlineLevel="0" collapsed="false">
      <c r="A20" s="1" t="n">
        <v>9</v>
      </c>
      <c r="B20" s="29"/>
      <c r="C20" s="29"/>
      <c r="D20" s="29"/>
      <c r="E20" s="29"/>
      <c r="F20" s="50" t="n">
        <f aca="false">C20*BattCellMaxV</f>
        <v>0</v>
      </c>
      <c r="G20" s="50"/>
      <c r="H20" s="50" t="n">
        <f aca="false">F20*B20*BattCellCapacity*0.0036</f>
        <v>0</v>
      </c>
      <c r="I20" s="50"/>
      <c r="J20" s="5" t="str">
        <f aca="false">IF(COUNTBLANK(A20:E20)=4,"",IF(COUNTBLANK(A20:E20) &gt; 0, IncompleteText, IF(OR(F20&gt;120, H20&gt;6), ErrorText, OKText)))</f>
        <v/>
      </c>
      <c r="K20" s="22" t="s">
        <v>283</v>
      </c>
      <c r="L20" s="22"/>
      <c r="M20" s="22"/>
      <c r="N20" s="22"/>
      <c r="O20" s="34" t="s">
        <v>284</v>
      </c>
      <c r="P20" s="34"/>
      <c r="Q20" s="5" t="str">
        <f aca="false">IF(O19="Other", IF(ISBLANK(O20), IncompleteText, OKText), "")</f>
        <v>OK</v>
      </c>
      <c r="R20" s="22" t="s">
        <v>285</v>
      </c>
      <c r="S20" s="22"/>
      <c r="T20" s="22"/>
      <c r="U20" s="37" t="n">
        <f aca="false">VLOOKUP(U19, FusesTable, 6, FALSE())</f>
        <v>75</v>
      </c>
      <c r="V20" s="1" t="s">
        <v>19</v>
      </c>
      <c r="AE20" s="11"/>
      <c r="AF20" s="11"/>
      <c r="AG20" s="11"/>
      <c r="AH20" s="11"/>
      <c r="AI20" s="11"/>
      <c r="AJ20" s="11"/>
      <c r="AK20" s="11"/>
    </row>
    <row r="21" customFormat="false" ht="13.5" hidden="false" customHeight="false" outlineLevel="0" collapsed="false">
      <c r="A21" s="1" t="n">
        <v>10</v>
      </c>
      <c r="B21" s="29"/>
      <c r="C21" s="29"/>
      <c r="D21" s="29"/>
      <c r="E21" s="29"/>
      <c r="F21" s="50" t="n">
        <f aca="false">C21*BattCellMaxV</f>
        <v>0</v>
      </c>
      <c r="G21" s="50"/>
      <c r="H21" s="50" t="n">
        <f aca="false">F21*B21*BattCellCapacity*0.0036</f>
        <v>0</v>
      </c>
      <c r="I21" s="50"/>
      <c r="J21" s="5" t="str">
        <f aca="false">IF(COUNTBLANK(A21:E21)=4,"",IF(COUNTBLANK(A21:E21) &gt; 0, IncompleteText, IF(OR(F21&gt;120, H21&gt;6), ErrorText, OKText)))</f>
        <v/>
      </c>
      <c r="K21" s="22" t="s">
        <v>286</v>
      </c>
      <c r="L21" s="22"/>
      <c r="M21" s="22"/>
      <c r="N21" s="22"/>
      <c r="O21" s="54" t="n">
        <f aca="false">VLOOKUP(O18, FusesTable, 4, FALSE())</f>
        <v>450</v>
      </c>
      <c r="P21" s="54"/>
      <c r="Q21" s="5" t="str">
        <f aca="false">IF(ISERROR(O21), IncompleteText, IF(AND(O21 &lt; MAX(F12:G29), O9 = "Centralized"),  ErrorText, OKText))</f>
        <v>OK</v>
      </c>
      <c r="R21" s="22" t="s">
        <v>287</v>
      </c>
      <c r="S21" s="22"/>
      <c r="T21" s="22"/>
      <c r="U21" s="37" t="n">
        <f aca="false">VLOOKUP(U19, FusesTable, 4, FALSE())</f>
        <v>500</v>
      </c>
      <c r="V21" s="1" t="s">
        <v>17</v>
      </c>
      <c r="W21" s="5" t="str">
        <f aca="false">IF(U21 &lt; MaxTSVoltage, ErrorText, OKText)</f>
        <v>OK</v>
      </c>
      <c r="AE21" s="11"/>
      <c r="AF21" s="11"/>
      <c r="AG21" s="11"/>
      <c r="AH21" s="11"/>
      <c r="AI21" s="11"/>
      <c r="AJ21" s="11"/>
      <c r="AK21" s="11"/>
    </row>
    <row r="22" customFormat="false" ht="16.4" hidden="false" customHeight="false" outlineLevel="0" collapsed="false">
      <c r="A22" s="1" t="n">
        <v>11</v>
      </c>
      <c r="B22" s="29"/>
      <c r="C22" s="29"/>
      <c r="D22" s="29"/>
      <c r="E22" s="29"/>
      <c r="F22" s="50" t="n">
        <f aca="false">C22*BattCellMaxV</f>
        <v>0</v>
      </c>
      <c r="G22" s="50"/>
      <c r="H22" s="50" t="n">
        <f aca="false">F22*B22*BattCellCapacity*0.0036</f>
        <v>0</v>
      </c>
      <c r="I22" s="50"/>
      <c r="J22" s="5" t="str">
        <f aca="false">IF(COUNTBLANK(A22:E22)=4,"",IF(COUNTBLANK(A22:E22) &gt; 0, IncompleteText, IF(OR(F22&gt;120, H22&gt;6), ErrorText, OKText)))</f>
        <v/>
      </c>
      <c r="K22" s="52" t="s">
        <v>288</v>
      </c>
      <c r="L22" s="52"/>
      <c r="M22" s="52"/>
      <c r="N22" s="52"/>
      <c r="O22" s="52"/>
      <c r="P22" s="52"/>
      <c r="AE22" s="11"/>
      <c r="AF22" s="11"/>
      <c r="AG22" s="11"/>
      <c r="AH22" s="11"/>
      <c r="AI22" s="11"/>
      <c r="AJ22" s="11"/>
      <c r="AK22" s="11"/>
    </row>
    <row r="23" customFormat="false" ht="16.4" hidden="false" customHeight="false" outlineLevel="0" collapsed="false">
      <c r="A23" s="1" t="n">
        <v>12</v>
      </c>
      <c r="B23" s="29"/>
      <c r="C23" s="29"/>
      <c r="D23" s="29"/>
      <c r="E23" s="29"/>
      <c r="F23" s="50" t="n">
        <f aca="false">C23*BattCellMaxV</f>
        <v>0</v>
      </c>
      <c r="G23" s="50"/>
      <c r="H23" s="50" t="n">
        <f aca="false">F23*B23*BattCellCapacity*0.0036</f>
        <v>0</v>
      </c>
      <c r="I23" s="50"/>
      <c r="J23" s="5" t="str">
        <f aca="false">IF(COUNTBLANK(A23:E23)=4,"",IF(COUNTBLANK(A23:E23) &gt; 0, IncompleteText, IF(OR(F23&gt;120, H23&gt;6), ErrorText, OKText)))</f>
        <v/>
      </c>
      <c r="K23" s="22" t="s">
        <v>289</v>
      </c>
      <c r="L23" s="22"/>
      <c r="M23" s="22"/>
      <c r="N23" s="22"/>
      <c r="O23" s="34" t="s">
        <v>290</v>
      </c>
      <c r="P23" s="34"/>
      <c r="Q23" s="5" t="str">
        <f aca="false">IF(ISBLANK(O23), IncompleteText, OKText)</f>
        <v>OK</v>
      </c>
      <c r="AE23" s="11"/>
      <c r="AF23" s="11"/>
      <c r="AG23" s="11"/>
      <c r="AH23" s="11"/>
      <c r="AI23" s="11"/>
      <c r="AJ23" s="11"/>
      <c r="AK23" s="11"/>
    </row>
    <row r="24" customFormat="false" ht="16.4" hidden="false" customHeight="false" outlineLevel="0" collapsed="false">
      <c r="A24" s="1" t="n">
        <v>13</v>
      </c>
      <c r="B24" s="29"/>
      <c r="C24" s="29"/>
      <c r="D24" s="29"/>
      <c r="E24" s="29"/>
      <c r="F24" s="50" t="n">
        <f aca="false">C24*BattCellMaxV</f>
        <v>0</v>
      </c>
      <c r="G24" s="50"/>
      <c r="H24" s="50" t="n">
        <f aca="false">F24*B24*BattCellCapacity*0.0036</f>
        <v>0</v>
      </c>
      <c r="I24" s="50"/>
      <c r="J24" s="5" t="str">
        <f aca="false">IF(COUNTBLANK(A24:E24)=4,"",IF(COUNTBLANK(A24:E24) &gt; 0, IncompleteText, IF(OR(F24&gt;120, H24&gt;6), ErrorText, OKText)))</f>
        <v/>
      </c>
      <c r="K24" s="22" t="s">
        <v>291</v>
      </c>
      <c r="L24" s="22"/>
      <c r="M24" s="22"/>
      <c r="N24" s="22"/>
      <c r="O24" s="29"/>
      <c r="P24" s="51" t="s">
        <v>292</v>
      </c>
      <c r="Q24" s="45" t="str">
        <f aca="false">IF(O23="On cell terminal","",IF(ISBLANK(O24),IncompleteText,IF(O24&lt;10,OKText,ErrorText)))</f>
        <v/>
      </c>
      <c r="AE24" s="11"/>
      <c r="AF24" s="11"/>
      <c r="AG24" s="11"/>
      <c r="AH24" s="11"/>
      <c r="AI24" s="11"/>
      <c r="AJ24" s="11"/>
      <c r="AK24" s="11"/>
    </row>
    <row r="25" customFormat="false" ht="16.4" hidden="false" customHeight="false" outlineLevel="0" collapsed="false">
      <c r="A25" s="1" t="n">
        <v>14</v>
      </c>
      <c r="B25" s="29"/>
      <c r="C25" s="29"/>
      <c r="D25" s="29"/>
      <c r="E25" s="29"/>
      <c r="F25" s="50" t="n">
        <f aca="false">C25*BattCellMaxV</f>
        <v>0</v>
      </c>
      <c r="G25" s="50"/>
      <c r="H25" s="50" t="n">
        <f aca="false">F25*B25*BattCellCapacity*0.0036</f>
        <v>0</v>
      </c>
      <c r="I25" s="50"/>
      <c r="J25" s="5" t="str">
        <f aca="false">IF(COUNTBLANK(A25:E25)=4,"",IF(COUNTBLANK(A25:E25) &gt; 0, IncompleteText, IF(OR(F25&gt;120, H25&gt;6), ErrorText, OKText)))</f>
        <v/>
      </c>
      <c r="K25" s="22" t="s">
        <v>293</v>
      </c>
      <c r="L25" s="22"/>
      <c r="M25" s="22"/>
      <c r="N25" s="22"/>
      <c r="O25" s="29" t="n">
        <v>5</v>
      </c>
      <c r="P25" s="1" t="s">
        <v>294</v>
      </c>
      <c r="Q25" s="5" t="str">
        <f aca="false">IF(ISBLANK(O25), IncompleteText, OKText)</f>
        <v>OK</v>
      </c>
      <c r="AE25" s="11"/>
      <c r="AF25" s="11"/>
      <c r="AG25" s="11"/>
      <c r="AH25" s="11"/>
      <c r="AI25" s="11"/>
      <c r="AJ25" s="11"/>
      <c r="AK25" s="11"/>
    </row>
    <row r="26" customFormat="false" ht="16.4" hidden="false" customHeight="false" outlineLevel="0" collapsed="false">
      <c r="A26" s="1" t="n">
        <v>15</v>
      </c>
      <c r="B26" s="29"/>
      <c r="C26" s="29"/>
      <c r="D26" s="29"/>
      <c r="E26" s="29"/>
      <c r="F26" s="50" t="n">
        <f aca="false">C26*BattCellMaxV</f>
        <v>0</v>
      </c>
      <c r="G26" s="50"/>
      <c r="H26" s="50" t="n">
        <f aca="false">F26*B26*BattCellCapacity*0.0036</f>
        <v>0</v>
      </c>
      <c r="I26" s="50"/>
      <c r="J26" s="5" t="str">
        <f aca="false">IF(COUNTBLANK(A26:E26)=4,"",IF(COUNTBLANK(A26:E26) &gt; 0, IncompleteText, IF(OR(F26&gt;120, H26&gt;6), ErrorText, OKText)))</f>
        <v/>
      </c>
      <c r="K26" s="22" t="s">
        <v>295</v>
      </c>
      <c r="L26" s="22"/>
      <c r="M26" s="22"/>
      <c r="N26" s="22"/>
      <c r="O26" s="55"/>
      <c r="P26" s="56"/>
      <c r="Q26" s="26"/>
      <c r="AE26" s="11"/>
      <c r="AF26" s="11"/>
      <c r="AG26" s="11"/>
      <c r="AH26" s="11"/>
      <c r="AI26" s="11"/>
      <c r="AJ26" s="11"/>
      <c r="AK26" s="11"/>
    </row>
    <row r="27" customFormat="false" ht="16.4" hidden="false" customHeight="false" outlineLevel="0" collapsed="false">
      <c r="A27" s="1" t="n">
        <v>16</v>
      </c>
      <c r="B27" s="29"/>
      <c r="C27" s="29"/>
      <c r="D27" s="29"/>
      <c r="E27" s="29"/>
      <c r="F27" s="50" t="n">
        <f aca="false">C27*BattCellMaxV</f>
        <v>0</v>
      </c>
      <c r="G27" s="50"/>
      <c r="H27" s="50" t="n">
        <f aca="false">F27*B27*BattCellCapacity*0.0036</f>
        <v>0</v>
      </c>
      <c r="I27" s="50"/>
      <c r="J27" s="5" t="str">
        <f aca="false">IF(COUNTBLANK(A27:E27)=4,"",IF(COUNTBLANK(A27:E27) &gt; 0, IncompleteText, IF(OR(F27&gt;120, H27&gt;6), ErrorText, OKText)))</f>
        <v/>
      </c>
      <c r="K27" s="22" t="s">
        <v>296</v>
      </c>
      <c r="L27" s="22"/>
      <c r="M27" s="22"/>
      <c r="N27" s="22"/>
      <c r="O27" s="55"/>
      <c r="P27" s="56"/>
      <c r="Q27" s="5" t="str">
        <f aca="false">IF(ISBLANK($O$26), "", IF(ISBLANK(O27), IncompleteText, OKText))</f>
        <v/>
      </c>
      <c r="AE27" s="11"/>
      <c r="AF27" s="11"/>
      <c r="AG27" s="11"/>
      <c r="AH27" s="11"/>
      <c r="AI27" s="11"/>
      <c r="AJ27" s="11"/>
      <c r="AK27" s="11"/>
    </row>
    <row r="28" customFormat="false" ht="16.4" hidden="false" customHeight="false" outlineLevel="0" collapsed="false">
      <c r="A28" s="1" t="n">
        <v>17</v>
      </c>
      <c r="B28" s="29"/>
      <c r="C28" s="29"/>
      <c r="D28" s="29"/>
      <c r="E28" s="29"/>
      <c r="F28" s="50" t="n">
        <f aca="false">C28*BattCellMaxV</f>
        <v>0</v>
      </c>
      <c r="G28" s="50"/>
      <c r="H28" s="50" t="n">
        <f aca="false">F28*B28*BattCellCapacity*0.0036</f>
        <v>0</v>
      </c>
      <c r="I28" s="50"/>
      <c r="J28" s="5" t="str">
        <f aca="false">IF(COUNTBLANK(A28:E28)=4,"",IF(COUNTBLANK(A28:E28) &gt; 0, IncompleteText, IF(OR(F28&gt;120, H28&gt;6), ErrorText, OKText)))</f>
        <v/>
      </c>
      <c r="K28" s="22" t="s">
        <v>297</v>
      </c>
      <c r="L28" s="22"/>
      <c r="M28" s="22"/>
      <c r="N28" s="22"/>
      <c r="O28" s="29"/>
      <c r="P28" s="1" t="s">
        <v>298</v>
      </c>
      <c r="Q28" s="5" t="str">
        <f aca="false">IF(ISBLANK($O$26), "", IF(ISBLANK(O28), IncompleteText, OKText))</f>
        <v/>
      </c>
      <c r="AE28" s="11"/>
      <c r="AF28" s="11"/>
      <c r="AG28" s="11"/>
      <c r="AH28" s="11"/>
      <c r="AI28" s="11"/>
      <c r="AJ28" s="11"/>
      <c r="AK28" s="11"/>
    </row>
    <row r="29" customFormat="false" ht="13.5" hidden="false" customHeight="false" outlineLevel="0" collapsed="false">
      <c r="A29" s="1" t="n">
        <v>18</v>
      </c>
      <c r="B29" s="29"/>
      <c r="C29" s="29"/>
      <c r="D29" s="29"/>
      <c r="E29" s="29"/>
      <c r="F29" s="50" t="n">
        <f aca="false">C29*BattCellMaxV</f>
        <v>0</v>
      </c>
      <c r="G29" s="50"/>
      <c r="H29" s="50" t="n">
        <f aca="false">F29*B29*BattCellCapacity*0.0036</f>
        <v>0</v>
      </c>
      <c r="I29" s="50"/>
      <c r="J29" s="5" t="str">
        <f aca="false">IF(COUNTBLANK(A29:E29)=4,"",IF(COUNTBLANK(A29:E29) &gt; 0, IncompleteText, IF(OR(F29&gt;120, H29&gt;6), ErrorText, OKText)))</f>
        <v/>
      </c>
      <c r="K29" s="22" t="s">
        <v>299</v>
      </c>
      <c r="L29" s="22"/>
      <c r="M29" s="22"/>
      <c r="N29" s="22"/>
      <c r="O29" s="29"/>
      <c r="P29" s="1" t="s">
        <v>292</v>
      </c>
      <c r="Q29" s="5" t="str">
        <f aca="false">IF(ISBLANK($O$26), "", IF(ISBLANK(O29), IncompleteText, OKText))</f>
        <v/>
      </c>
      <c r="AE29" s="11"/>
      <c r="AF29" s="11"/>
      <c r="AG29" s="11"/>
      <c r="AH29" s="11"/>
      <c r="AI29" s="11"/>
      <c r="AJ29" s="11"/>
      <c r="AK29" s="11"/>
    </row>
    <row r="30" customFormat="false" ht="16.4" hidden="false" customHeight="false" outlineLevel="0" collapsed="false">
      <c r="K30" s="22" t="s">
        <v>300</v>
      </c>
      <c r="L30" s="22"/>
      <c r="M30" s="22"/>
      <c r="N30" s="22"/>
      <c r="O30" s="37" t="n">
        <f aca="false">SUMIF(J12:J29, "=OK", D12:D29)*CellsPerTempSensor/TotalCells*100</f>
        <v>100</v>
      </c>
      <c r="P30" s="1" t="s">
        <v>301</v>
      </c>
      <c r="Q30" s="5" t="str">
        <f aca="false">IF(ISERROR(O30),IncompleteText,IF(O30&lt;20,ErrorText,OKText))</f>
        <v>OK</v>
      </c>
    </row>
    <row r="31" customFormat="false" ht="16.4" hidden="false" customHeight="false" outlineLevel="0" collapsed="false"/>
    <row r="32" customFormat="false" ht="16.4" hidden="false" customHeight="false" outlineLevel="0" collapsed="false"/>
    <row r="33" customFormat="false" ht="16.4" hidden="false" customHeight="true" outlineLevel="0" collapsed="false">
      <c r="A33" s="38" t="s">
        <v>302</v>
      </c>
      <c r="B33" s="38"/>
      <c r="C33" s="38"/>
      <c r="D33" s="38"/>
      <c r="E33" s="38"/>
      <c r="F33" s="38"/>
      <c r="G33" s="38"/>
      <c r="H33" s="38"/>
      <c r="J33" s="57" t="s">
        <v>303</v>
      </c>
      <c r="K33" s="57"/>
      <c r="L33" s="57"/>
      <c r="M33" s="57"/>
      <c r="N33" s="57"/>
      <c r="O33" s="57"/>
      <c r="P33" s="57"/>
      <c r="Q33" s="57"/>
      <c r="S33" s="38" t="s">
        <v>304</v>
      </c>
      <c r="T33" s="38"/>
      <c r="U33" s="38"/>
      <c r="V33" s="38"/>
      <c r="W33" s="38"/>
      <c r="X33" s="38"/>
      <c r="Y33" s="38"/>
      <c r="Z33" s="38"/>
      <c r="AB33" s="38" t="s">
        <v>305</v>
      </c>
      <c r="AC33" s="38"/>
      <c r="AD33" s="38"/>
      <c r="AE33" s="38"/>
      <c r="AF33" s="38"/>
      <c r="AG33" s="38"/>
      <c r="AH33" s="38"/>
      <c r="AI33" s="38"/>
      <c r="AK33" s="57" t="s">
        <v>306</v>
      </c>
      <c r="AL33" s="57"/>
      <c r="AM33" s="57"/>
      <c r="AN33" s="57"/>
      <c r="AO33" s="57"/>
      <c r="AP33" s="57"/>
      <c r="AQ33" s="57"/>
      <c r="AR33" s="57"/>
      <c r="AT33" s="38" t="s">
        <v>307</v>
      </c>
      <c r="AU33" s="38"/>
      <c r="AV33" s="38"/>
      <c r="AW33" s="38"/>
      <c r="AX33" s="38"/>
      <c r="AY33" s="38"/>
      <c r="AZ33" s="38"/>
      <c r="BA33" s="38"/>
    </row>
    <row r="34" customFormat="false" ht="16.4" hidden="false" customHeight="false" outlineLevel="0" collapsed="false">
      <c r="A34" s="38"/>
      <c r="B34" s="38"/>
      <c r="C34" s="38"/>
      <c r="D34" s="38"/>
      <c r="E34" s="38"/>
      <c r="F34" s="38"/>
      <c r="G34" s="38"/>
      <c r="H34" s="38"/>
      <c r="J34" s="57"/>
      <c r="K34" s="57"/>
      <c r="L34" s="57"/>
      <c r="M34" s="57"/>
      <c r="N34" s="57"/>
      <c r="O34" s="57"/>
      <c r="P34" s="57"/>
      <c r="Q34" s="57"/>
      <c r="S34" s="38"/>
      <c r="T34" s="38"/>
      <c r="U34" s="38"/>
      <c r="V34" s="38"/>
      <c r="W34" s="38"/>
      <c r="X34" s="38"/>
      <c r="Y34" s="38"/>
      <c r="Z34" s="38"/>
      <c r="AB34" s="38"/>
      <c r="AC34" s="38"/>
      <c r="AD34" s="38"/>
      <c r="AE34" s="38"/>
      <c r="AF34" s="38"/>
      <c r="AG34" s="38"/>
      <c r="AH34" s="38"/>
      <c r="AI34" s="38"/>
      <c r="AK34" s="57"/>
      <c r="AL34" s="57"/>
      <c r="AM34" s="57"/>
      <c r="AN34" s="57"/>
      <c r="AO34" s="57"/>
      <c r="AP34" s="57"/>
      <c r="AQ34" s="57"/>
      <c r="AR34" s="57"/>
      <c r="AT34" s="38"/>
      <c r="AU34" s="38"/>
      <c r="AV34" s="38"/>
      <c r="AW34" s="38"/>
      <c r="AX34" s="38"/>
      <c r="AY34" s="38"/>
      <c r="AZ34" s="38"/>
      <c r="BA34" s="38"/>
    </row>
    <row r="35" customFormat="false" ht="16.4" hidden="false" customHeight="false" outlineLevel="0" collapsed="false">
      <c r="A35" s="38"/>
      <c r="B35" s="38"/>
      <c r="C35" s="38"/>
      <c r="D35" s="38"/>
      <c r="E35" s="38"/>
      <c r="F35" s="38"/>
      <c r="G35" s="38"/>
      <c r="H35" s="38"/>
      <c r="J35" s="57"/>
      <c r="K35" s="57"/>
      <c r="L35" s="57"/>
      <c r="M35" s="57"/>
      <c r="N35" s="57"/>
      <c r="O35" s="57"/>
      <c r="P35" s="57"/>
      <c r="Q35" s="57"/>
      <c r="S35" s="38"/>
      <c r="T35" s="38"/>
      <c r="U35" s="38"/>
      <c r="V35" s="38"/>
      <c r="W35" s="38"/>
      <c r="X35" s="38"/>
      <c r="Y35" s="38"/>
      <c r="Z35" s="38"/>
      <c r="AB35" s="38"/>
      <c r="AC35" s="38"/>
      <c r="AD35" s="38"/>
      <c r="AE35" s="38"/>
      <c r="AF35" s="38"/>
      <c r="AG35" s="38"/>
      <c r="AH35" s="38"/>
      <c r="AI35" s="38"/>
      <c r="AK35" s="57"/>
      <c r="AL35" s="57"/>
      <c r="AM35" s="57"/>
      <c r="AN35" s="57"/>
      <c r="AO35" s="57"/>
      <c r="AP35" s="57"/>
      <c r="AQ35" s="57"/>
      <c r="AR35" s="57"/>
      <c r="AT35" s="38"/>
      <c r="AU35" s="38"/>
      <c r="AV35" s="38"/>
      <c r="AW35" s="38"/>
      <c r="AX35" s="38"/>
      <c r="AY35" s="38"/>
      <c r="AZ35" s="38"/>
      <c r="BA35" s="38"/>
    </row>
    <row r="36" customFormat="false" ht="16.4" hidden="false" customHeight="false" outlineLevel="0" collapsed="false">
      <c r="A36" s="38"/>
      <c r="B36" s="38"/>
      <c r="C36" s="38"/>
      <c r="D36" s="38"/>
      <c r="E36" s="38"/>
      <c r="F36" s="38"/>
      <c r="G36" s="38"/>
      <c r="H36" s="38"/>
      <c r="J36" s="57"/>
      <c r="K36" s="57"/>
      <c r="L36" s="57"/>
      <c r="M36" s="57"/>
      <c r="N36" s="57"/>
      <c r="O36" s="57"/>
      <c r="P36" s="57"/>
      <c r="Q36" s="57"/>
      <c r="S36" s="38"/>
      <c r="T36" s="38"/>
      <c r="U36" s="38"/>
      <c r="V36" s="38"/>
      <c r="W36" s="38"/>
      <c r="X36" s="38"/>
      <c r="Y36" s="38"/>
      <c r="Z36" s="38"/>
      <c r="AB36" s="38"/>
      <c r="AC36" s="38"/>
      <c r="AD36" s="38"/>
      <c r="AE36" s="38"/>
      <c r="AF36" s="38"/>
      <c r="AG36" s="38"/>
      <c r="AH36" s="38"/>
      <c r="AI36" s="38"/>
      <c r="AK36" s="57"/>
      <c r="AL36" s="57"/>
      <c r="AM36" s="57"/>
      <c r="AN36" s="57"/>
      <c r="AO36" s="57"/>
      <c r="AP36" s="57"/>
      <c r="AQ36" s="57"/>
      <c r="AR36" s="57"/>
      <c r="AT36" s="38"/>
      <c r="AU36" s="38"/>
      <c r="AV36" s="38"/>
      <c r="AW36" s="38"/>
      <c r="AX36" s="38"/>
      <c r="AY36" s="38"/>
      <c r="AZ36" s="38"/>
      <c r="BA36" s="38"/>
    </row>
    <row r="37" customFormat="false" ht="16.4" hidden="false" customHeight="false" outlineLevel="0" collapsed="false">
      <c r="A37" s="38"/>
      <c r="B37" s="38"/>
      <c r="C37" s="38"/>
      <c r="D37" s="38"/>
      <c r="E37" s="38"/>
      <c r="F37" s="38"/>
      <c r="G37" s="38"/>
      <c r="H37" s="38"/>
      <c r="J37" s="57"/>
      <c r="K37" s="57"/>
      <c r="L37" s="57"/>
      <c r="M37" s="57"/>
      <c r="N37" s="57"/>
      <c r="O37" s="57"/>
      <c r="P37" s="57"/>
      <c r="Q37" s="57"/>
      <c r="S37" s="38"/>
      <c r="T37" s="38"/>
      <c r="U37" s="38"/>
      <c r="V37" s="38"/>
      <c r="W37" s="38"/>
      <c r="X37" s="38"/>
      <c r="Y37" s="38"/>
      <c r="Z37" s="38"/>
      <c r="AB37" s="38"/>
      <c r="AC37" s="38"/>
      <c r="AD37" s="38"/>
      <c r="AE37" s="38"/>
      <c r="AF37" s="38"/>
      <c r="AG37" s="38"/>
      <c r="AH37" s="38"/>
      <c r="AI37" s="38"/>
      <c r="AK37" s="57"/>
      <c r="AL37" s="57"/>
      <c r="AM37" s="57"/>
      <c r="AN37" s="57"/>
      <c r="AO37" s="57"/>
      <c r="AP37" s="57"/>
      <c r="AQ37" s="57"/>
      <c r="AR37" s="57"/>
      <c r="AT37" s="38"/>
      <c r="AU37" s="38"/>
      <c r="AV37" s="38"/>
      <c r="AW37" s="38"/>
      <c r="AX37" s="38"/>
      <c r="AY37" s="38"/>
      <c r="AZ37" s="38"/>
      <c r="BA37" s="38"/>
    </row>
    <row r="38" customFormat="false" ht="16.4" hidden="false" customHeight="false" outlineLevel="0" collapsed="false">
      <c r="A38" s="38"/>
      <c r="B38" s="38"/>
      <c r="C38" s="38"/>
      <c r="D38" s="38"/>
      <c r="E38" s="38"/>
      <c r="F38" s="38"/>
      <c r="G38" s="38"/>
      <c r="H38" s="38"/>
      <c r="J38" s="57"/>
      <c r="K38" s="57"/>
      <c r="L38" s="57"/>
      <c r="M38" s="57"/>
      <c r="N38" s="57"/>
      <c r="O38" s="57"/>
      <c r="P38" s="57"/>
      <c r="Q38" s="57"/>
      <c r="S38" s="38"/>
      <c r="T38" s="38"/>
      <c r="U38" s="38"/>
      <c r="V38" s="38"/>
      <c r="W38" s="38"/>
      <c r="X38" s="38"/>
      <c r="Y38" s="38"/>
      <c r="Z38" s="38"/>
      <c r="AB38" s="38"/>
      <c r="AC38" s="38"/>
      <c r="AD38" s="38"/>
      <c r="AE38" s="38"/>
      <c r="AF38" s="38"/>
      <c r="AG38" s="38"/>
      <c r="AH38" s="38"/>
      <c r="AI38" s="38"/>
      <c r="AK38" s="57"/>
      <c r="AL38" s="57"/>
      <c r="AM38" s="57"/>
      <c r="AN38" s="57"/>
      <c r="AO38" s="57"/>
      <c r="AP38" s="57"/>
      <c r="AQ38" s="57"/>
      <c r="AR38" s="57"/>
      <c r="AT38" s="38"/>
      <c r="AU38" s="38"/>
      <c r="AV38" s="38"/>
      <c r="AW38" s="38"/>
      <c r="AX38" s="38"/>
      <c r="AY38" s="38"/>
      <c r="AZ38" s="38"/>
      <c r="BA38" s="38"/>
    </row>
    <row r="39" customFormat="false" ht="16.4" hidden="false" customHeight="false" outlineLevel="0" collapsed="false">
      <c r="A39" s="38"/>
      <c r="B39" s="38"/>
      <c r="C39" s="38"/>
      <c r="D39" s="38"/>
      <c r="E39" s="38"/>
      <c r="F39" s="38"/>
      <c r="G39" s="38"/>
      <c r="H39" s="38"/>
      <c r="J39" s="57"/>
      <c r="K39" s="57"/>
      <c r="L39" s="57"/>
      <c r="M39" s="57"/>
      <c r="N39" s="57"/>
      <c r="O39" s="57"/>
      <c r="P39" s="57"/>
      <c r="Q39" s="57"/>
      <c r="S39" s="38"/>
      <c r="T39" s="38"/>
      <c r="U39" s="38"/>
      <c r="V39" s="38"/>
      <c r="W39" s="38"/>
      <c r="X39" s="38"/>
      <c r="Y39" s="38"/>
      <c r="Z39" s="38"/>
      <c r="AB39" s="38"/>
      <c r="AC39" s="38"/>
      <c r="AD39" s="38"/>
      <c r="AE39" s="38"/>
      <c r="AF39" s="38"/>
      <c r="AG39" s="38"/>
      <c r="AH39" s="38"/>
      <c r="AI39" s="38"/>
      <c r="AK39" s="57"/>
      <c r="AL39" s="57"/>
      <c r="AM39" s="57"/>
      <c r="AN39" s="57"/>
      <c r="AO39" s="57"/>
      <c r="AP39" s="57"/>
      <c r="AQ39" s="57"/>
      <c r="AR39" s="57"/>
      <c r="AT39" s="38"/>
      <c r="AU39" s="38"/>
      <c r="AV39" s="38"/>
      <c r="AW39" s="38"/>
      <c r="AX39" s="38"/>
      <c r="AY39" s="38"/>
      <c r="AZ39" s="38"/>
      <c r="BA39" s="38"/>
    </row>
    <row r="40" customFormat="false" ht="16.4" hidden="false" customHeight="false" outlineLevel="0" collapsed="false">
      <c r="A40" s="38"/>
      <c r="B40" s="38"/>
      <c r="C40" s="38"/>
      <c r="D40" s="38"/>
      <c r="E40" s="38"/>
      <c r="F40" s="38"/>
      <c r="G40" s="38"/>
      <c r="H40" s="38"/>
      <c r="J40" s="57"/>
      <c r="K40" s="57"/>
      <c r="L40" s="57"/>
      <c r="M40" s="57"/>
      <c r="N40" s="57"/>
      <c r="O40" s="57"/>
      <c r="P40" s="57"/>
      <c r="Q40" s="57"/>
      <c r="S40" s="38"/>
      <c r="T40" s="38"/>
      <c r="U40" s="38"/>
      <c r="V40" s="38"/>
      <c r="W40" s="38"/>
      <c r="X40" s="38"/>
      <c r="Y40" s="38"/>
      <c r="Z40" s="38"/>
      <c r="AB40" s="38"/>
      <c r="AC40" s="38"/>
      <c r="AD40" s="38"/>
      <c r="AE40" s="38"/>
      <c r="AF40" s="38"/>
      <c r="AG40" s="38"/>
      <c r="AH40" s="38"/>
      <c r="AI40" s="38"/>
      <c r="AK40" s="57"/>
      <c r="AL40" s="57"/>
      <c r="AM40" s="57"/>
      <c r="AN40" s="57"/>
      <c r="AO40" s="57"/>
      <c r="AP40" s="57"/>
      <c r="AQ40" s="57"/>
      <c r="AR40" s="57"/>
      <c r="AT40" s="38"/>
      <c r="AU40" s="38"/>
      <c r="AV40" s="38"/>
      <c r="AW40" s="38"/>
      <c r="AX40" s="38"/>
      <c r="AY40" s="38"/>
      <c r="AZ40" s="38"/>
      <c r="BA40" s="38"/>
    </row>
    <row r="41" customFormat="false" ht="16.4" hidden="false" customHeight="false" outlineLevel="0" collapsed="false">
      <c r="A41" s="38"/>
      <c r="B41" s="38"/>
      <c r="C41" s="38"/>
      <c r="D41" s="38"/>
      <c r="E41" s="38"/>
      <c r="F41" s="38"/>
      <c r="G41" s="38"/>
      <c r="H41" s="38"/>
      <c r="J41" s="57"/>
      <c r="K41" s="57"/>
      <c r="L41" s="57"/>
      <c r="M41" s="57"/>
      <c r="N41" s="57"/>
      <c r="O41" s="57"/>
      <c r="P41" s="57"/>
      <c r="Q41" s="57"/>
      <c r="S41" s="38"/>
      <c r="T41" s="38"/>
      <c r="U41" s="38"/>
      <c r="V41" s="38"/>
      <c r="W41" s="38"/>
      <c r="X41" s="38"/>
      <c r="Y41" s="38"/>
      <c r="Z41" s="38"/>
      <c r="AB41" s="38"/>
      <c r="AC41" s="38"/>
      <c r="AD41" s="38"/>
      <c r="AE41" s="38"/>
      <c r="AF41" s="38"/>
      <c r="AG41" s="38"/>
      <c r="AH41" s="38"/>
      <c r="AI41" s="38"/>
      <c r="AK41" s="57"/>
      <c r="AL41" s="57"/>
      <c r="AM41" s="57"/>
      <c r="AN41" s="57"/>
      <c r="AO41" s="57"/>
      <c r="AP41" s="57"/>
      <c r="AQ41" s="57"/>
      <c r="AR41" s="57"/>
      <c r="AT41" s="38"/>
      <c r="AU41" s="38"/>
      <c r="AV41" s="38"/>
      <c r="AW41" s="38"/>
      <c r="AX41" s="38"/>
      <c r="AY41" s="38"/>
      <c r="AZ41" s="38"/>
      <c r="BA41" s="38"/>
    </row>
    <row r="42" customFormat="false" ht="16.4" hidden="false" customHeight="false" outlineLevel="0" collapsed="false">
      <c r="A42" s="38"/>
      <c r="B42" s="38"/>
      <c r="C42" s="38"/>
      <c r="D42" s="38"/>
      <c r="E42" s="38"/>
      <c r="F42" s="38"/>
      <c r="G42" s="38"/>
      <c r="H42" s="38"/>
      <c r="J42" s="57"/>
      <c r="K42" s="57"/>
      <c r="L42" s="57"/>
      <c r="M42" s="57"/>
      <c r="N42" s="57"/>
      <c r="O42" s="57"/>
      <c r="P42" s="57"/>
      <c r="Q42" s="57"/>
      <c r="S42" s="38"/>
      <c r="T42" s="38"/>
      <c r="U42" s="38"/>
      <c r="V42" s="38"/>
      <c r="W42" s="38"/>
      <c r="X42" s="38"/>
      <c r="Y42" s="38"/>
      <c r="Z42" s="38"/>
      <c r="AB42" s="38"/>
      <c r="AC42" s="38"/>
      <c r="AD42" s="38"/>
      <c r="AE42" s="38"/>
      <c r="AF42" s="38"/>
      <c r="AG42" s="38"/>
      <c r="AH42" s="38"/>
      <c r="AI42" s="38"/>
      <c r="AK42" s="57"/>
      <c r="AL42" s="57"/>
      <c r="AM42" s="57"/>
      <c r="AN42" s="57"/>
      <c r="AO42" s="57"/>
      <c r="AP42" s="57"/>
      <c r="AQ42" s="57"/>
      <c r="AR42" s="57"/>
      <c r="AT42" s="38"/>
      <c r="AU42" s="38"/>
      <c r="AV42" s="38"/>
      <c r="AW42" s="38"/>
      <c r="AX42" s="38"/>
      <c r="AY42" s="38"/>
      <c r="AZ42" s="38"/>
      <c r="BA42" s="38"/>
    </row>
    <row r="43" customFormat="false" ht="16.4" hidden="false" customHeight="false" outlineLevel="0" collapsed="false">
      <c r="A43" s="38"/>
      <c r="B43" s="38"/>
      <c r="C43" s="38"/>
      <c r="D43" s="38"/>
      <c r="E43" s="38"/>
      <c r="F43" s="38"/>
      <c r="G43" s="38"/>
      <c r="H43" s="38"/>
      <c r="J43" s="57"/>
      <c r="K43" s="57"/>
      <c r="L43" s="57"/>
      <c r="M43" s="57"/>
      <c r="N43" s="57"/>
      <c r="O43" s="57"/>
      <c r="P43" s="57"/>
      <c r="Q43" s="57"/>
      <c r="S43" s="38"/>
      <c r="T43" s="38"/>
      <c r="U43" s="38"/>
      <c r="V43" s="38"/>
      <c r="W43" s="38"/>
      <c r="X43" s="38"/>
      <c r="Y43" s="38"/>
      <c r="Z43" s="38"/>
      <c r="AB43" s="38"/>
      <c r="AC43" s="38"/>
      <c r="AD43" s="38"/>
      <c r="AE43" s="38"/>
      <c r="AF43" s="38"/>
      <c r="AG43" s="38"/>
      <c r="AH43" s="38"/>
      <c r="AI43" s="38"/>
      <c r="AK43" s="57"/>
      <c r="AL43" s="57"/>
      <c r="AM43" s="57"/>
      <c r="AN43" s="57"/>
      <c r="AO43" s="57"/>
      <c r="AP43" s="57"/>
      <c r="AQ43" s="57"/>
      <c r="AR43" s="57"/>
      <c r="AT43" s="38"/>
      <c r="AU43" s="38"/>
      <c r="AV43" s="38"/>
      <c r="AW43" s="38"/>
      <c r="AX43" s="38"/>
      <c r="AY43" s="38"/>
      <c r="AZ43" s="38"/>
      <c r="BA43" s="38"/>
    </row>
    <row r="44" customFormat="false" ht="16.4" hidden="false" customHeight="false" outlineLevel="0" collapsed="false">
      <c r="A44" s="38"/>
      <c r="B44" s="38"/>
      <c r="C44" s="38"/>
      <c r="D44" s="38"/>
      <c r="E44" s="38"/>
      <c r="F44" s="38"/>
      <c r="G44" s="38"/>
      <c r="H44" s="38"/>
      <c r="J44" s="57"/>
      <c r="K44" s="57"/>
      <c r="L44" s="57"/>
      <c r="M44" s="57"/>
      <c r="N44" s="57"/>
      <c r="O44" s="57"/>
      <c r="P44" s="57"/>
      <c r="Q44" s="57"/>
      <c r="S44" s="38"/>
      <c r="T44" s="38"/>
      <c r="U44" s="38"/>
      <c r="V44" s="38"/>
      <c r="W44" s="38"/>
      <c r="X44" s="38"/>
      <c r="Y44" s="38"/>
      <c r="Z44" s="38"/>
      <c r="AB44" s="38"/>
      <c r="AC44" s="38"/>
      <c r="AD44" s="38"/>
      <c r="AE44" s="38"/>
      <c r="AF44" s="38"/>
      <c r="AG44" s="38"/>
      <c r="AH44" s="38"/>
      <c r="AI44" s="38"/>
      <c r="AK44" s="57"/>
      <c r="AL44" s="57"/>
      <c r="AM44" s="57"/>
      <c r="AN44" s="57"/>
      <c r="AO44" s="57"/>
      <c r="AP44" s="57"/>
      <c r="AQ44" s="57"/>
      <c r="AR44" s="57"/>
      <c r="AT44" s="38"/>
      <c r="AU44" s="38"/>
      <c r="AV44" s="38"/>
      <c r="AW44" s="38"/>
      <c r="AX44" s="38"/>
      <c r="AY44" s="38"/>
      <c r="AZ44" s="38"/>
      <c r="BA44" s="38"/>
    </row>
    <row r="45" customFormat="false" ht="16.4" hidden="false" customHeight="false" outlineLevel="0" collapsed="false">
      <c r="A45" s="38"/>
      <c r="B45" s="38"/>
      <c r="C45" s="38"/>
      <c r="D45" s="38"/>
      <c r="E45" s="38"/>
      <c r="F45" s="38"/>
      <c r="G45" s="38"/>
      <c r="H45" s="38"/>
      <c r="J45" s="57"/>
      <c r="K45" s="57"/>
      <c r="L45" s="57"/>
      <c r="M45" s="57"/>
      <c r="N45" s="57"/>
      <c r="O45" s="57"/>
      <c r="P45" s="57"/>
      <c r="Q45" s="57"/>
      <c r="S45" s="38"/>
      <c r="T45" s="38"/>
      <c r="U45" s="38"/>
      <c r="V45" s="38"/>
      <c r="W45" s="38"/>
      <c r="X45" s="38"/>
      <c r="Y45" s="38"/>
      <c r="Z45" s="38"/>
      <c r="AB45" s="38"/>
      <c r="AC45" s="38"/>
      <c r="AD45" s="38"/>
      <c r="AE45" s="38"/>
      <c r="AF45" s="38"/>
      <c r="AG45" s="38"/>
      <c r="AH45" s="38"/>
      <c r="AI45" s="38"/>
      <c r="AK45" s="57"/>
      <c r="AL45" s="57"/>
      <c r="AM45" s="57"/>
      <c r="AN45" s="57"/>
      <c r="AO45" s="57"/>
      <c r="AP45" s="57"/>
      <c r="AQ45" s="57"/>
      <c r="AR45" s="57"/>
      <c r="AT45" s="38"/>
      <c r="AU45" s="38"/>
      <c r="AV45" s="38"/>
      <c r="AW45" s="38"/>
      <c r="AX45" s="38"/>
      <c r="AY45" s="38"/>
      <c r="AZ45" s="38"/>
      <c r="BA45" s="38"/>
    </row>
    <row r="46" customFormat="false" ht="16.4" hidden="false" customHeight="false" outlineLevel="0" collapsed="false">
      <c r="A46" s="38"/>
      <c r="B46" s="38"/>
      <c r="C46" s="38"/>
      <c r="D46" s="38"/>
      <c r="E46" s="38"/>
      <c r="F46" s="38"/>
      <c r="G46" s="38"/>
      <c r="H46" s="38"/>
      <c r="J46" s="57"/>
      <c r="K46" s="57"/>
      <c r="L46" s="57"/>
      <c r="M46" s="57"/>
      <c r="N46" s="57"/>
      <c r="O46" s="57"/>
      <c r="P46" s="57"/>
      <c r="Q46" s="57"/>
      <c r="S46" s="38"/>
      <c r="T46" s="38"/>
      <c r="U46" s="38"/>
      <c r="V46" s="38"/>
      <c r="W46" s="38"/>
      <c r="X46" s="38"/>
      <c r="Y46" s="38"/>
      <c r="Z46" s="38"/>
      <c r="AB46" s="38"/>
      <c r="AC46" s="38"/>
      <c r="AD46" s="38"/>
      <c r="AE46" s="38"/>
      <c r="AF46" s="38"/>
      <c r="AG46" s="38"/>
      <c r="AH46" s="38"/>
      <c r="AI46" s="38"/>
      <c r="AK46" s="57"/>
      <c r="AL46" s="57"/>
      <c r="AM46" s="57"/>
      <c r="AN46" s="57"/>
      <c r="AO46" s="57"/>
      <c r="AP46" s="57"/>
      <c r="AQ46" s="57"/>
      <c r="AR46" s="57"/>
      <c r="AT46" s="38"/>
      <c r="AU46" s="38"/>
      <c r="AV46" s="38"/>
      <c r="AW46" s="38"/>
      <c r="AX46" s="38"/>
      <c r="AY46" s="38"/>
      <c r="AZ46" s="38"/>
      <c r="BA46" s="38"/>
    </row>
    <row r="47" customFormat="false" ht="13.5" hidden="false" customHeight="false" outlineLevel="0" collapsed="false">
      <c r="A47" s="38"/>
      <c r="B47" s="38"/>
      <c r="C47" s="38"/>
      <c r="D47" s="38"/>
      <c r="E47" s="38"/>
      <c r="F47" s="38"/>
      <c r="G47" s="38"/>
      <c r="H47" s="38"/>
      <c r="J47" s="57"/>
      <c r="K47" s="57"/>
      <c r="L47" s="57"/>
      <c r="M47" s="57"/>
      <c r="N47" s="57"/>
      <c r="O47" s="57"/>
      <c r="P47" s="57"/>
      <c r="Q47" s="57"/>
      <c r="S47" s="38"/>
      <c r="T47" s="38"/>
      <c r="U47" s="38"/>
      <c r="V47" s="38"/>
      <c r="W47" s="38"/>
      <c r="X47" s="38"/>
      <c r="Y47" s="38"/>
      <c r="Z47" s="38"/>
      <c r="AB47" s="38"/>
      <c r="AC47" s="38"/>
      <c r="AD47" s="38"/>
      <c r="AE47" s="38"/>
      <c r="AF47" s="38"/>
      <c r="AG47" s="38"/>
      <c r="AH47" s="38"/>
      <c r="AI47" s="38"/>
      <c r="AK47" s="57"/>
      <c r="AL47" s="57"/>
      <c r="AM47" s="57"/>
      <c r="AN47" s="57"/>
      <c r="AO47" s="57"/>
      <c r="AP47" s="57"/>
      <c r="AQ47" s="57"/>
      <c r="AR47" s="57"/>
      <c r="AT47" s="38"/>
      <c r="AU47" s="38"/>
      <c r="AV47" s="38"/>
      <c r="AW47" s="38"/>
      <c r="AX47" s="38"/>
      <c r="AY47" s="38"/>
      <c r="AZ47" s="38"/>
      <c r="BA47" s="38"/>
    </row>
    <row r="48" customFormat="false" ht="16.4" hidden="false" customHeight="false" outlineLevel="0" collapsed="false">
      <c r="A48" s="38"/>
      <c r="B48" s="38"/>
      <c r="C48" s="38"/>
      <c r="D48" s="38"/>
      <c r="E48" s="38"/>
      <c r="F48" s="38"/>
      <c r="G48" s="38"/>
      <c r="H48" s="38"/>
      <c r="J48" s="57"/>
      <c r="K48" s="57"/>
      <c r="L48" s="57"/>
      <c r="M48" s="57"/>
      <c r="N48" s="57"/>
      <c r="O48" s="57"/>
      <c r="P48" s="57"/>
      <c r="Q48" s="57"/>
      <c r="S48" s="38"/>
      <c r="T48" s="38"/>
      <c r="U48" s="38"/>
      <c r="V48" s="38"/>
      <c r="W48" s="38"/>
      <c r="X48" s="38"/>
      <c r="Y48" s="38"/>
      <c r="Z48" s="38"/>
      <c r="AB48" s="38"/>
      <c r="AC48" s="38"/>
      <c r="AD48" s="38"/>
      <c r="AE48" s="38"/>
      <c r="AF48" s="38"/>
      <c r="AG48" s="38"/>
      <c r="AH48" s="38"/>
      <c r="AI48" s="38"/>
      <c r="AK48" s="57"/>
      <c r="AL48" s="57"/>
      <c r="AM48" s="57"/>
      <c r="AN48" s="57"/>
      <c r="AO48" s="57"/>
      <c r="AP48" s="57"/>
      <c r="AQ48" s="57"/>
      <c r="AR48" s="57"/>
      <c r="AT48" s="38"/>
      <c r="AU48" s="38"/>
      <c r="AV48" s="38"/>
      <c r="AW48" s="38"/>
      <c r="AX48" s="38"/>
      <c r="AY48" s="38"/>
      <c r="AZ48" s="38"/>
      <c r="BA48" s="38"/>
    </row>
    <row r="49" customFormat="false" ht="16.4" hidden="false" customHeight="false" outlineLevel="0" collapsed="false">
      <c r="A49" s="38"/>
      <c r="B49" s="38"/>
      <c r="C49" s="38"/>
      <c r="D49" s="38"/>
      <c r="E49" s="38"/>
      <c r="F49" s="38"/>
      <c r="G49" s="38"/>
      <c r="H49" s="38"/>
      <c r="J49" s="57"/>
      <c r="K49" s="57"/>
      <c r="L49" s="57"/>
      <c r="M49" s="57"/>
      <c r="N49" s="57"/>
      <c r="O49" s="57"/>
      <c r="P49" s="57"/>
      <c r="Q49" s="57"/>
      <c r="S49" s="38"/>
      <c r="T49" s="38"/>
      <c r="U49" s="38"/>
      <c r="V49" s="38"/>
      <c r="W49" s="38"/>
      <c r="X49" s="38"/>
      <c r="Y49" s="38"/>
      <c r="Z49" s="38"/>
      <c r="AB49" s="38"/>
      <c r="AC49" s="38"/>
      <c r="AD49" s="38"/>
      <c r="AE49" s="38"/>
      <c r="AF49" s="38"/>
      <c r="AG49" s="38"/>
      <c r="AH49" s="38"/>
      <c r="AI49" s="38"/>
      <c r="AK49" s="57"/>
      <c r="AL49" s="57"/>
      <c r="AM49" s="57"/>
      <c r="AN49" s="57"/>
      <c r="AO49" s="57"/>
      <c r="AP49" s="57"/>
      <c r="AQ49" s="57"/>
      <c r="AR49" s="57"/>
      <c r="AT49" s="38"/>
      <c r="AU49" s="38"/>
      <c r="AV49" s="38"/>
      <c r="AW49" s="38"/>
      <c r="AX49" s="38"/>
      <c r="AY49" s="38"/>
      <c r="AZ49" s="38"/>
      <c r="BA49" s="38"/>
    </row>
    <row r="50" customFormat="false" ht="16.4" hidden="false" customHeight="false" outlineLevel="0" collapsed="false">
      <c r="A50" s="38"/>
      <c r="B50" s="38"/>
      <c r="C50" s="38"/>
      <c r="D50" s="38"/>
      <c r="E50" s="38"/>
      <c r="F50" s="38"/>
      <c r="G50" s="38"/>
      <c r="H50" s="38"/>
      <c r="J50" s="57"/>
      <c r="K50" s="57"/>
      <c r="L50" s="57"/>
      <c r="M50" s="57"/>
      <c r="N50" s="57"/>
      <c r="O50" s="57"/>
      <c r="P50" s="57"/>
      <c r="Q50" s="57"/>
      <c r="S50" s="38"/>
      <c r="T50" s="38"/>
      <c r="U50" s="38"/>
      <c r="V50" s="38"/>
      <c r="W50" s="38"/>
      <c r="X50" s="38"/>
      <c r="Y50" s="38"/>
      <c r="Z50" s="38"/>
      <c r="AB50" s="38"/>
      <c r="AC50" s="38"/>
      <c r="AD50" s="38"/>
      <c r="AE50" s="38"/>
      <c r="AF50" s="38"/>
      <c r="AG50" s="38"/>
      <c r="AH50" s="38"/>
      <c r="AI50" s="38"/>
      <c r="AK50" s="57"/>
      <c r="AL50" s="57"/>
      <c r="AM50" s="57"/>
      <c r="AN50" s="57"/>
      <c r="AO50" s="57"/>
      <c r="AP50" s="57"/>
      <c r="AQ50" s="57"/>
      <c r="AR50" s="57"/>
      <c r="AT50" s="38"/>
      <c r="AU50" s="38"/>
      <c r="AV50" s="38"/>
      <c r="AW50" s="38"/>
      <c r="AX50" s="38"/>
      <c r="AY50" s="38"/>
      <c r="AZ50" s="38"/>
      <c r="BA50" s="38"/>
    </row>
    <row r="51" customFormat="false" ht="16.4" hidden="false" customHeight="false" outlineLevel="0" collapsed="false">
      <c r="A51" s="38"/>
      <c r="B51" s="38"/>
      <c r="C51" s="38"/>
      <c r="D51" s="38"/>
      <c r="E51" s="38"/>
      <c r="F51" s="38"/>
      <c r="G51" s="38"/>
      <c r="H51" s="38"/>
      <c r="J51" s="57"/>
      <c r="K51" s="57"/>
      <c r="L51" s="57"/>
      <c r="M51" s="57"/>
      <c r="N51" s="57"/>
      <c r="O51" s="57"/>
      <c r="P51" s="57"/>
      <c r="Q51" s="57"/>
      <c r="S51" s="38"/>
      <c r="T51" s="38"/>
      <c r="U51" s="38"/>
      <c r="V51" s="38"/>
      <c r="W51" s="38"/>
      <c r="X51" s="38"/>
      <c r="Y51" s="38"/>
      <c r="Z51" s="38"/>
      <c r="AB51" s="38"/>
      <c r="AC51" s="38"/>
      <c r="AD51" s="38"/>
      <c r="AE51" s="38"/>
      <c r="AF51" s="38"/>
      <c r="AG51" s="38"/>
      <c r="AH51" s="38"/>
      <c r="AI51" s="38"/>
      <c r="AK51" s="57"/>
      <c r="AL51" s="57"/>
      <c r="AM51" s="57"/>
      <c r="AN51" s="57"/>
      <c r="AO51" s="57"/>
      <c r="AP51" s="57"/>
      <c r="AQ51" s="57"/>
      <c r="AR51" s="57"/>
      <c r="AT51" s="38"/>
      <c r="AU51" s="38"/>
      <c r="AV51" s="38"/>
      <c r="AW51" s="38"/>
      <c r="AX51" s="38"/>
      <c r="AY51" s="38"/>
      <c r="AZ51" s="38"/>
      <c r="BA51" s="38"/>
    </row>
    <row r="52" customFormat="false" ht="16.4" hidden="false" customHeight="false" outlineLevel="0" collapsed="false">
      <c r="A52" s="2" t="s">
        <v>308</v>
      </c>
      <c r="B52" s="2"/>
      <c r="C52" s="2"/>
      <c r="D52" s="2"/>
      <c r="E52" s="2"/>
      <c r="F52" s="2"/>
      <c r="G52" s="2"/>
      <c r="H52" s="5" t="str">
        <f aca="false">IF(COUNTIF(H53:H55, "="&amp;IncompleteText), IncompleteText, IF(COUNTIF(H53:H55, "="&amp;ErrorText), ErrorText, OKText))</f>
        <v>OK</v>
      </c>
      <c r="J52" s="2" t="s">
        <v>309</v>
      </c>
      <c r="K52" s="2"/>
      <c r="L52" s="2"/>
      <c r="M52" s="2"/>
      <c r="N52" s="2"/>
      <c r="O52" s="2"/>
      <c r="P52" s="2"/>
      <c r="Q52" s="5" t="str">
        <f aca="false">IF(COUNTIF(Q53:Q54, "="&amp;IncompleteText), IncompleteText, IF(COUNTIF(Q53:Q54, "="&amp;ErrorText), ErrorText, OKText))</f>
        <v>OK</v>
      </c>
      <c r="S52" s="2" t="s">
        <v>310</v>
      </c>
      <c r="T52" s="2"/>
      <c r="U52" s="2"/>
      <c r="V52" s="2"/>
      <c r="W52" s="2"/>
      <c r="X52" s="2"/>
      <c r="Y52" s="2"/>
      <c r="Z52" s="5" t="str">
        <f aca="false">IF(COUNTIF(Z53:Z54, "="&amp;IncompleteText), IncompleteText, IF(COUNTIF(Z53:Z54, "="&amp;ErrorText), ErrorText, OKText))</f>
        <v>OK</v>
      </c>
      <c r="AB52" s="2" t="s">
        <v>311</v>
      </c>
      <c r="AC52" s="2"/>
      <c r="AD52" s="2"/>
      <c r="AE52" s="2"/>
      <c r="AF52" s="2"/>
      <c r="AG52" s="2"/>
      <c r="AH52" s="2"/>
      <c r="AI52" s="5" t="str">
        <f aca="false">IF(COUNTIF(AI53, "="&amp;IncompleteText), IncompleteText, IF(COUNTIF(AI53, "="&amp;ErrorText), ErrorText, OKText))</f>
        <v>OK</v>
      </c>
      <c r="AK52" s="2" t="s">
        <v>312</v>
      </c>
      <c r="AL52" s="2"/>
      <c r="AM52" s="2"/>
      <c r="AN52" s="2"/>
      <c r="AO52" s="2"/>
      <c r="AP52" s="2"/>
      <c r="AQ52" s="2"/>
      <c r="AR52" s="5" t="str">
        <f aca="false">IF(COUNTIF(AR53, "="&amp;IncompleteText), IncompleteText, IF(COUNTIF(AR53, "="&amp;ErrorText), ErrorText, OKText))</f>
        <v>OK</v>
      </c>
      <c r="AT52" s="2" t="s">
        <v>312</v>
      </c>
      <c r="AU52" s="2"/>
      <c r="AV52" s="2"/>
      <c r="AW52" s="2"/>
      <c r="AX52" s="2"/>
      <c r="AY52" s="2"/>
      <c r="AZ52" s="2"/>
      <c r="BA52" s="5" t="str">
        <f aca="false">IF(COUNTIF(BA53, "="&amp;IncompleteText), IncompleteText, IF(COUNTIF(BA53, "="&amp;ErrorText), ErrorText, OKText))</f>
        <v>OK</v>
      </c>
    </row>
    <row r="53" customFormat="false" ht="16.4" hidden="false" customHeight="false" outlineLevel="0" collapsed="false">
      <c r="A53" s="20" t="s">
        <v>313</v>
      </c>
      <c r="B53" s="20"/>
      <c r="C53" s="20"/>
      <c r="D53" s="20"/>
      <c r="E53" s="20"/>
      <c r="F53" s="20"/>
      <c r="G53" s="44" t="b">
        <f aca="false">TRUE()</f>
        <v>1</v>
      </c>
      <c r="H53" s="45" t="str">
        <f aca="false">IF(ISBLANK(G53),IncompleteText, IF(G53, OKText, ErrorText))</f>
        <v>OK</v>
      </c>
      <c r="J53" s="22" t="s">
        <v>314</v>
      </c>
      <c r="K53" s="22"/>
      <c r="L53" s="22"/>
      <c r="M53" s="22"/>
      <c r="N53" s="22"/>
      <c r="O53" s="22"/>
      <c r="P53" s="44" t="b">
        <f aca="false">TRUE()</f>
        <v>1</v>
      </c>
      <c r="Q53" s="45" t="str">
        <f aca="false">IF(ISBLANK(P53),IncompleteText, IF(P53, OKText, ErrorText))</f>
        <v>OK</v>
      </c>
      <c r="S53" s="22" t="s">
        <v>315</v>
      </c>
      <c r="T53" s="22"/>
      <c r="U53" s="22"/>
      <c r="V53" s="22"/>
      <c r="W53" s="22"/>
      <c r="X53" s="22"/>
      <c r="Y53" s="44" t="b">
        <f aca="false">TRUE()</f>
        <v>1</v>
      </c>
      <c r="Z53" s="45" t="str">
        <f aca="false">IF(ISBLANK(Y53),IncompleteText, IF(Y53, OKText, ErrorText))</f>
        <v>OK</v>
      </c>
      <c r="AB53" s="22" t="s">
        <v>316</v>
      </c>
      <c r="AC53" s="22"/>
      <c r="AD53" s="22"/>
      <c r="AE53" s="22"/>
      <c r="AF53" s="22"/>
      <c r="AG53" s="22"/>
      <c r="AH53" s="44" t="b">
        <f aca="false">TRUE()</f>
        <v>1</v>
      </c>
      <c r="AI53" s="45" t="str">
        <f aca="false">IF(ISBLANK(AH53),IncompleteText, IF(AH53, OKText, ErrorText))</f>
        <v>OK</v>
      </c>
      <c r="AK53" s="22" t="s">
        <v>317</v>
      </c>
      <c r="AL53" s="22"/>
      <c r="AM53" s="22"/>
      <c r="AN53" s="22"/>
      <c r="AO53" s="22"/>
      <c r="AP53" s="22"/>
      <c r="AQ53" s="44" t="b">
        <f aca="false">TRUE()</f>
        <v>1</v>
      </c>
      <c r="AR53" s="45" t="str">
        <f aca="false">IF(ISBLANK(AQ53),IncompleteText, IF(AQ53, OKText, ErrorText))</f>
        <v>OK</v>
      </c>
      <c r="AT53" s="22" t="s">
        <v>318</v>
      </c>
      <c r="AU53" s="22"/>
      <c r="AV53" s="22"/>
      <c r="AW53" s="22"/>
      <c r="AX53" s="22"/>
      <c r="AY53" s="22"/>
      <c r="AZ53" s="44" t="b">
        <f aca="false">TRUE()</f>
        <v>1</v>
      </c>
      <c r="BA53" s="45" t="str">
        <f aca="false">IF(ISBLANK(AZ53),IncompleteText, IF(AZ53, OKText, ErrorText))</f>
        <v>OK</v>
      </c>
    </row>
    <row r="54" customFormat="false" ht="16.4" hidden="false" customHeight="false" outlineLevel="0" collapsed="false">
      <c r="A54" s="20" t="s">
        <v>319</v>
      </c>
      <c r="B54" s="20"/>
      <c r="C54" s="20"/>
      <c r="D54" s="20"/>
      <c r="E54" s="20"/>
      <c r="F54" s="20"/>
      <c r="G54" s="44" t="b">
        <f aca="false">TRUE()</f>
        <v>1</v>
      </c>
      <c r="H54" s="45" t="str">
        <f aca="false">IF(ISBLANK(G54),IncompleteText, IF(G54, OKText, ErrorText))</f>
        <v>OK</v>
      </c>
      <c r="J54" s="22" t="s">
        <v>320</v>
      </c>
      <c r="K54" s="22"/>
      <c r="L54" s="22"/>
      <c r="M54" s="22"/>
      <c r="N54" s="22"/>
      <c r="O54" s="22"/>
      <c r="P54" s="44" t="b">
        <f aca="false">TRUE()</f>
        <v>1</v>
      </c>
      <c r="Q54" s="45" t="str">
        <f aca="false">IF(ISBLANK(P54),IncompleteText, IF(P54, OKText, ErrorText))</f>
        <v>OK</v>
      </c>
      <c r="S54" s="22" t="s">
        <v>321</v>
      </c>
      <c r="T54" s="22"/>
      <c r="U54" s="22"/>
      <c r="V54" s="22"/>
      <c r="W54" s="22"/>
      <c r="X54" s="22"/>
      <c r="Y54" s="44" t="b">
        <f aca="false">TRUE()</f>
        <v>1</v>
      </c>
      <c r="Z54" s="45" t="str">
        <f aca="false">IF(ISBLANK(Y54),IncompleteText, IF(Y54, OKText, ErrorText))</f>
        <v>OK</v>
      </c>
      <c r="AB54" s="2" t="s">
        <v>20</v>
      </c>
      <c r="AC54" s="2"/>
      <c r="AD54" s="2"/>
      <c r="AE54" s="2"/>
      <c r="AF54" s="2"/>
      <c r="AG54" s="2"/>
      <c r="AH54" s="2"/>
      <c r="AI54" s="58" t="s">
        <v>58</v>
      </c>
      <c r="AK54" s="2" t="s">
        <v>20</v>
      </c>
      <c r="AL54" s="2"/>
      <c r="AM54" s="2"/>
      <c r="AN54" s="2"/>
      <c r="AO54" s="2"/>
      <c r="AP54" s="2"/>
      <c r="AQ54" s="2"/>
      <c r="AR54" s="58" t="s">
        <v>58</v>
      </c>
      <c r="AT54" s="2" t="s">
        <v>20</v>
      </c>
      <c r="AU54" s="2"/>
      <c r="AV54" s="2"/>
      <c r="AW54" s="2"/>
      <c r="AX54" s="2"/>
      <c r="AY54" s="2"/>
      <c r="AZ54" s="2"/>
      <c r="BA54" s="58" t="s">
        <v>58</v>
      </c>
    </row>
    <row r="55" customFormat="false" ht="46.25" hidden="false" customHeight="true" outlineLevel="0" collapsed="false">
      <c r="A55" s="20" t="s">
        <v>322</v>
      </c>
      <c r="B55" s="20"/>
      <c r="C55" s="20"/>
      <c r="D55" s="20"/>
      <c r="E55" s="20"/>
      <c r="F55" s="20"/>
      <c r="G55" s="44" t="b">
        <f aca="false">TRUE()</f>
        <v>1</v>
      </c>
      <c r="H55" s="45" t="str">
        <f aca="false">IF(ISBLANK(G55),IncompleteText, IF(G55, OKText, ErrorText))</f>
        <v>OK</v>
      </c>
      <c r="J55" s="2" t="s">
        <v>20</v>
      </c>
      <c r="K55" s="2"/>
      <c r="L55" s="2"/>
      <c r="M55" s="2"/>
      <c r="N55" s="2"/>
      <c r="O55" s="2"/>
      <c r="P55" s="2"/>
      <c r="Q55" s="58" t="s">
        <v>58</v>
      </c>
      <c r="S55" s="2" t="s">
        <v>20</v>
      </c>
      <c r="T55" s="2"/>
      <c r="U55" s="2"/>
      <c r="V55" s="2"/>
      <c r="W55" s="2"/>
      <c r="X55" s="2"/>
      <c r="Y55" s="2"/>
      <c r="Z55" s="58" t="s">
        <v>58</v>
      </c>
      <c r="AB55" s="11"/>
      <c r="AC55" s="11"/>
      <c r="AD55" s="11"/>
      <c r="AE55" s="11"/>
      <c r="AF55" s="11"/>
      <c r="AG55" s="11"/>
      <c r="AH55" s="11"/>
      <c r="AI55" s="59" t="s">
        <v>323</v>
      </c>
      <c r="AK55" s="11"/>
      <c r="AL55" s="11"/>
      <c r="AM55" s="11"/>
      <c r="AN55" s="11"/>
      <c r="AO55" s="11"/>
      <c r="AP55" s="11"/>
      <c r="AQ55" s="11"/>
      <c r="AR55" s="31" t="s">
        <v>324</v>
      </c>
      <c r="AT55" s="11"/>
      <c r="AU55" s="11"/>
      <c r="AV55" s="11"/>
      <c r="AW55" s="11"/>
      <c r="AX55" s="11"/>
      <c r="AY55" s="11"/>
      <c r="AZ55" s="11"/>
      <c r="BA55" s="31" t="s">
        <v>324</v>
      </c>
    </row>
    <row r="56" s="60" customFormat="true" ht="16.4" hidden="false" customHeight="true" outlineLevel="0" collapsed="false">
      <c r="A56" s="2" t="s">
        <v>20</v>
      </c>
      <c r="B56" s="2"/>
      <c r="C56" s="2"/>
      <c r="D56" s="2"/>
      <c r="E56" s="2"/>
      <c r="F56" s="2"/>
      <c r="G56" s="2"/>
      <c r="H56" s="58" t="s">
        <v>58</v>
      </c>
      <c r="J56" s="11"/>
      <c r="K56" s="11"/>
      <c r="L56" s="11"/>
      <c r="M56" s="11"/>
      <c r="N56" s="11"/>
      <c r="O56" s="11"/>
      <c r="P56" s="11"/>
      <c r="Q56" s="31" t="s">
        <v>325</v>
      </c>
      <c r="S56" s="11"/>
      <c r="T56" s="11"/>
      <c r="U56" s="11"/>
      <c r="V56" s="11"/>
      <c r="W56" s="11"/>
      <c r="X56" s="11"/>
      <c r="Y56" s="11"/>
      <c r="Z56" s="59" t="s">
        <v>326</v>
      </c>
      <c r="AB56" s="11"/>
      <c r="AC56" s="11"/>
      <c r="AD56" s="11"/>
      <c r="AE56" s="11"/>
      <c r="AF56" s="11"/>
      <c r="AG56" s="11"/>
      <c r="AH56" s="11"/>
      <c r="AI56" s="59"/>
      <c r="AK56" s="11"/>
      <c r="AL56" s="11"/>
      <c r="AM56" s="11"/>
      <c r="AN56" s="11"/>
      <c r="AO56" s="11"/>
      <c r="AP56" s="11"/>
      <c r="AQ56" s="11"/>
      <c r="AR56" s="31"/>
      <c r="AT56" s="11"/>
      <c r="AU56" s="11"/>
      <c r="AV56" s="11"/>
      <c r="AW56" s="11"/>
      <c r="AX56" s="11"/>
      <c r="AY56" s="11"/>
      <c r="AZ56" s="11"/>
      <c r="BA56" s="31"/>
    </row>
    <row r="57" s="60" customFormat="true" ht="13.5" hidden="false" customHeight="true" outlineLevel="0" collapsed="false">
      <c r="A57" s="61" t="s">
        <v>327</v>
      </c>
      <c r="B57" s="61"/>
      <c r="C57" s="61"/>
      <c r="D57" s="61"/>
      <c r="E57" s="61"/>
      <c r="F57" s="61"/>
      <c r="G57" s="61"/>
      <c r="H57" s="59" t="s">
        <v>215</v>
      </c>
      <c r="J57" s="11"/>
      <c r="K57" s="11"/>
      <c r="L57" s="11"/>
      <c r="M57" s="11"/>
      <c r="N57" s="11"/>
      <c r="O57" s="11"/>
      <c r="P57" s="11"/>
      <c r="Q57" s="31"/>
      <c r="S57" s="11"/>
      <c r="T57" s="11"/>
      <c r="U57" s="11"/>
      <c r="V57" s="11"/>
      <c r="W57" s="11"/>
      <c r="X57" s="11"/>
      <c r="Y57" s="11"/>
      <c r="Z57" s="59"/>
      <c r="AB57" s="11"/>
      <c r="AC57" s="11"/>
      <c r="AD57" s="11"/>
      <c r="AE57" s="11"/>
      <c r="AF57" s="11"/>
      <c r="AG57" s="11"/>
      <c r="AH57" s="11"/>
      <c r="AI57" s="59"/>
      <c r="AK57" s="11"/>
      <c r="AL57" s="11"/>
      <c r="AM57" s="11"/>
      <c r="AN57" s="11"/>
      <c r="AO57" s="11"/>
      <c r="AP57" s="11"/>
      <c r="AQ57" s="11"/>
      <c r="AR57" s="31"/>
      <c r="AT57" s="11"/>
      <c r="AU57" s="11"/>
      <c r="AV57" s="11"/>
      <c r="AW57" s="11"/>
      <c r="AX57" s="11"/>
      <c r="AY57" s="11"/>
      <c r="AZ57" s="11"/>
      <c r="BA57" s="31"/>
    </row>
    <row r="58" s="60" customFormat="true" ht="16.4" hidden="false" customHeight="false" outlineLevel="0" collapsed="false">
      <c r="A58" s="61"/>
      <c r="B58" s="61"/>
      <c r="C58" s="61"/>
      <c r="D58" s="61"/>
      <c r="E58" s="61"/>
      <c r="F58" s="61"/>
      <c r="G58" s="61"/>
      <c r="H58" s="59"/>
      <c r="J58" s="11"/>
      <c r="K58" s="11"/>
      <c r="L58" s="11"/>
      <c r="M58" s="11"/>
      <c r="N58" s="11"/>
      <c r="O58" s="11"/>
      <c r="P58" s="11"/>
      <c r="Q58" s="31"/>
      <c r="S58" s="11"/>
      <c r="T58" s="11"/>
      <c r="U58" s="11"/>
      <c r="V58" s="11"/>
      <c r="W58" s="11"/>
      <c r="X58" s="11"/>
      <c r="Y58" s="11"/>
      <c r="Z58" s="59"/>
      <c r="AB58" s="11"/>
      <c r="AC58" s="11"/>
      <c r="AD58" s="11"/>
      <c r="AE58" s="11"/>
      <c r="AF58" s="11"/>
      <c r="AG58" s="11"/>
      <c r="AH58" s="11"/>
      <c r="AI58" s="59"/>
      <c r="AK58" s="11"/>
      <c r="AL58" s="11"/>
      <c r="AM58" s="11"/>
      <c r="AN58" s="11"/>
      <c r="AO58" s="11"/>
      <c r="AP58" s="11"/>
      <c r="AQ58" s="11"/>
      <c r="AR58" s="31"/>
      <c r="AT58" s="11"/>
      <c r="AU58" s="11"/>
      <c r="AV58" s="11"/>
      <c r="AW58" s="11"/>
      <c r="AX58" s="11"/>
      <c r="AY58" s="11"/>
      <c r="AZ58" s="11"/>
      <c r="BA58" s="31"/>
    </row>
    <row r="59" s="60" customFormat="true" ht="13.5" hidden="false" customHeight="false" outlineLevel="0" collapsed="false">
      <c r="A59" s="61"/>
      <c r="B59" s="61"/>
      <c r="C59" s="61"/>
      <c r="D59" s="61"/>
      <c r="E59" s="61"/>
      <c r="F59" s="61"/>
      <c r="G59" s="61"/>
      <c r="H59" s="59"/>
      <c r="J59" s="11"/>
      <c r="K59" s="11"/>
      <c r="L59" s="11"/>
      <c r="M59" s="11"/>
      <c r="N59" s="11"/>
      <c r="O59" s="11"/>
      <c r="P59" s="11"/>
      <c r="Q59" s="31"/>
      <c r="S59" s="11"/>
      <c r="T59" s="11"/>
      <c r="U59" s="11"/>
      <c r="V59" s="11"/>
      <c r="W59" s="11"/>
      <c r="X59" s="11"/>
      <c r="Y59" s="11"/>
      <c r="Z59" s="59"/>
    </row>
    <row r="61" customFormat="false" ht="13.5" hidden="false" customHeight="false" outlineLevel="0" collapsed="false">
      <c r="A61" s="2" t="s">
        <v>328</v>
      </c>
      <c r="B61" s="2"/>
      <c r="C61" s="2"/>
      <c r="D61" s="2"/>
      <c r="E61" s="2"/>
      <c r="F61" s="5" t="str">
        <f aca="false">IF(AND(B12=1), OKText, IF(COUNTIF(F62:F71, "="&amp;IncompleteText), IncompleteText, IF(COUNTIF(F62:F71, "="&amp;ErrorText), ErrorText, OKText)))</f>
        <v>OK</v>
      </c>
      <c r="G61" s="58" t="s">
        <v>329</v>
      </c>
      <c r="H61" s="58"/>
    </row>
    <row r="62" customFormat="false" ht="13.5" hidden="false" customHeight="true" outlineLevel="0" collapsed="false">
      <c r="A62" s="22" t="s">
        <v>330</v>
      </c>
      <c r="B62" s="22"/>
      <c r="C62" s="22"/>
      <c r="D62" s="7" t="s">
        <v>256</v>
      </c>
      <c r="E62" s="7"/>
      <c r="F62" s="5" t="str">
        <f aca="false">IF(B12 &lt;&gt; 1, IF(ISBLANK(D62),IncompleteText,OKText), "")</f>
        <v>OK</v>
      </c>
      <c r="G62" s="31" t="s">
        <v>331</v>
      </c>
      <c r="H62" s="31"/>
    </row>
    <row r="63" customFormat="false" ht="16.4" hidden="false" customHeight="false" outlineLevel="0" collapsed="false">
      <c r="A63" s="22" t="s">
        <v>269</v>
      </c>
      <c r="B63" s="22"/>
      <c r="C63" s="22"/>
      <c r="D63" s="7" t="s">
        <v>332</v>
      </c>
      <c r="E63" s="7"/>
      <c r="F63" s="45" t="str">
        <f aca="false">IF(D62 = "Purchased", IF(ISBLANK(D63), IncompleteText, OKText), "")</f>
        <v>OK</v>
      </c>
      <c r="G63" s="31"/>
      <c r="H63" s="31"/>
    </row>
    <row r="64" customFormat="false" ht="16.4" hidden="false" customHeight="false" outlineLevel="0" collapsed="false">
      <c r="A64" s="22" t="s">
        <v>333</v>
      </c>
      <c r="B64" s="22"/>
      <c r="C64" s="22"/>
      <c r="D64" s="37" t="n">
        <f aca="false">VLOOKUP(D63, FusesTable, 6, FALSE())</f>
        <v>45</v>
      </c>
      <c r="E64" s="51" t="s">
        <v>19</v>
      </c>
      <c r="F64" s="45" t="str">
        <f aca="false">IF(D62="Purchased",  _xlfn.IFNA(IF(D64*B12/3 &gt;= U20, OKText, ErrorText),IncompleteText), "")</f>
        <v>OK</v>
      </c>
      <c r="G64" s="31"/>
      <c r="H64" s="31"/>
    </row>
    <row r="65" customFormat="false" ht="16.4" hidden="false" customHeight="false" outlineLevel="0" collapsed="false">
      <c r="A65" s="22" t="s">
        <v>333</v>
      </c>
      <c r="B65" s="22"/>
      <c r="C65" s="22"/>
      <c r="D65" s="29"/>
      <c r="E65" s="51" t="s">
        <v>19</v>
      </c>
      <c r="F65" s="5" t="str">
        <f aca="false">IF(D62="Team Designed", _xlfn.IFNA(IF(D65*B12/3 &gt;= U20, OKText, ErrorText),IncompleteText), "")</f>
        <v/>
      </c>
      <c r="G65" s="31"/>
      <c r="H65" s="31"/>
    </row>
    <row r="66" customFormat="false" ht="16.4" hidden="false" customHeight="false" outlineLevel="0" collapsed="false"/>
    <row r="67" customFormat="false" ht="16.4" hidden="false" customHeight="false" outlineLevel="0" collapsed="false">
      <c r="A67" s="2" t="s">
        <v>334</v>
      </c>
      <c r="B67" s="2"/>
      <c r="C67" s="2"/>
      <c r="D67" s="2"/>
      <c r="E67" s="2"/>
    </row>
    <row r="68" customFormat="false" ht="16.4" hidden="false" customHeight="false" outlineLevel="0" collapsed="false">
      <c r="A68" s="22" t="s">
        <v>335</v>
      </c>
      <c r="B68" s="22"/>
      <c r="C68" s="22"/>
      <c r="D68" s="37" t="n">
        <f aca="false">COUNTIFS(C75:C90, "&lt;300", C75:C90, "&gt;30")</f>
        <v>0</v>
      </c>
      <c r="F68" s="5" t="str">
        <f aca="false">IF(D$62 = "Team Designed",IF(D68&gt;=4, OKText, ErrorText), "")</f>
        <v/>
      </c>
    </row>
    <row r="69" customFormat="false" ht="13.8" hidden="false" customHeight="false" outlineLevel="0" collapsed="false">
      <c r="A69" s="22" t="s">
        <v>336</v>
      </c>
      <c r="B69" s="22"/>
      <c r="C69" s="22"/>
      <c r="D69" s="37" t="n">
        <f aca="false">COUNTIFS(C75:C90, "&lt;15", C75:C90, "&gt;5")</f>
        <v>0</v>
      </c>
      <c r="F69" s="5" t="str">
        <f aca="false">IF(D$62 = "Team Designed",IF(D69&gt;=4, OKText, ErrorText), "")</f>
        <v/>
      </c>
      <c r="H69" s="1" t="e">
        <f aca="false">10^ROUNDDOWN(LOG10(MIN(C75:C90)), 0)</f>
        <v>#VALUE!</v>
      </c>
      <c r="I69" s="1" t="n">
        <f aca="false">D65</f>
        <v>0</v>
      </c>
    </row>
    <row r="70" customFormat="false" ht="13.8" hidden="false" customHeight="false" outlineLevel="0" collapsed="false">
      <c r="A70" s="22" t="s">
        <v>337</v>
      </c>
      <c r="B70" s="22"/>
      <c r="C70" s="22"/>
      <c r="D70" s="37" t="n">
        <f aca="false">COUNTIFS(C75:C90, "&lt;1", C75:C90, "&gt;0.2")</f>
        <v>0</v>
      </c>
      <c r="F70" s="5" t="str">
        <f aca="false">IF(D$62 = "Team Designed",IF(D70&gt;=4, OKText, ErrorText), "")</f>
        <v/>
      </c>
      <c r="H70" s="1" t="e">
        <f aca="false">10^ROUNDUP(LOG10(MAX(C75:C90)), 0)</f>
        <v>#VALUE!</v>
      </c>
      <c r="I70" s="1" t="n">
        <f aca="false">D65</f>
        <v>0</v>
      </c>
    </row>
    <row r="71" customFormat="false" ht="13.8" hidden="false" customHeight="false" outlineLevel="0" collapsed="false">
      <c r="A71" s="22" t="s">
        <v>338</v>
      </c>
      <c r="B71" s="22"/>
      <c r="C71" s="22"/>
      <c r="D71" s="37" t="n">
        <f aca="false">COUNTIFS(C75:C90, "&lt;0.15", C75:C90, "&gt;0.05")</f>
        <v>0</v>
      </c>
      <c r="F71" s="5" t="str">
        <f aca="false">IF(D$62 = "Team Designed",IF(D71&gt;=4, OKText, ErrorText), "")</f>
        <v/>
      </c>
    </row>
    <row r="72" customFormat="false" ht="13.8" hidden="false" customHeight="false" outlineLevel="0" collapsed="false">
      <c r="A72" s="1" t="s">
        <v>339</v>
      </c>
    </row>
    <row r="73" customFormat="false" ht="13.8" hidden="false" customHeight="false" outlineLevel="0" collapsed="false"/>
    <row r="74" customFormat="false" ht="31.3" hidden="false" customHeight="false" outlineLevel="0" collapsed="false">
      <c r="A74" s="51" t="s">
        <v>340</v>
      </c>
      <c r="B74" s="24" t="s">
        <v>341</v>
      </c>
      <c r="C74" s="24" t="s">
        <v>342</v>
      </c>
    </row>
    <row r="75" customFormat="false" ht="16.4" hidden="false" customHeight="false" outlineLevel="0" collapsed="false">
      <c r="A75" s="51" t="s">
        <v>343</v>
      </c>
      <c r="B75" s="29"/>
      <c r="C75" s="29"/>
    </row>
    <row r="76" customFormat="false" ht="16.4" hidden="false" customHeight="false" outlineLevel="0" collapsed="false">
      <c r="A76" s="51" t="s">
        <v>344</v>
      </c>
      <c r="B76" s="29"/>
      <c r="C76" s="29"/>
    </row>
    <row r="77" customFormat="false" ht="16.4" hidden="false" customHeight="false" outlineLevel="0" collapsed="false">
      <c r="A77" s="51" t="s">
        <v>345</v>
      </c>
      <c r="B77" s="29"/>
      <c r="C77" s="29"/>
    </row>
    <row r="78" customFormat="false" ht="16.4" hidden="false" customHeight="false" outlineLevel="0" collapsed="false">
      <c r="A78" s="51" t="s">
        <v>346</v>
      </c>
      <c r="B78" s="29"/>
      <c r="C78" s="29"/>
    </row>
    <row r="79" customFormat="false" ht="16.4" hidden="false" customHeight="false" outlineLevel="0" collapsed="false">
      <c r="A79" s="51" t="s">
        <v>347</v>
      </c>
      <c r="B79" s="29"/>
      <c r="C79" s="29"/>
    </row>
    <row r="80" customFormat="false" ht="16.4" hidden="false" customHeight="false" outlineLevel="0" collapsed="false">
      <c r="A80" s="51" t="s">
        <v>348</v>
      </c>
      <c r="B80" s="29"/>
      <c r="C80" s="29"/>
    </row>
    <row r="81" customFormat="false" ht="16.4" hidden="false" customHeight="false" outlineLevel="0" collapsed="false">
      <c r="A81" s="51" t="s">
        <v>349</v>
      </c>
      <c r="B81" s="29"/>
      <c r="C81" s="29"/>
    </row>
    <row r="82" customFormat="false" ht="16.4" hidden="false" customHeight="false" outlineLevel="0" collapsed="false">
      <c r="A82" s="51" t="s">
        <v>350</v>
      </c>
      <c r="B82" s="29"/>
      <c r="C82" s="29"/>
    </row>
    <row r="83" customFormat="false" ht="16.4" hidden="false" customHeight="false" outlineLevel="0" collapsed="false">
      <c r="A83" s="51" t="s">
        <v>351</v>
      </c>
      <c r="B83" s="29"/>
      <c r="C83" s="29"/>
    </row>
    <row r="84" customFormat="false" ht="16.4" hidden="false" customHeight="false" outlineLevel="0" collapsed="false">
      <c r="A84" s="51" t="s">
        <v>352</v>
      </c>
      <c r="B84" s="29"/>
      <c r="C84" s="29"/>
    </row>
    <row r="85" customFormat="false" ht="16.4" hidden="false" customHeight="false" outlineLevel="0" collapsed="false">
      <c r="A85" s="51" t="s">
        <v>353</v>
      </c>
      <c r="B85" s="29"/>
      <c r="C85" s="29"/>
    </row>
    <row r="86" customFormat="false" ht="16.4" hidden="false" customHeight="false" outlineLevel="0" collapsed="false">
      <c r="A86" s="51" t="s">
        <v>354</v>
      </c>
      <c r="B86" s="29"/>
      <c r="C86" s="29"/>
    </row>
    <row r="87" customFormat="false" ht="16.4" hidden="false" customHeight="false" outlineLevel="0" collapsed="false">
      <c r="A87" s="51" t="s">
        <v>355</v>
      </c>
      <c r="B87" s="29"/>
      <c r="C87" s="29"/>
    </row>
    <row r="88" customFormat="false" ht="16.4" hidden="false" customHeight="false" outlineLevel="0" collapsed="false">
      <c r="A88" s="51" t="s">
        <v>356</v>
      </c>
      <c r="B88" s="29"/>
      <c r="C88" s="29"/>
    </row>
    <row r="89" customFormat="false" ht="16.4" hidden="false" customHeight="false" outlineLevel="0" collapsed="false">
      <c r="A89" s="51" t="s">
        <v>357</v>
      </c>
      <c r="B89" s="29"/>
      <c r="C89" s="29"/>
    </row>
    <row r="90" customFormat="false" ht="16.4" hidden="false" customHeight="false" outlineLevel="0" collapsed="false">
      <c r="A90" s="51" t="s">
        <v>358</v>
      </c>
      <c r="B90" s="29"/>
      <c r="C90" s="29"/>
    </row>
  </sheetData>
  <mergeCells count="170">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F27:G27"/>
    <mergeCell ref="H27:I27"/>
    <mergeCell ref="K27:N27"/>
    <mergeCell ref="F28:G28"/>
    <mergeCell ref="H28:I28"/>
    <mergeCell ref="K28:N28"/>
    <mergeCell ref="F29:G29"/>
    <mergeCell ref="H29:I29"/>
    <mergeCell ref="K29:N29"/>
    <mergeCell ref="K30:N30"/>
    <mergeCell ref="A33:H51"/>
    <mergeCell ref="J33:Q51"/>
    <mergeCell ref="S33:Z51"/>
    <mergeCell ref="AB33:AI51"/>
    <mergeCell ref="AK33:AR51"/>
    <mergeCell ref="AT33:BA51"/>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61:E61"/>
    <mergeCell ref="G61:H61"/>
    <mergeCell ref="A62:C62"/>
    <mergeCell ref="D62:E62"/>
    <mergeCell ref="G62:H65"/>
    <mergeCell ref="A63:C63"/>
    <mergeCell ref="D63:E63"/>
    <mergeCell ref="A64:C64"/>
    <mergeCell ref="A65:C65"/>
    <mergeCell ref="A67:E67"/>
    <mergeCell ref="A68:C68"/>
    <mergeCell ref="A69:C69"/>
    <mergeCell ref="A70:C70"/>
    <mergeCell ref="A71:C71"/>
  </mergeCells>
  <conditionalFormatting sqref="K24 O24:Q24">
    <cfRule type="expression" priority="2" aboveAverage="0" equalAverage="0" bottom="0" percent="0" rank="0" text="" dxfId="2">
      <formula>$O$23="On cell terminal"</formula>
    </cfRule>
  </conditionalFormatting>
  <conditionalFormatting sqref="BA53">
    <cfRule type="expression" priority="3" aboveAverage="0" equalAverage="0" bottom="0" percent="0" rank="0" text="" dxfId="3">
      <formula>$D$62 = "Team Designed"</formula>
    </cfRule>
  </conditionalFormatting>
  <conditionalFormatting sqref="AR53">
    <cfRule type="expression" priority="4" aboveAverage="0" equalAverage="0" bottom="0" percent="0" rank="0" text="" dxfId="4">
      <formula>$D$62 = "Team Designed"</formula>
    </cfRule>
  </conditionalFormatting>
  <conditionalFormatting sqref="AI53">
    <cfRule type="expression" priority="5" aboveAverage="0" equalAverage="0" bottom="0" percent="0" rank="0" text="" dxfId="5">
      <formula>$D$62 = "Team Designed"</formula>
    </cfRule>
  </conditionalFormatting>
  <conditionalFormatting sqref="Z53:Z54">
    <cfRule type="expression" priority="6" aboveAverage="0" equalAverage="0" bottom="0" percent="0" rank="0" text="" dxfId="6">
      <formula>$D$62 = "Team Designed"</formula>
    </cfRule>
  </conditionalFormatting>
  <conditionalFormatting sqref="Q53:Q54">
    <cfRule type="expression" priority="7" aboveAverage="0" equalAverage="0" bottom="0" percent="0" rank="0" text="" dxfId="7">
      <formula>$D$62 = "Team Designed"</formula>
    </cfRule>
  </conditionalFormatting>
  <conditionalFormatting sqref="H53:H55">
    <cfRule type="expression" priority="8" aboveAverage="0" equalAverage="0" bottom="0" percent="0" rank="0" text="" dxfId="8">
      <formula>$D$62 = "Team Designed"</formula>
    </cfRule>
  </conditionalFormatting>
  <conditionalFormatting sqref="A65 D65:F65 A74:C90">
    <cfRule type="expression" priority="9" aboveAverage="0" equalAverage="0" bottom="0" percent="0" rank="0" text="" dxfId="9">
      <formula>$D$62 = "Purchased"</formula>
    </cfRule>
  </conditionalFormatting>
  <conditionalFormatting sqref="D63 A63:A64 F63:F64 D64:E64">
    <cfRule type="expression" priority="10" aboveAverage="0" equalAverage="0" bottom="0" percent="0" rank="0" text="" dxfId="10">
      <formula>$D$62 = "Team Designed"</formula>
    </cfRule>
  </conditionalFormatting>
  <conditionalFormatting sqref="K20 O20:P20">
    <cfRule type="expression" priority="11" aboveAverage="0" equalAverage="0" bottom="0" percent="0" rank="0" text="" dxfId="11">
      <formula>$O$19&lt;&gt;"Other"</formula>
    </cfRule>
  </conditionalFormatting>
  <conditionalFormatting sqref="K14:K15 O14:O15">
    <cfRule type="expression" priority="12" aboveAverage="0" equalAverage="0" bottom="0" percent="0" rank="0" text="" dxfId="12">
      <formula>$O$10="Purchased"</formula>
    </cfRule>
  </conditionalFormatting>
  <conditionalFormatting sqref="K11:L11 N11:O11">
    <cfRule type="expression" priority="13" aboveAverage="0" equalAverage="0" bottom="0" percent="0" rank="0" text="" dxfId="13">
      <formula>$O$10="Team Built"</formula>
    </cfRule>
  </conditionalFormatting>
  <conditionalFormatting sqref="V12">
    <cfRule type="expression" priority="14" aboveAverage="0" equalAverage="0" bottom="0" percent="0" rank="0" text="" dxfId="14">
      <formula>$N$23="On cell terminal"</formula>
    </cfRule>
  </conditionalFormatting>
  <conditionalFormatting sqref="R11:W12">
    <cfRule type="expression" priority="15" aboveAverage="0" equalAverage="0" bottom="0" percent="0" rank="0" text="" dxfId="15">
      <formula>$E$3 ="Series"</formula>
    </cfRule>
  </conditionalFormatting>
  <dataValidations count="12">
    <dataValidation allowBlank="true" errorStyle="stop" operator="between" showDropDown="false" showErrorMessage="true" showInputMessage="true" sqref="O9" type="list">
      <formula1>"Distributed,Centralized"</formula1>
      <formula2>0</formula2>
    </dataValidation>
    <dataValidation allowBlank="true" errorStyle="stop" operator="between" showDropDown="false" showErrorMessage="true" showInputMessage="true" sqref="O19" type="list">
      <formula1>"BMS PCB,Conductor,Other"</formula1>
      <formula2>0</formula2>
    </dataValidation>
    <dataValidation allowBlank="true" errorStyle="stop" operator="between" showDropDown="false" showErrorMessage="true" showInputMessage="true" sqref="O10" type="list">
      <formula1>"Purchased,Team Built"</formula1>
      <formula2>0</formula2>
    </dataValidation>
    <dataValidation allowBlank="true" errorStyle="stop" operator="between" showDropDown="false" showErrorMessage="true" showInputMessage="true" sqref="U9:V9" type="list">
      <formula1>ConnectorNames</formula1>
      <formula2>0</formula2>
    </dataValidation>
    <dataValidation allowBlank="true" errorStyle="stop" operator="between" showDropDown="false" showErrorMessage="true" showInputMessage="true" sqref="U14" type="list">
      <formula1>ContactorNames</formula1>
      <formula2>0</formula2>
    </dataValidation>
    <dataValidation allowBlank="true" errorStyle="stop" operator="between" showDropDown="false" showErrorMessage="true" showInputMessage="true" sqref="U11 O18:P18 U19 D63" type="list">
      <formula1>FuseNames</formula1>
      <formula2>0</formula2>
    </dataValidation>
    <dataValidation allowBlank="true" errorStyle="stop" operator="between" showDropDown="false" showErrorMessage="true" showInputMessage="true" sqref="AB9:AC9 AB12:AC12 AB15" type="list">
      <formula1>InsulationNames</formula1>
      <formula2>0</formula2>
    </dataValidation>
    <dataValidation allowBlank="true" errorStyle="stop" operator="between" showDropDown="false" showErrorMessage="true" showInputMessage="true" sqref="D9" type="list">
      <formula1>"Parallel then Series,Series then Parallel"</formula1>
      <formula2>0</formula2>
    </dataValidation>
    <dataValidation allowBlank="true" errorStyle="stop" operator="between" showDropDown="false" showErrorMessage="true" showInputMessage="true" sqref="D62" type="list">
      <formula1>"Purchased,Team Designed"</formula1>
      <formula2>0</formula2>
    </dataValidation>
    <dataValidation allowBlank="true" errorStyle="stop" operator="between" showDropDown="false" showErrorMessage="true" showInputMessage="true" sqref="G53:G54 P53:P54 Y53:Y54 AH53 AQ53 AZ53 G55" type="list">
      <formula1>"TRUE,FALSE"</formula1>
      <formula2>0</formula2>
    </dataValidation>
    <dataValidation allowBlank="true" errorStyle="stop" operator="between" showDropDown="false" showErrorMessage="true" showInputMessage="true" sqref="O23" type="list">
      <formula1>"On cell terminal,On bus bar"</formula1>
      <formula2>0</formula2>
    </dataValidation>
    <dataValidation allowBlank="true" errorStyle="stop" operator="between" showDropDown="false" showErrorMessage="true" showInputMessage="true" sqref="E3" type="list">
      <formula1>"Parallel,Series"</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19" activeCellId="0" sqref="M19"/>
    </sheetView>
  </sheetViews>
  <sheetFormatPr defaultColWidth="8.72265625" defaultRowHeight="13.5" zeroHeight="false" outlineLevelRow="0" outlineLevelCol="0"/>
  <cols>
    <col collapsed="false" customWidth="false" hidden="false" outlineLevel="0" max="3" min="1" style="1" width="8.72"/>
    <col collapsed="false" customWidth="true" hidden="false" outlineLevel="0" max="4" min="4" style="1" width="8.86"/>
    <col collapsed="false" customWidth="false" hidden="false" outlineLevel="0" max="16384" min="5" style="1" width="8.72"/>
  </cols>
  <sheetData>
    <row r="1" customFormat="false" ht="13.5" hidden="false" customHeight="false" outlineLevel="0" collapsed="false">
      <c r="A1" s="19" t="s">
        <v>1</v>
      </c>
      <c r="B1" s="5" t="str">
        <f aca="true" t="array" ref="B1:B1">IF(SUM(COUNTIF(INDIRECT({"PrechargeDischarge!$F$2","PrechargeDischarge!$L$2","PrechargeDischarge!$R$2"}), "="&amp;IncompleteText)), IncompleteText, IF(SUM(COUNTIF(INDIRECT({"PrechargeDischarge!$F$2","PrechargeDischarge!$L$2","PrechargeDischarge!$R$2"}), "="&amp;ErrorText)), ErrorText, OKText))</f>
        <v>OK</v>
      </c>
    </row>
    <row r="2" customFormat="false" ht="13.5" hidden="false" customHeight="false" outlineLevel="0" collapsed="false">
      <c r="A2" s="2" t="s">
        <v>118</v>
      </c>
      <c r="B2" s="2"/>
      <c r="C2" s="2"/>
      <c r="D2" s="2"/>
      <c r="E2" s="2"/>
      <c r="F2" s="5" t="str">
        <f aca="false">IF(COUNTIF(F3:F22, "="&amp;IncompleteText), IncompleteText, IF(COUNTIF(F3:F22, "="&amp;ErrorText), ErrorText, OKText))</f>
        <v>OK</v>
      </c>
      <c r="G2" s="2" t="s">
        <v>123</v>
      </c>
      <c r="H2" s="2"/>
      <c r="I2" s="2"/>
      <c r="J2" s="2"/>
      <c r="K2" s="2"/>
      <c r="L2" s="5" t="str">
        <f aca="false">IF(COUNTIF(L3:L16, "="&amp;IncompleteText), IncompleteText, IF(COUNTIF(L3:L16, "="&amp;ErrorText), ErrorText, OKText))</f>
        <v>OK</v>
      </c>
      <c r="M2" s="2" t="s">
        <v>126</v>
      </c>
      <c r="N2" s="2"/>
      <c r="O2" s="2"/>
      <c r="P2" s="2"/>
      <c r="Q2" s="2"/>
      <c r="R2" s="5" t="str">
        <f aca="false">IF(COUNTIF(R3:R8, "="&amp;IncompleteText), IncompleteText, IF(COUNTIF(R3:R8, "="&amp;ErrorText), ErrorText, OKText))</f>
        <v>OK</v>
      </c>
      <c r="S2" s="62" t="s">
        <v>58</v>
      </c>
      <c r="T2" s="62"/>
    </row>
    <row r="3" customFormat="false" ht="13.5" hidden="false" customHeight="false" outlineLevel="0" collapsed="false">
      <c r="A3" s="22" t="s">
        <v>359</v>
      </c>
      <c r="B3" s="22"/>
      <c r="C3" s="22"/>
      <c r="D3" s="7" t="s">
        <v>360</v>
      </c>
      <c r="E3" s="7"/>
      <c r="F3" s="5" t="str">
        <f aca="false">IF(ISBLANK(D3), IncompleteText, OKText)</f>
        <v>OK</v>
      </c>
      <c r="G3" s="22" t="s">
        <v>359</v>
      </c>
      <c r="H3" s="22"/>
      <c r="I3" s="22"/>
      <c r="J3" s="7" t="s">
        <v>361</v>
      </c>
      <c r="K3" s="7"/>
      <c r="L3" s="5" t="str">
        <f aca="false">IF(ISBLANK(J3), IncompleteText, OKText)</f>
        <v>OK</v>
      </c>
      <c r="M3" s="22" t="s">
        <v>359</v>
      </c>
      <c r="N3" s="22"/>
      <c r="O3" s="22"/>
      <c r="P3" s="7" t="s">
        <v>362</v>
      </c>
      <c r="Q3" s="7"/>
      <c r="R3" s="5" t="str">
        <f aca="false">IF(ISBLANK(P3), IncompleteText, OKText)</f>
        <v>OK</v>
      </c>
      <c r="S3" s="63" t="s">
        <v>363</v>
      </c>
      <c r="T3" s="63"/>
    </row>
    <row r="4" customFormat="false" ht="13.5" hidden="false" customHeight="false" outlineLevel="0" collapsed="false">
      <c r="A4" s="22" t="s">
        <v>364</v>
      </c>
      <c r="B4" s="22"/>
      <c r="C4" s="22"/>
      <c r="D4" s="29" t="n">
        <v>2</v>
      </c>
      <c r="F4" s="5" t="str">
        <f aca="false">IF(ISBLANK(D4), IncompleteText, OKText)</f>
        <v>OK</v>
      </c>
      <c r="G4" s="22" t="s">
        <v>364</v>
      </c>
      <c r="H4" s="22"/>
      <c r="I4" s="22"/>
      <c r="J4" s="29" t="n">
        <v>4</v>
      </c>
      <c r="L4" s="5" t="str">
        <f aca="false">IF(ISBLANK(J4), IncompleteText, OKText)</f>
        <v>OK</v>
      </c>
      <c r="M4" s="22" t="s">
        <v>364</v>
      </c>
      <c r="N4" s="22"/>
      <c r="O4" s="22"/>
      <c r="P4" s="34" t="n">
        <v>1</v>
      </c>
      <c r="Q4" s="34"/>
      <c r="R4" s="5" t="str">
        <f aca="false">IF(ISBLANK(P4), IncompleteText, OKText)</f>
        <v>OK</v>
      </c>
      <c r="S4" s="63"/>
      <c r="T4" s="63"/>
    </row>
    <row r="5" customFormat="false" ht="13.5" hidden="false" customHeight="false" outlineLevel="0" collapsed="false">
      <c r="A5" s="22" t="s">
        <v>365</v>
      </c>
      <c r="B5" s="22"/>
      <c r="C5" s="22"/>
      <c r="D5" s="29" t="n">
        <v>1</v>
      </c>
      <c r="F5" s="5" t="str">
        <f aca="false">IF(ISBLANK(D5), IncompleteText, OKText)</f>
        <v>OK</v>
      </c>
      <c r="G5" s="22" t="s">
        <v>365</v>
      </c>
      <c r="H5" s="22"/>
      <c r="I5" s="22"/>
      <c r="J5" s="29" t="n">
        <v>1</v>
      </c>
      <c r="L5" s="5" t="str">
        <f aca="false">IF(ISBLANK(J5), IncompleteText, OKText)</f>
        <v>OK</v>
      </c>
      <c r="M5" s="22" t="s">
        <v>365</v>
      </c>
      <c r="N5" s="22"/>
      <c r="O5" s="22"/>
      <c r="P5" s="34" t="n">
        <v>10</v>
      </c>
      <c r="Q5" s="34"/>
      <c r="R5" s="5" t="str">
        <f aca="false">IF(ISBLANK(P5), IncompleteText, OKText)</f>
        <v>OK</v>
      </c>
      <c r="S5" s="63"/>
      <c r="T5" s="63"/>
    </row>
    <row r="6" customFormat="false" ht="13.5" hidden="false" customHeight="false" outlineLevel="0" collapsed="false">
      <c r="A6" s="22" t="s">
        <v>366</v>
      </c>
      <c r="B6" s="22"/>
      <c r="C6" s="22"/>
      <c r="D6" s="37" t="n">
        <f aca="false">VLOOKUP(D3, ResistorsTable, 5, )*D5/D4</f>
        <v>375</v>
      </c>
      <c r="E6" s="1" t="s">
        <v>367</v>
      </c>
      <c r="G6" s="22" t="s">
        <v>366</v>
      </c>
      <c r="H6" s="22"/>
      <c r="I6" s="22"/>
      <c r="J6" s="37" t="n">
        <f aca="false">VLOOKUP(J3, ResistorsTable, 5, )*J5/J4</f>
        <v>7500</v>
      </c>
      <c r="K6" s="1" t="s">
        <v>367</v>
      </c>
      <c r="M6" s="22" t="s">
        <v>366</v>
      </c>
      <c r="N6" s="22"/>
      <c r="O6" s="22"/>
      <c r="P6" s="37" t="n">
        <f aca="false">VLOOKUP(P3, ResistorsTable, 5, )*P5/P4</f>
        <v>15000</v>
      </c>
      <c r="Q6" s="1" t="s">
        <v>367</v>
      </c>
      <c r="R6" s="5" t="str">
        <f aca="false">IF(MaxTSVoltage&lt;=200,IF(P6=5000, OKText, ErrorText),IF(MaxTSVoltage &gt; 400, IF(P6=15000, OKText, ErrorText), IF(P6=10000, OKText, ErrorText)))</f>
        <v>OK</v>
      </c>
      <c r="S6" s="63"/>
      <c r="T6" s="63"/>
    </row>
    <row r="7" customFormat="false" ht="13.5" hidden="false" customHeight="false" outlineLevel="0" collapsed="false">
      <c r="A7" s="22" t="s">
        <v>368</v>
      </c>
      <c r="B7" s="22"/>
      <c r="C7" s="22"/>
      <c r="D7" s="37" t="n">
        <f aca="false">VLOOKUP(D3, ResistorsTable, 6, FALSE())*D4*D5</f>
        <v>40</v>
      </c>
      <c r="E7" s="1" t="s">
        <v>369</v>
      </c>
      <c r="G7" s="22" t="s">
        <v>368</v>
      </c>
      <c r="H7" s="22"/>
      <c r="I7" s="22"/>
      <c r="J7" s="37" t="n">
        <f aca="false">VLOOKUP(J3, ResistorsTable, 6, FALSE())*J4*J5</f>
        <v>36</v>
      </c>
      <c r="K7" s="1" t="s">
        <v>369</v>
      </c>
      <c r="M7" s="22" t="s">
        <v>368</v>
      </c>
      <c r="N7" s="22"/>
      <c r="O7" s="22"/>
      <c r="P7" s="37" t="n">
        <f aca="false">VLOOKUP(P3, ResistorsTable, 6, FALSE())*P5*P4</f>
        <v>30</v>
      </c>
      <c r="Q7" s="1" t="s">
        <v>369</v>
      </c>
      <c r="R7" s="5" t="str">
        <f aca="false">IF(P7&lt;MaxTSVoltage^2/P6, ErrorText, OKText)</f>
        <v>OK</v>
      </c>
      <c r="S7" s="63"/>
      <c r="T7" s="63"/>
    </row>
    <row r="8" customFormat="false" ht="13.5" hidden="false" customHeight="false" outlineLevel="0" collapsed="false">
      <c r="A8" s="22" t="s">
        <v>370</v>
      </c>
      <c r="B8" s="22"/>
      <c r="C8" s="22"/>
      <c r="D8" s="37" t="n">
        <f aca="false">VLOOKUP(D3, ResistorsTable, 7, FALSE())*D4*D5</f>
        <v>400</v>
      </c>
      <c r="E8" s="1" t="s">
        <v>369</v>
      </c>
      <c r="G8" s="22" t="s">
        <v>370</v>
      </c>
      <c r="H8" s="22"/>
      <c r="I8" s="22"/>
      <c r="J8" s="37" t="n">
        <f aca="false">VLOOKUP(J3, ResistorsTable, 7, FALSE())*J4*J5</f>
        <v>36</v>
      </c>
      <c r="K8" s="1" t="s">
        <v>369</v>
      </c>
      <c r="L8" s="5" t="str">
        <f aca="false">IF(J8&lt;MaxTSVoltage^2/DischargeRes, ErrorText, OKText)</f>
        <v>OK</v>
      </c>
      <c r="M8" s="22" t="s">
        <v>371</v>
      </c>
      <c r="N8" s="22"/>
      <c r="O8" s="22"/>
      <c r="P8" s="37" t="n">
        <f aca="false">VLOOKUP(P3, ResistorsTable, 4, FALSE())*P5</f>
        <v>7500</v>
      </c>
      <c r="Q8" s="1" t="s">
        <v>17</v>
      </c>
      <c r="R8" s="5" t="str">
        <f aca="false">IF(P8&lt;MaxTSVoltage, ErrorText, OKText)</f>
        <v>OK</v>
      </c>
      <c r="S8" s="63"/>
      <c r="T8" s="63"/>
    </row>
    <row r="9" customFormat="false" ht="13.5" hidden="false" customHeight="false" outlineLevel="0" collapsed="false">
      <c r="A9" s="22" t="s">
        <v>371</v>
      </c>
      <c r="B9" s="22"/>
      <c r="C9" s="22"/>
      <c r="D9" s="37" t="n">
        <f aca="false">VLOOKUP(D3, ResistorsTable, 4, FALSE())*D5</f>
        <v>750</v>
      </c>
      <c r="E9" s="1" t="s">
        <v>17</v>
      </c>
      <c r="F9" s="5" t="str">
        <f aca="false">IF(D9&lt;MaxTSVoltage, ErrorText, OKText)</f>
        <v>OK</v>
      </c>
      <c r="G9" s="22" t="s">
        <v>371</v>
      </c>
      <c r="H9" s="22"/>
      <c r="I9" s="22"/>
      <c r="J9" s="37" t="n">
        <f aca="false">VLOOKUP(J3, ResistorsTable, 4, FALSE())*J5</f>
        <v>750</v>
      </c>
      <c r="K9" s="1" t="s">
        <v>17</v>
      </c>
      <c r="L9" s="5" t="str">
        <f aca="false">IF(J9&lt;MaxTSVoltage, ErrorText, OKText)</f>
        <v>OK</v>
      </c>
    </row>
    <row r="10" customFormat="false" ht="13.5" hidden="false" customHeight="false" outlineLevel="0" collapsed="false">
      <c r="A10" s="22" t="s">
        <v>372</v>
      </c>
      <c r="B10" s="22"/>
      <c r="C10" s="22"/>
      <c r="D10" s="34" t="n">
        <v>0.28</v>
      </c>
      <c r="E10" s="1" t="s">
        <v>373</v>
      </c>
      <c r="F10" s="5" t="str">
        <f aca="false">IF(ISBLANK(BusCap), IncompleteText, OKText)</f>
        <v>OK</v>
      </c>
      <c r="G10" s="22" t="s">
        <v>374</v>
      </c>
      <c r="H10" s="22"/>
      <c r="I10" s="22"/>
      <c r="J10" s="37" t="n">
        <f aca="false">MaxTSVoltage^2/DischargeRes</f>
        <v>21.676032</v>
      </c>
      <c r="K10" s="1" t="s">
        <v>369</v>
      </c>
    </row>
    <row r="11" customFormat="false" ht="16.4" hidden="false" customHeight="false" outlineLevel="0" collapsed="false">
      <c r="A11" s="22" t="s">
        <v>375</v>
      </c>
      <c r="B11" s="22"/>
      <c r="C11" s="22"/>
      <c r="D11" s="7" t="s">
        <v>376</v>
      </c>
      <c r="E11" s="7"/>
      <c r="F11" s="5" t="str">
        <f aca="false">IF(ISBLANK(D11), IncompleteText, OKText)</f>
        <v>OK</v>
      </c>
      <c r="G11" s="22" t="s">
        <v>377</v>
      </c>
      <c r="H11" s="22"/>
      <c r="I11" s="22"/>
      <c r="J11" s="64" t="n">
        <f aca="false">MaxTSVoltage/DischargeRes</f>
        <v>0.05376</v>
      </c>
      <c r="K11" s="1" t="s">
        <v>19</v>
      </c>
    </row>
    <row r="12" customFormat="false" ht="16.4" hidden="false" customHeight="false" outlineLevel="0" collapsed="false">
      <c r="A12" s="22" t="s">
        <v>378</v>
      </c>
      <c r="B12" s="22"/>
      <c r="C12" s="22"/>
      <c r="D12" s="29" t="n">
        <v>2.1</v>
      </c>
      <c r="E12" s="51" t="s">
        <v>379</v>
      </c>
      <c r="F12" s="45" t="str">
        <f aca="false">IF(D11&lt;&gt;"Time", "", IF(ISBLANK(D12), IncompleteText, IF(D12 &lt; MAX(D17*2, D17+0.5), ErrorText, OKText)))</f>
        <v>OK</v>
      </c>
      <c r="G12" s="20" t="s">
        <v>380</v>
      </c>
      <c r="H12" s="20"/>
      <c r="I12" s="20"/>
      <c r="J12" s="37" t="n">
        <f aca="false">-LN(60/MaxTSVoltage)*DischargeRes*(BusCap/1000)</f>
        <v>4.00068512452362</v>
      </c>
      <c r="K12" s="1" t="s">
        <v>381</v>
      </c>
    </row>
    <row r="13" customFormat="false" ht="16.4" hidden="false" customHeight="false" outlineLevel="0" collapsed="false">
      <c r="A13" s="22" t="s">
        <v>382</v>
      </c>
      <c r="B13" s="22"/>
      <c r="C13" s="22"/>
      <c r="D13" s="29"/>
      <c r="E13" s="51" t="s">
        <v>17</v>
      </c>
      <c r="F13" s="45" t="str">
        <f aca="false">IF(D11&lt;&gt;"Delta Voltage", "", IF(ISBLANK(D13), IncompleteText, IF(D13 &gt; MaxTSVoltage*0.1, ErrorText, OKText)))</f>
        <v/>
      </c>
      <c r="G13" s="22" t="s">
        <v>383</v>
      </c>
      <c r="H13" s="22"/>
      <c r="I13" s="22"/>
      <c r="J13" s="7" t="s">
        <v>384</v>
      </c>
      <c r="K13" s="7"/>
      <c r="L13" s="5" t="str">
        <f aca="false">IF(ISBLANK(J13), IncompleteText, OKText)</f>
        <v>OK</v>
      </c>
    </row>
    <row r="14" customFormat="false" ht="16.4" hidden="false" customHeight="false" outlineLevel="0" collapsed="false">
      <c r="A14" s="22" t="s">
        <v>385</v>
      </c>
      <c r="B14" s="22"/>
      <c r="C14" s="22"/>
      <c r="D14" s="29"/>
      <c r="E14" s="51" t="s">
        <v>301</v>
      </c>
      <c r="F14" s="45" t="str">
        <f aca="false">IF(D11&lt;&gt;"Ratio", "", IF(ISBLANK(D14), IncompleteText, IF(D14 &lt; 90, ErrorText, OKText)))</f>
        <v/>
      </c>
      <c r="G14" s="22" t="s">
        <v>386</v>
      </c>
      <c r="H14" s="22"/>
      <c r="I14" s="22"/>
      <c r="J14" s="37" t="n">
        <f aca="false">VLOOKUP(J13, ContactorsTable, 4, FALSE())</f>
        <v>1500</v>
      </c>
      <c r="K14" s="1" t="s">
        <v>17</v>
      </c>
      <c r="L14" s="5" t="str">
        <f aca="false">IF(J14&lt;MaxTSVoltage, ErrorText, OKText)</f>
        <v>OK</v>
      </c>
    </row>
    <row r="15" customFormat="false" ht="16.4" hidden="false" customHeight="false" outlineLevel="0" collapsed="false">
      <c r="A15" s="22" t="s">
        <v>374</v>
      </c>
      <c r="B15" s="22"/>
      <c r="C15" s="22"/>
      <c r="D15" s="37" t="n">
        <f aca="false">MaxTSVoltage^2/PrechargeRes</f>
        <v>433.52064</v>
      </c>
      <c r="E15" s="1" t="s">
        <v>369</v>
      </c>
      <c r="G15" s="22" t="s">
        <v>387</v>
      </c>
      <c r="H15" s="22"/>
      <c r="I15" s="22"/>
      <c r="J15" s="37" t="n">
        <f aca="false">VLOOKUP(J13, ContactorsTable, 5, FALSE())</f>
        <v>30</v>
      </c>
      <c r="K15" s="1" t="s">
        <v>19</v>
      </c>
      <c r="L15" s="5" t="str">
        <f aca="false">IF(J15&lt;J11, ErrorText, OKText)</f>
        <v>OK</v>
      </c>
    </row>
    <row r="16" customFormat="false" ht="13.8" hidden="false" customHeight="false" outlineLevel="0" collapsed="false">
      <c r="A16" s="22" t="s">
        <v>377</v>
      </c>
      <c r="B16" s="22"/>
      <c r="C16" s="22"/>
      <c r="D16" s="64" t="n">
        <f aca="false">MaxTSVoltage/PrechargeRes</f>
        <v>1.0752</v>
      </c>
      <c r="E16" s="1" t="s">
        <v>19</v>
      </c>
      <c r="G16" s="22" t="s">
        <v>132</v>
      </c>
      <c r="H16" s="22"/>
      <c r="I16" s="22"/>
      <c r="J16" s="37" t="str">
        <f aca="false">VLOOKUP(J13, ContactorsTable, 7, FALSE())</f>
        <v>NC</v>
      </c>
      <c r="L16" s="5" t="str">
        <f aca="false">IF(J16&lt;&gt; "NC", ErrorText, OKText)</f>
        <v>OK</v>
      </c>
    </row>
    <row r="17" customFormat="false" ht="13.8" hidden="false" customHeight="false" outlineLevel="0" collapsed="false">
      <c r="A17" s="22" t="s">
        <v>388</v>
      </c>
      <c r="B17" s="22"/>
      <c r="C17" s="22"/>
      <c r="D17" s="64" t="n">
        <f aca="false">-LN(0.1)*(BusCap/1000)*PrechargeRes</f>
        <v>0.241771434764375</v>
      </c>
      <c r="E17" s="1" t="s">
        <v>379</v>
      </c>
      <c r="G17" s="62" t="s">
        <v>58</v>
      </c>
      <c r="H17" s="62"/>
    </row>
    <row r="18" customFormat="false" ht="13.8" hidden="false" customHeight="false" outlineLevel="0" collapsed="false">
      <c r="A18" s="65" t="s">
        <v>389</v>
      </c>
      <c r="B18" s="65"/>
      <c r="C18" s="65"/>
      <c r="D18" s="64" t="n">
        <f aca="false">MaxTSVoltage^2*(BusCap/1000)/2*(1-EXP(-D17*2/(PrechargeRes*(BusCap/1000))))</f>
        <v>22.532235264</v>
      </c>
      <c r="E18" s="1" t="s">
        <v>390</v>
      </c>
      <c r="G18" s="66" t="s">
        <v>228</v>
      </c>
      <c r="H18" s="66"/>
    </row>
    <row r="19" customFormat="false" ht="13.8" hidden="false" customHeight="false" outlineLevel="0" collapsed="false">
      <c r="A19" s="22" t="s">
        <v>391</v>
      </c>
      <c r="B19" s="22"/>
      <c r="C19" s="22"/>
      <c r="D19" s="67" t="n">
        <f aca="false">D18/D17</f>
        <v>93.1964327628673</v>
      </c>
      <c r="E19" s="1" t="s">
        <v>369</v>
      </c>
    </row>
    <row r="20" customFormat="false" ht="16.4" hidden="false" customHeight="false" outlineLevel="0" collapsed="false">
      <c r="A20" s="22" t="s">
        <v>383</v>
      </c>
      <c r="B20" s="22"/>
      <c r="C20" s="22"/>
      <c r="D20" s="7" t="s">
        <v>392</v>
      </c>
      <c r="E20" s="7"/>
      <c r="F20" s="5" t="str">
        <f aca="false">IF(ISBLANK(D20), IncompleteText, OKText)</f>
        <v>OK</v>
      </c>
    </row>
    <row r="21" customFormat="false" ht="13.5" hidden="false" customHeight="false" outlineLevel="0" collapsed="false">
      <c r="A21" s="22" t="s">
        <v>386</v>
      </c>
      <c r="B21" s="22"/>
      <c r="C21" s="22"/>
      <c r="D21" s="37" t="n">
        <f aca="false">VLOOKUP(D20, ContactorsTable, 4, FALSE())</f>
        <v>1500</v>
      </c>
      <c r="E21" s="1" t="s">
        <v>17</v>
      </c>
      <c r="F21" s="5" t="str">
        <f aca="false">IF(D21&lt;MaxTSVoltage, ErrorText, OKText)</f>
        <v>OK</v>
      </c>
    </row>
    <row r="22" customFormat="false" ht="16.4" hidden="false" customHeight="false" outlineLevel="0" collapsed="false">
      <c r="A22" s="22" t="s">
        <v>387</v>
      </c>
      <c r="B22" s="22"/>
      <c r="C22" s="22"/>
      <c r="D22" s="37" t="n">
        <f aca="false">VLOOKUP(D20, ContactorsTable, 5, FALSE())</f>
        <v>50</v>
      </c>
      <c r="E22" s="1" t="s">
        <v>19</v>
      </c>
      <c r="F22" s="5" t="str">
        <f aca="false">IF(D22&lt;D16, ErrorText, OKText)</f>
        <v>OK</v>
      </c>
    </row>
    <row r="23" customFormat="false" ht="16.4" hidden="false" customHeight="false" outlineLevel="0" collapsed="false"/>
    <row r="24" customFormat="false" ht="16.4" hidden="false" customHeight="false" outlineLevel="0" collapsed="false">
      <c r="A24" s="10" t="s">
        <v>20</v>
      </c>
      <c r="B24" s="10"/>
      <c r="C24" s="10"/>
      <c r="D24" s="10"/>
      <c r="E24" s="10"/>
      <c r="F24" s="10"/>
      <c r="G24" s="10"/>
    </row>
    <row r="25" customFormat="false" ht="16.4" hidden="false" customHeight="true" outlineLevel="0" collapsed="false">
      <c r="A25" s="68" t="s">
        <v>393</v>
      </c>
      <c r="B25" s="68"/>
      <c r="C25" s="68"/>
      <c r="D25" s="68"/>
      <c r="E25" s="68"/>
      <c r="F25" s="68"/>
      <c r="G25" s="68"/>
    </row>
    <row r="26" customFormat="false" ht="16.4" hidden="false" customHeight="false" outlineLevel="0" collapsed="false">
      <c r="A26" s="68"/>
      <c r="B26" s="68"/>
      <c r="C26" s="68"/>
      <c r="D26" s="68"/>
      <c r="E26" s="68"/>
      <c r="F26" s="68"/>
      <c r="G26" s="68"/>
    </row>
    <row r="27" customFormat="false" ht="16.4" hidden="false" customHeight="false" outlineLevel="0" collapsed="false">
      <c r="A27" s="68"/>
      <c r="B27" s="68"/>
      <c r="C27" s="68"/>
      <c r="D27" s="68"/>
      <c r="E27" s="68"/>
      <c r="F27" s="68"/>
      <c r="G27" s="68"/>
    </row>
    <row r="28" customFormat="false" ht="16.4" hidden="false" customHeight="false" outlineLevel="0" collapsed="false">
      <c r="A28" s="68"/>
      <c r="B28" s="68"/>
      <c r="C28" s="68"/>
      <c r="D28" s="68"/>
      <c r="E28" s="68"/>
      <c r="F28" s="68"/>
      <c r="G28" s="68"/>
    </row>
    <row r="29" customFormat="false" ht="13.5" hidden="false" customHeight="false" outlineLevel="0" collapsed="false">
      <c r="A29" s="68"/>
      <c r="B29" s="68"/>
      <c r="C29" s="68"/>
      <c r="D29" s="68"/>
      <c r="E29" s="68"/>
      <c r="F29" s="68"/>
      <c r="G29" s="68"/>
    </row>
    <row r="30" customFormat="false" ht="16.4" hidden="false" customHeight="false" outlineLevel="0" collapsed="false">
      <c r="A30" s="68"/>
      <c r="B30" s="68"/>
      <c r="C30" s="68"/>
      <c r="D30" s="68"/>
      <c r="E30" s="68"/>
      <c r="F30" s="68"/>
      <c r="G30" s="68"/>
    </row>
    <row r="31" customFormat="false" ht="16.4" hidden="false" customHeight="false" outlineLevel="0" collapsed="false">
      <c r="A31" s="68"/>
      <c r="B31" s="68"/>
      <c r="C31" s="68"/>
      <c r="D31" s="68"/>
      <c r="E31" s="68"/>
      <c r="F31" s="68"/>
      <c r="G31" s="68"/>
    </row>
    <row r="32" customFormat="false" ht="16.4" hidden="false" customHeight="false" outlineLevel="0" collapsed="false">
      <c r="A32" s="68"/>
      <c r="B32" s="68"/>
      <c r="C32" s="68"/>
      <c r="D32" s="68"/>
      <c r="E32" s="68"/>
      <c r="F32" s="68"/>
      <c r="G32" s="68"/>
    </row>
    <row r="33" customFormat="false" ht="16.4" hidden="false" customHeight="false" outlineLevel="0" collapsed="false">
      <c r="A33" s="68"/>
      <c r="B33" s="68"/>
      <c r="C33" s="68"/>
      <c r="D33" s="68"/>
      <c r="E33" s="68"/>
      <c r="F33" s="68"/>
      <c r="G33" s="68"/>
    </row>
    <row r="34" customFormat="false" ht="16.4" hidden="false" customHeight="false" outlineLevel="0" collapsed="false">
      <c r="A34" s="68"/>
      <c r="B34" s="68"/>
      <c r="C34" s="68"/>
      <c r="D34" s="68"/>
      <c r="E34" s="68"/>
      <c r="F34" s="68"/>
      <c r="G34" s="68"/>
    </row>
    <row r="35" customFormat="false" ht="16.4" hidden="false" customHeight="false" outlineLevel="0" collapsed="false">
      <c r="A35" s="68"/>
      <c r="B35" s="68"/>
      <c r="C35" s="68"/>
      <c r="D35" s="68"/>
      <c r="E35" s="68"/>
      <c r="F35" s="68"/>
      <c r="G35" s="68"/>
    </row>
    <row r="36" customFormat="false" ht="16.4" hidden="false" customHeight="false" outlineLevel="0" collapsed="false">
      <c r="A36" s="68"/>
      <c r="B36" s="68"/>
      <c r="C36" s="68"/>
      <c r="D36" s="68"/>
      <c r="E36" s="68"/>
      <c r="F36" s="68"/>
      <c r="G36" s="68"/>
    </row>
    <row r="37" customFormat="false" ht="16.4" hidden="false" customHeight="false" outlineLevel="0" collapsed="false">
      <c r="A37" s="68"/>
      <c r="B37" s="68"/>
      <c r="C37" s="68"/>
      <c r="D37" s="68"/>
      <c r="E37" s="68"/>
      <c r="F37" s="68"/>
      <c r="G37" s="68"/>
    </row>
    <row r="38" customFormat="false" ht="16.4" hidden="false" customHeight="false" outlineLevel="0" collapsed="false">
      <c r="A38" s="68"/>
      <c r="B38" s="68"/>
      <c r="C38" s="68"/>
      <c r="D38" s="68"/>
      <c r="E38" s="68"/>
      <c r="F38" s="68"/>
      <c r="G38" s="68"/>
    </row>
    <row r="39" customFormat="false" ht="16.4" hidden="false" customHeight="false" outlineLevel="0" collapsed="false">
      <c r="A39" s="68"/>
      <c r="B39" s="68"/>
      <c r="C39" s="68"/>
      <c r="D39" s="68"/>
      <c r="E39" s="68"/>
      <c r="F39" s="68"/>
      <c r="G39" s="68"/>
    </row>
    <row r="40" customFormat="false" ht="16.4" hidden="false" customHeight="false" outlineLevel="0" collapsed="false">
      <c r="A40" s="68"/>
      <c r="B40" s="68"/>
      <c r="C40" s="68"/>
      <c r="D40" s="68"/>
      <c r="E40" s="68"/>
      <c r="F40" s="68"/>
      <c r="G40" s="68"/>
    </row>
    <row r="41" customFormat="false" ht="16.4" hidden="false" customHeight="false" outlineLevel="0" collapsed="false"/>
    <row r="42" customFormat="false" ht="16.4" hidden="false" customHeight="false" outlineLevel="0" collapsed="false"/>
    <row r="43" customFormat="false" ht="16.4" hidden="false" customHeight="false" outlineLevel="0" collapsed="false"/>
    <row r="44" customFormat="false" ht="16.4" hidden="false" customHeight="false" outlineLevel="0" collapsed="false"/>
    <row r="45" customFormat="false" ht="16.4" hidden="false" customHeight="false" outlineLevel="0" collapsed="false"/>
    <row r="46" customFormat="false" ht="16.4" hidden="false" customHeight="false" outlineLevel="0" collapsed="false"/>
    <row r="48" customFormat="false" ht="16.4" hidden="false" customHeight="false" outlineLevel="0" collapsed="false"/>
    <row r="49" customFormat="false" ht="16.4" hidden="false" customHeight="false" outlineLevel="0" collapsed="false"/>
    <row r="50" customFormat="false" ht="16.4" hidden="false" customHeight="false" outlineLevel="0" collapsed="false"/>
    <row r="51" customFormat="false" ht="16.4" hidden="false" customHeight="false" outlineLevel="0" collapsed="false"/>
    <row r="52" customFormat="false" ht="16.4" hidden="false" customHeight="false" outlineLevel="0" collapsed="false"/>
    <row r="53" customFormat="false" ht="16.4" hidden="false" customHeight="false" outlineLevel="0" collapsed="false"/>
    <row r="54" customFormat="false" ht="16.4" hidden="false" customHeight="false" outlineLevel="0" collapsed="false"/>
    <row r="55" customFormat="false" ht="46.25" hidden="false" customHeight="false" outlineLevel="0" collapsed="false"/>
    <row r="56" customFormat="false" ht="16.4" hidden="false" customHeight="false" outlineLevel="0" collapsed="false"/>
  </sheetData>
  <mergeCells count="5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A10:C10"/>
    <mergeCell ref="G10:I10"/>
    <mergeCell ref="A11:C11"/>
    <mergeCell ref="D11:E11"/>
    <mergeCell ref="G11:I11"/>
    <mergeCell ref="A12:C12"/>
    <mergeCell ref="G12:I12"/>
    <mergeCell ref="A13:C13"/>
    <mergeCell ref="G13:I13"/>
    <mergeCell ref="J13:K13"/>
    <mergeCell ref="A14:C14"/>
    <mergeCell ref="G14:I14"/>
    <mergeCell ref="A15:C15"/>
    <mergeCell ref="G15:I15"/>
    <mergeCell ref="A16:C16"/>
    <mergeCell ref="G16:I16"/>
    <mergeCell ref="A17:C17"/>
    <mergeCell ref="G17:H17"/>
    <mergeCell ref="A18:C18"/>
    <mergeCell ref="A19:C19"/>
    <mergeCell ref="A20:C20"/>
    <mergeCell ref="D20:E20"/>
    <mergeCell ref="A21:C21"/>
    <mergeCell ref="A22:C22"/>
    <mergeCell ref="A24:G24"/>
    <mergeCell ref="A25:G40"/>
  </mergeCells>
  <conditionalFormatting sqref="A14:F14">
    <cfRule type="expression" priority="2" aboveAverage="0" equalAverage="0" bottom="0" percent="0" rank="0" text="" dxfId="16">
      <formula>$D$11&lt;&gt;"Ratio"</formula>
    </cfRule>
  </conditionalFormatting>
  <conditionalFormatting sqref="A13 D13:F13">
    <cfRule type="expression" priority="3" aboveAverage="0" equalAverage="0" bottom="0" percent="0" rank="0" text="" dxfId="17">
      <formula>$D$11 &lt;&gt; "Delta Voltage"</formula>
    </cfRule>
  </conditionalFormatting>
  <conditionalFormatting sqref="A12 D12:F12">
    <cfRule type="expression" priority="4" aboveAverage="0" equalAverage="0" bottom="0" percent="0" rank="0" text="" dxfId="18">
      <formula>$D$11 &lt;&gt; "Time"</formula>
    </cfRule>
  </conditionalFormatting>
  <dataValidations count="4">
    <dataValidation allowBlank="true" errorStyle="stop" operator="between" showDropDown="false" showErrorMessage="true" showInputMessage="true" sqref="D3:E3 J3:K3 P3:Q3" type="list">
      <formula1>ResistorsNames</formula1>
      <formula2>0</formula2>
    </dataValidation>
    <dataValidation allowBlank="true" errorStyle="stop" operator="between" showDropDown="false" showErrorMessage="true" showInputMessage="true" sqref="D11:E11" type="list">
      <formula1>"Time,Delta Voltage,Ratio"</formula1>
      <formula2>0</formula2>
    </dataValidation>
    <dataValidation allowBlank="true" errorStyle="stop" operator="between" showDropDown="false" showErrorMessage="true" showInputMessage="true" sqref="J13:K13 D20:E20" type="list">
      <formula1>ContactorNames</formula1>
      <formula2>0</formula2>
    </dataValidation>
    <dataValidation allowBlank="true" errorStyle="stop" operator="between" showDropDown="false" showErrorMessage="true" showInputMessage="true" sqref="D4:D5 J4:J5" type="whole">
      <formula1>1</formula1>
      <formula2>1000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8" activePane="bottomLeft" state="frozen"/>
      <selection pane="topLeft" activeCell="A1" activeCellId="0" sqref="A1"/>
      <selection pane="bottomLeft" activeCell="D10" activeCellId="0" sqref="D10"/>
    </sheetView>
  </sheetViews>
  <sheetFormatPr defaultColWidth="8.7226562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IF(SUM(COUNTIF(INDIRECT({"Charging!$F$2","Charging!$H$32","Charging!$Q$32"}), "="&amp;IncompleteText)), IncompleteText, IF(SUM(COUNTIF(INDIRECT({"Charging!$F$2","Charging!$H$32","Charging!$Q$32"}), "="&amp;ErrorText)), ErrorText, OKText))</f>
        <v>BLANK</v>
      </c>
    </row>
    <row r="2" customFormat="false" ht="13.5" hidden="false" customHeight="false" outlineLevel="0" collapsed="false">
      <c r="A2" s="2" t="s">
        <v>394</v>
      </c>
      <c r="B2" s="2"/>
      <c r="C2" s="2"/>
      <c r="D2" s="2"/>
      <c r="E2" s="2"/>
      <c r="F2" s="5" t="str">
        <f aca="false">IF(COUNTIF(F3:F11, "="&amp;IncompleteText), IncompleteText, IF(COUNTIF(F3:F11, "="&amp;ErrorText), ErrorText, OKText))</f>
        <v>OK</v>
      </c>
      <c r="H2" s="2" t="s">
        <v>20</v>
      </c>
      <c r="I2" s="2"/>
      <c r="J2" s="2"/>
      <c r="K2" s="2"/>
      <c r="L2" s="2"/>
      <c r="M2" s="2"/>
      <c r="N2" s="2"/>
    </row>
    <row r="3" customFormat="false" ht="13.5" hidden="false" customHeight="false" outlineLevel="0" collapsed="false">
      <c r="A3" s="22" t="s">
        <v>30</v>
      </c>
      <c r="B3" s="22"/>
      <c r="C3" s="22"/>
      <c r="D3" s="7" t="s">
        <v>395</v>
      </c>
      <c r="E3" s="7"/>
      <c r="F3" s="5" t="str">
        <f aca="false">IF(ISBLANK(D3), IncompleteText, OKText)</f>
        <v>OK</v>
      </c>
      <c r="H3" s="39"/>
      <c r="I3" s="39"/>
      <c r="J3" s="39"/>
      <c r="K3" s="39"/>
      <c r="L3" s="39"/>
      <c r="M3" s="39"/>
      <c r="N3" s="39"/>
    </row>
    <row r="4" customFormat="false" ht="16.4" hidden="false" customHeight="true" outlineLevel="0" collapsed="false">
      <c r="A4" s="20" t="s">
        <v>32</v>
      </c>
      <c r="B4" s="20"/>
      <c r="C4" s="20"/>
      <c r="D4" s="69" t="s">
        <v>396</v>
      </c>
      <c r="E4" s="69"/>
      <c r="F4" s="5" t="str">
        <f aca="false">IF(ISBLANK(D4), IncompleteText, OKText)</f>
        <v>OK</v>
      </c>
      <c r="H4" s="39"/>
      <c r="I4" s="39"/>
      <c r="J4" s="39"/>
      <c r="K4" s="39"/>
      <c r="L4" s="39"/>
      <c r="M4" s="39"/>
      <c r="N4" s="39"/>
    </row>
    <row r="5" customFormat="false" ht="16.4" hidden="false" customHeight="false" outlineLevel="0" collapsed="false">
      <c r="A5" s="22" t="s">
        <v>45</v>
      </c>
      <c r="B5" s="22"/>
      <c r="C5" s="22"/>
      <c r="D5" s="7" t="s">
        <v>397</v>
      </c>
      <c r="E5" s="7"/>
      <c r="F5" s="5" t="str">
        <f aca="false">IF(ISBLANK(D5), IncompleteText, OKText)</f>
        <v>OK</v>
      </c>
      <c r="H5" s="39"/>
      <c r="I5" s="39"/>
      <c r="J5" s="39"/>
      <c r="K5" s="39"/>
      <c r="L5" s="39"/>
      <c r="M5" s="39"/>
      <c r="N5" s="39"/>
    </row>
    <row r="6" customFormat="false" ht="13.5" hidden="false" customHeight="false" outlineLevel="0" collapsed="false">
      <c r="A6" s="22" t="s">
        <v>398</v>
      </c>
      <c r="B6" s="22"/>
      <c r="C6" s="22"/>
      <c r="D6" s="34" t="s">
        <v>399</v>
      </c>
      <c r="E6" s="49" t="s">
        <v>17</v>
      </c>
      <c r="F6" s="5" t="str">
        <f aca="false">IF(ISBLANK(D6), IncompleteText, OKText)</f>
        <v>OK</v>
      </c>
      <c r="H6" s="39"/>
      <c r="I6" s="39"/>
      <c r="J6" s="39"/>
      <c r="K6" s="39"/>
      <c r="L6" s="39"/>
      <c r="M6" s="39"/>
      <c r="N6" s="39"/>
    </row>
    <row r="7" customFormat="false" ht="13.5" hidden="false" customHeight="false" outlineLevel="0" collapsed="false">
      <c r="A7" s="22" t="s">
        <v>400</v>
      </c>
      <c r="B7" s="22"/>
      <c r="C7" s="22"/>
      <c r="D7" s="34" t="n">
        <v>32</v>
      </c>
      <c r="E7" s="49" t="s">
        <v>19</v>
      </c>
      <c r="F7" s="5" t="str">
        <f aca="false">IF(ISBLANK(D7), IncompleteText, OKText)</f>
        <v>OK</v>
      </c>
      <c r="H7" s="39"/>
      <c r="I7" s="39"/>
      <c r="J7" s="39"/>
      <c r="K7" s="39"/>
      <c r="L7" s="39"/>
      <c r="M7" s="39"/>
      <c r="N7" s="39"/>
    </row>
    <row r="8" customFormat="false" ht="13.5" hidden="false" customHeight="false" outlineLevel="0" collapsed="false">
      <c r="A8" s="22" t="s">
        <v>401</v>
      </c>
      <c r="B8" s="22"/>
      <c r="C8" s="22"/>
      <c r="D8" s="34" t="s">
        <v>402</v>
      </c>
      <c r="E8" s="49" t="s">
        <v>17</v>
      </c>
      <c r="F8" s="5" t="str">
        <f aca="false">IF(ISBLANK(D8), IncompleteText, OKText)</f>
        <v>OK</v>
      </c>
      <c r="H8" s="39"/>
      <c r="I8" s="39"/>
      <c r="J8" s="39"/>
      <c r="K8" s="39"/>
      <c r="L8" s="39"/>
      <c r="M8" s="39"/>
      <c r="N8" s="39"/>
    </row>
    <row r="9" customFormat="false" ht="13.5" hidden="false" customHeight="false" outlineLevel="0" collapsed="false">
      <c r="A9" s="22" t="s">
        <v>403</v>
      </c>
      <c r="B9" s="22"/>
      <c r="C9" s="22"/>
      <c r="D9" s="34" t="n">
        <v>14</v>
      </c>
      <c r="E9" s="49" t="s">
        <v>19</v>
      </c>
      <c r="F9" s="5" t="str">
        <f aca="false">IF(ISBLANK(D9), IncompleteText, OKText)</f>
        <v>OK</v>
      </c>
      <c r="H9" s="39"/>
      <c r="I9" s="39"/>
      <c r="J9" s="39"/>
      <c r="K9" s="39"/>
      <c r="L9" s="39"/>
      <c r="M9" s="39"/>
      <c r="N9" s="39"/>
    </row>
    <row r="10" customFormat="false" ht="13.5" hidden="false" customHeight="false" outlineLevel="0" collapsed="false">
      <c r="A10" s="22" t="s">
        <v>404</v>
      </c>
      <c r="B10" s="22"/>
      <c r="C10" s="22"/>
      <c r="D10" s="34" t="n">
        <v>6.6</v>
      </c>
      <c r="E10" s="49" t="s">
        <v>405</v>
      </c>
      <c r="F10" s="5" t="str">
        <f aca="false">IF(ISBLANK(D10), IncompleteText, OKText)</f>
        <v>OK</v>
      </c>
      <c r="H10" s="39"/>
      <c r="I10" s="39"/>
      <c r="J10" s="39"/>
      <c r="K10" s="39"/>
      <c r="L10" s="39"/>
      <c r="M10" s="39"/>
      <c r="N10" s="39"/>
    </row>
    <row r="11" customFormat="false" ht="16.4" hidden="false" customHeight="false" outlineLevel="0" collapsed="false">
      <c r="A11" s="22" t="s">
        <v>406</v>
      </c>
      <c r="B11" s="22"/>
      <c r="C11" s="22"/>
      <c r="D11" s="7" t="n">
        <v>2000</v>
      </c>
      <c r="E11" s="7"/>
      <c r="F11" s="5" t="str">
        <f aca="false">IF(ISBLANK(D11), IncompleteText, OKText)</f>
        <v>OK</v>
      </c>
    </row>
    <row r="12" customFormat="false" ht="16.4" hidden="false" customHeight="false" outlineLevel="0" collapsed="false"/>
    <row r="13" customFormat="false" ht="16.4" hidden="false" customHeight="false" outlineLevel="0" collapsed="false">
      <c r="A13" s="38" t="s">
        <v>407</v>
      </c>
      <c r="B13" s="38"/>
      <c r="C13" s="38"/>
      <c r="D13" s="38"/>
      <c r="E13" s="38"/>
      <c r="F13" s="38"/>
      <c r="G13" s="38"/>
      <c r="H13" s="38"/>
      <c r="J13" s="38" t="s">
        <v>408</v>
      </c>
      <c r="K13" s="38"/>
      <c r="L13" s="38"/>
      <c r="M13" s="38"/>
      <c r="N13" s="38"/>
      <c r="O13" s="38"/>
      <c r="P13" s="38"/>
      <c r="Q13" s="38"/>
    </row>
    <row r="14" customFormat="false" ht="16.4" hidden="false" customHeight="false" outlineLevel="0" collapsed="false">
      <c r="A14" s="38"/>
      <c r="B14" s="38"/>
      <c r="C14" s="38"/>
      <c r="D14" s="38"/>
      <c r="E14" s="38"/>
      <c r="F14" s="38"/>
      <c r="G14" s="38"/>
      <c r="H14" s="38"/>
      <c r="J14" s="38"/>
      <c r="K14" s="38"/>
      <c r="L14" s="38"/>
      <c r="M14" s="38"/>
      <c r="N14" s="38"/>
      <c r="O14" s="38"/>
      <c r="P14" s="38"/>
      <c r="Q14" s="38"/>
    </row>
    <row r="15" customFormat="false" ht="16.4" hidden="false" customHeight="false" outlineLevel="0" collapsed="false">
      <c r="A15" s="38"/>
      <c r="B15" s="38"/>
      <c r="C15" s="38"/>
      <c r="D15" s="38"/>
      <c r="E15" s="38"/>
      <c r="F15" s="38"/>
      <c r="G15" s="38"/>
      <c r="H15" s="38"/>
      <c r="J15" s="38"/>
      <c r="K15" s="38"/>
      <c r="L15" s="38"/>
      <c r="M15" s="38"/>
      <c r="N15" s="38"/>
      <c r="O15" s="38"/>
      <c r="P15" s="38"/>
      <c r="Q15" s="38"/>
    </row>
    <row r="16" customFormat="false" ht="13.8" hidden="false" customHeight="false" outlineLevel="0" collapsed="false">
      <c r="A16" s="38"/>
      <c r="B16" s="38"/>
      <c r="C16" s="38"/>
      <c r="D16" s="38"/>
      <c r="E16" s="38"/>
      <c r="F16" s="38"/>
      <c r="G16" s="38"/>
      <c r="H16" s="38"/>
      <c r="J16" s="38"/>
      <c r="K16" s="38"/>
      <c r="L16" s="38"/>
      <c r="M16" s="38"/>
      <c r="N16" s="38"/>
      <c r="O16" s="38"/>
      <c r="P16" s="38"/>
      <c r="Q16" s="38"/>
    </row>
    <row r="17" customFormat="false" ht="13.8" hidden="false" customHeight="false" outlineLevel="0" collapsed="false">
      <c r="A17" s="38"/>
      <c r="B17" s="38"/>
      <c r="C17" s="38"/>
      <c r="D17" s="38"/>
      <c r="E17" s="38"/>
      <c r="F17" s="38"/>
      <c r="G17" s="38"/>
      <c r="H17" s="38"/>
      <c r="J17" s="38"/>
      <c r="K17" s="38"/>
      <c r="L17" s="38"/>
      <c r="M17" s="38"/>
      <c r="N17" s="38"/>
      <c r="O17" s="38"/>
      <c r="P17" s="38"/>
      <c r="Q17" s="38"/>
    </row>
    <row r="18" customFormat="false" ht="13.8" hidden="false" customHeight="false" outlineLevel="0" collapsed="false">
      <c r="A18" s="38"/>
      <c r="B18" s="38"/>
      <c r="C18" s="38"/>
      <c r="D18" s="38"/>
      <c r="E18" s="38"/>
      <c r="F18" s="38"/>
      <c r="G18" s="38"/>
      <c r="H18" s="38"/>
      <c r="J18" s="38"/>
      <c r="K18" s="38"/>
      <c r="L18" s="38"/>
      <c r="M18" s="38"/>
      <c r="N18" s="38"/>
      <c r="O18" s="38"/>
      <c r="P18" s="38"/>
      <c r="Q18" s="38"/>
    </row>
    <row r="19" customFormat="false" ht="13.8" hidden="false" customHeight="false" outlineLevel="0" collapsed="false">
      <c r="A19" s="38"/>
      <c r="B19" s="38"/>
      <c r="C19" s="38"/>
      <c r="D19" s="38"/>
      <c r="E19" s="38"/>
      <c r="F19" s="38"/>
      <c r="G19" s="38"/>
      <c r="H19" s="38"/>
      <c r="J19" s="38"/>
      <c r="K19" s="38"/>
      <c r="L19" s="38"/>
      <c r="M19" s="38"/>
      <c r="N19" s="38"/>
      <c r="O19" s="38"/>
      <c r="P19" s="38"/>
      <c r="Q19" s="38"/>
    </row>
    <row r="20" customFormat="false" ht="16.4" hidden="false" customHeight="false" outlineLevel="0" collapsed="false">
      <c r="A20" s="38"/>
      <c r="B20" s="38"/>
      <c r="C20" s="38"/>
      <c r="D20" s="38"/>
      <c r="E20" s="38"/>
      <c r="F20" s="38"/>
      <c r="G20" s="38"/>
      <c r="H20" s="38"/>
      <c r="J20" s="38"/>
      <c r="K20" s="38"/>
      <c r="L20" s="38"/>
      <c r="M20" s="38"/>
      <c r="N20" s="38"/>
      <c r="O20" s="38"/>
      <c r="P20" s="38"/>
      <c r="Q20" s="38"/>
    </row>
    <row r="21" customFormat="false" ht="13.5" hidden="false" customHeight="false" outlineLevel="0" collapsed="false">
      <c r="A21" s="38"/>
      <c r="B21" s="38"/>
      <c r="C21" s="38"/>
      <c r="D21" s="38"/>
      <c r="E21" s="38"/>
      <c r="F21" s="38"/>
      <c r="G21" s="38"/>
      <c r="H21" s="38"/>
      <c r="J21" s="38"/>
      <c r="K21" s="38"/>
      <c r="L21" s="38"/>
      <c r="M21" s="38"/>
      <c r="N21" s="38"/>
      <c r="O21" s="38"/>
      <c r="P21" s="38"/>
      <c r="Q21" s="38"/>
    </row>
    <row r="22" customFormat="false" ht="16.4" hidden="false" customHeight="false" outlineLevel="0" collapsed="false">
      <c r="A22" s="38"/>
      <c r="B22" s="38"/>
      <c r="C22" s="38"/>
      <c r="D22" s="38"/>
      <c r="E22" s="38"/>
      <c r="F22" s="38"/>
      <c r="G22" s="38"/>
      <c r="H22" s="38"/>
      <c r="J22" s="38"/>
      <c r="K22" s="38"/>
      <c r="L22" s="38"/>
      <c r="M22" s="38"/>
      <c r="N22" s="38"/>
      <c r="O22" s="38"/>
      <c r="P22" s="38"/>
      <c r="Q22" s="38"/>
    </row>
    <row r="23" customFormat="false" ht="16.4" hidden="false" customHeight="false" outlineLevel="0" collapsed="false">
      <c r="A23" s="38"/>
      <c r="B23" s="38"/>
      <c r="C23" s="38"/>
      <c r="D23" s="38"/>
      <c r="E23" s="38"/>
      <c r="F23" s="38"/>
      <c r="G23" s="38"/>
      <c r="H23" s="38"/>
      <c r="J23" s="38"/>
      <c r="K23" s="38"/>
      <c r="L23" s="38"/>
      <c r="M23" s="38"/>
      <c r="N23" s="38"/>
      <c r="O23" s="38"/>
      <c r="P23" s="38"/>
      <c r="Q23" s="38"/>
    </row>
    <row r="24" customFormat="false" ht="16.4" hidden="false" customHeight="false" outlineLevel="0" collapsed="false">
      <c r="A24" s="38"/>
      <c r="B24" s="38"/>
      <c r="C24" s="38"/>
      <c r="D24" s="38"/>
      <c r="E24" s="38"/>
      <c r="F24" s="38"/>
      <c r="G24" s="38"/>
      <c r="H24" s="38"/>
      <c r="J24" s="38"/>
      <c r="K24" s="38"/>
      <c r="L24" s="38"/>
      <c r="M24" s="38"/>
      <c r="N24" s="38"/>
      <c r="O24" s="38"/>
      <c r="P24" s="38"/>
      <c r="Q24" s="38"/>
    </row>
    <row r="25" customFormat="false" ht="16.4" hidden="false" customHeight="false" outlineLevel="0" collapsed="false">
      <c r="A25" s="38"/>
      <c r="B25" s="38"/>
      <c r="C25" s="38"/>
      <c r="D25" s="38"/>
      <c r="E25" s="38"/>
      <c r="F25" s="38"/>
      <c r="G25" s="38"/>
      <c r="H25" s="38"/>
      <c r="J25" s="38"/>
      <c r="K25" s="38"/>
      <c r="L25" s="38"/>
      <c r="M25" s="38"/>
      <c r="N25" s="38"/>
      <c r="O25" s="38"/>
      <c r="P25" s="38"/>
      <c r="Q25" s="38"/>
    </row>
    <row r="26" customFormat="false" ht="16.4" hidden="false" customHeight="false" outlineLevel="0" collapsed="false">
      <c r="A26" s="38"/>
      <c r="B26" s="38"/>
      <c r="C26" s="38"/>
      <c r="D26" s="38"/>
      <c r="E26" s="38"/>
      <c r="F26" s="38"/>
      <c r="G26" s="38"/>
      <c r="H26" s="38"/>
      <c r="J26" s="38"/>
      <c r="K26" s="38"/>
      <c r="L26" s="38"/>
      <c r="M26" s="38"/>
      <c r="N26" s="38"/>
      <c r="O26" s="38"/>
      <c r="P26" s="38"/>
      <c r="Q26" s="38"/>
    </row>
    <row r="27" customFormat="false" ht="16.4" hidden="false" customHeight="false" outlineLevel="0" collapsed="false">
      <c r="A27" s="38"/>
      <c r="B27" s="38"/>
      <c r="C27" s="38"/>
      <c r="D27" s="38"/>
      <c r="E27" s="38"/>
      <c r="F27" s="38"/>
      <c r="G27" s="38"/>
      <c r="H27" s="38"/>
      <c r="J27" s="38"/>
      <c r="K27" s="38"/>
      <c r="L27" s="38"/>
      <c r="M27" s="38"/>
      <c r="N27" s="38"/>
      <c r="O27" s="38"/>
      <c r="P27" s="38"/>
      <c r="Q27" s="38"/>
    </row>
    <row r="28" customFormat="false" ht="16.4" hidden="false" customHeight="false" outlineLevel="0" collapsed="false">
      <c r="A28" s="38"/>
      <c r="B28" s="38"/>
      <c r="C28" s="38"/>
      <c r="D28" s="38"/>
      <c r="E28" s="38"/>
      <c r="F28" s="38"/>
      <c r="G28" s="38"/>
      <c r="H28" s="38"/>
      <c r="J28" s="38"/>
      <c r="K28" s="38"/>
      <c r="L28" s="38"/>
      <c r="M28" s="38"/>
      <c r="N28" s="38"/>
      <c r="O28" s="38"/>
      <c r="P28" s="38"/>
      <c r="Q28" s="38"/>
    </row>
    <row r="29" customFormat="false" ht="13.5" hidden="false" customHeight="false" outlineLevel="0" collapsed="false">
      <c r="A29" s="38"/>
      <c r="B29" s="38"/>
      <c r="C29" s="38"/>
      <c r="D29" s="38"/>
      <c r="E29" s="38"/>
      <c r="F29" s="38"/>
      <c r="G29" s="38"/>
      <c r="H29" s="38"/>
      <c r="J29" s="38"/>
      <c r="K29" s="38"/>
      <c r="L29" s="38"/>
      <c r="M29" s="38"/>
      <c r="N29" s="38"/>
      <c r="O29" s="38"/>
      <c r="P29" s="38"/>
      <c r="Q29" s="38"/>
    </row>
    <row r="30" customFormat="false" ht="16.4" hidden="false" customHeight="false" outlineLevel="0" collapsed="false">
      <c r="A30" s="38"/>
      <c r="B30" s="38"/>
      <c r="C30" s="38"/>
      <c r="D30" s="38"/>
      <c r="E30" s="38"/>
      <c r="F30" s="38"/>
      <c r="G30" s="38"/>
      <c r="H30" s="38"/>
      <c r="J30" s="38"/>
      <c r="K30" s="38"/>
      <c r="L30" s="38"/>
      <c r="M30" s="38"/>
      <c r="N30" s="38"/>
      <c r="O30" s="38"/>
      <c r="P30" s="38"/>
      <c r="Q30" s="38"/>
    </row>
    <row r="31" customFormat="false" ht="16.4" hidden="false" customHeight="false" outlineLevel="0" collapsed="false">
      <c r="A31" s="38"/>
      <c r="B31" s="38"/>
      <c r="C31" s="38"/>
      <c r="D31" s="38"/>
      <c r="E31" s="38"/>
      <c r="F31" s="38"/>
      <c r="G31" s="38"/>
      <c r="H31" s="38"/>
      <c r="J31" s="38"/>
      <c r="K31" s="38"/>
      <c r="L31" s="38"/>
      <c r="M31" s="38"/>
      <c r="N31" s="38"/>
      <c r="O31" s="38"/>
      <c r="P31" s="38"/>
      <c r="Q31" s="38"/>
    </row>
    <row r="32" customFormat="false" ht="16.4" hidden="false" customHeight="false" outlineLevel="0" collapsed="false">
      <c r="A32" s="2" t="s">
        <v>409</v>
      </c>
      <c r="B32" s="2"/>
      <c r="C32" s="2"/>
      <c r="D32" s="2"/>
      <c r="E32" s="2"/>
      <c r="F32" s="2"/>
      <c r="G32" s="2"/>
      <c r="H32" s="40" t="str">
        <f aca="false">IF(COUNTIF(H34:H39, "="&amp;IncompleteText), IncompleteText, IF(COUNTIF(H34:H39, "="&amp;ErrorText), ErrorText, OKText))</f>
        <v>OK</v>
      </c>
      <c r="J32" s="2" t="s">
        <v>410</v>
      </c>
      <c r="K32" s="2"/>
      <c r="L32" s="2"/>
      <c r="M32" s="2"/>
      <c r="N32" s="2"/>
      <c r="O32" s="2"/>
      <c r="P32" s="2"/>
      <c r="Q32" s="40" t="str">
        <f aca="false">IF(COUNTIF(Q34:Q39, "="&amp;IncompleteText), IncompleteText, IF(COUNTIF(Q34:Q39, "="&amp;ErrorText), ErrorText, OKText))</f>
        <v>BLANK</v>
      </c>
    </row>
    <row r="33" customFormat="false" ht="16.4" hidden="false" customHeight="false" outlineLevel="0" collapsed="false">
      <c r="A33" s="62" t="s">
        <v>58</v>
      </c>
      <c r="B33" s="62"/>
      <c r="C33" s="2"/>
      <c r="D33" s="2"/>
      <c r="E33" s="2"/>
      <c r="F33" s="2"/>
      <c r="G33" s="2"/>
      <c r="H33" s="40"/>
      <c r="J33" s="62" t="s">
        <v>58</v>
      </c>
      <c r="K33" s="62"/>
      <c r="L33" s="2"/>
      <c r="M33" s="2"/>
      <c r="N33" s="2"/>
      <c r="O33" s="2"/>
      <c r="P33" s="2"/>
      <c r="Q33" s="40"/>
    </row>
    <row r="34" customFormat="false" ht="16.4" hidden="false" customHeight="false" outlineLevel="0" collapsed="false">
      <c r="A34" s="46"/>
      <c r="B34" s="46"/>
      <c r="C34" s="22" t="s">
        <v>411</v>
      </c>
      <c r="D34" s="22"/>
      <c r="E34" s="22"/>
      <c r="F34" s="22"/>
      <c r="G34" s="44" t="b">
        <f aca="false">TRUE()</f>
        <v>1</v>
      </c>
      <c r="H34" s="5" t="str">
        <f aca="false">IF(ISBLANK(G34),IncompleteText, IF(G34, OKText, ErrorText))</f>
        <v>OK</v>
      </c>
      <c r="J34" s="46" t="s">
        <v>412</v>
      </c>
      <c r="K34" s="46"/>
      <c r="L34" s="22" t="s">
        <v>413</v>
      </c>
      <c r="M34" s="22"/>
      <c r="N34" s="22"/>
      <c r="O34" s="22"/>
      <c r="P34" s="44" t="b">
        <f aca="false">TRUE()</f>
        <v>1</v>
      </c>
      <c r="Q34" s="45" t="str">
        <f aca="false">IF(ISBLANK(P34),IncompleteText, IF(P34, OKText, ErrorText))</f>
        <v>OK</v>
      </c>
    </row>
    <row r="35" customFormat="false" ht="16.4" hidden="false" customHeight="false" outlineLevel="0" collapsed="false">
      <c r="A35" s="46"/>
      <c r="B35" s="46"/>
      <c r="C35" s="22" t="s">
        <v>150</v>
      </c>
      <c r="D35" s="22"/>
      <c r="E35" s="22"/>
      <c r="F35" s="22"/>
      <c r="G35" s="44" t="b">
        <f aca="false">TRUE()</f>
        <v>1</v>
      </c>
      <c r="H35" s="5" t="str">
        <f aca="false">IF(ISBLANK(G35),IncompleteText, IF(G35, OKText, ErrorText))</f>
        <v>OK</v>
      </c>
      <c r="J35" s="46" t="s">
        <v>412</v>
      </c>
      <c r="K35" s="46"/>
      <c r="L35" s="22" t="s">
        <v>414</v>
      </c>
      <c r="M35" s="22"/>
      <c r="N35" s="22"/>
      <c r="O35" s="22"/>
      <c r="P35" s="44" t="b">
        <f aca="false">TRUE()</f>
        <v>1</v>
      </c>
      <c r="Q35" s="45" t="str">
        <f aca="false">IF(ISBLANK(P35),IncompleteText, IF(P35, OKText, ErrorText))</f>
        <v>OK</v>
      </c>
    </row>
    <row r="36" customFormat="false" ht="16.4" hidden="false" customHeight="false" outlineLevel="0" collapsed="false">
      <c r="A36" s="46"/>
      <c r="B36" s="46"/>
      <c r="C36" s="22" t="s">
        <v>415</v>
      </c>
      <c r="D36" s="22"/>
      <c r="E36" s="22"/>
      <c r="F36" s="22"/>
      <c r="G36" s="44" t="b">
        <f aca="false">TRUE()</f>
        <v>1</v>
      </c>
      <c r="H36" s="5" t="str">
        <f aca="false">IF(ISBLANK(G36),IncompleteText, IF(G36, OKText, ErrorText))</f>
        <v>OK</v>
      </c>
      <c r="J36" s="46" t="s">
        <v>416</v>
      </c>
      <c r="K36" s="46"/>
      <c r="L36" s="22" t="s">
        <v>417</v>
      </c>
      <c r="M36" s="22"/>
      <c r="N36" s="22"/>
      <c r="O36" s="22"/>
      <c r="P36" s="44" t="b">
        <f aca="false">TRUE()</f>
        <v>1</v>
      </c>
      <c r="Q36" s="45" t="str">
        <f aca="false">IF(ISBLANK(P36),IncompleteText, IF(P36, OKText, ErrorText))</f>
        <v>OK</v>
      </c>
    </row>
    <row r="37" customFormat="false" ht="16.4" hidden="false" customHeight="false" outlineLevel="0" collapsed="false">
      <c r="A37" s="46" t="s">
        <v>418</v>
      </c>
      <c r="B37" s="46"/>
      <c r="C37" s="22" t="s">
        <v>98</v>
      </c>
      <c r="D37" s="22"/>
      <c r="E37" s="22"/>
      <c r="F37" s="22"/>
      <c r="G37" s="44" t="b">
        <f aca="false">TRUE()</f>
        <v>1</v>
      </c>
      <c r="H37" s="5" t="str">
        <f aca="false">IF(ISBLANK(G37),IncompleteText, IF(G37, OKText, ErrorText))</f>
        <v>OK</v>
      </c>
      <c r="J37" s="46" t="s">
        <v>418</v>
      </c>
      <c r="K37" s="46"/>
      <c r="L37" s="22" t="s">
        <v>214</v>
      </c>
      <c r="M37" s="22"/>
      <c r="N37" s="22"/>
      <c r="O37" s="22"/>
      <c r="P37" s="44" t="b">
        <f aca="false">TRUE()</f>
        <v>1</v>
      </c>
      <c r="Q37" s="45" t="str">
        <f aca="false">IF(ISBLANK(P37),IncompleteText, IF(P37, OKText, ErrorText))</f>
        <v>OK</v>
      </c>
    </row>
    <row r="38" customFormat="false" ht="16.4" hidden="false" customHeight="false" outlineLevel="0" collapsed="false">
      <c r="A38" s="46" t="s">
        <v>419</v>
      </c>
      <c r="B38" s="46"/>
      <c r="C38" s="22" t="s">
        <v>214</v>
      </c>
      <c r="D38" s="22"/>
      <c r="E38" s="22"/>
      <c r="F38" s="22"/>
      <c r="G38" s="44" t="b">
        <f aca="false">TRUE()</f>
        <v>1</v>
      </c>
      <c r="H38" s="45" t="str">
        <f aca="false">IF(ISBLANK(G38),IncompleteText, IF(G38, OKText, ErrorText))</f>
        <v>OK</v>
      </c>
      <c r="J38" s="20"/>
      <c r="K38" s="20"/>
      <c r="L38" s="22" t="s">
        <v>420</v>
      </c>
      <c r="M38" s="22"/>
      <c r="N38" s="22"/>
      <c r="O38" s="22"/>
      <c r="P38" s="44" t="b">
        <f aca="false">TRUE()</f>
        <v>1</v>
      </c>
      <c r="Q38" s="45" t="str">
        <f aca="false">IF(ISBLANK(P38),IncompleteText, IF(P38, OKText, ErrorText))</f>
        <v>OK</v>
      </c>
    </row>
    <row r="39" customFormat="false" ht="16.4" hidden="false" customHeight="false" outlineLevel="0" collapsed="false">
      <c r="A39" s="46" t="s">
        <v>421</v>
      </c>
      <c r="B39" s="46"/>
      <c r="C39" s="22" t="s">
        <v>218</v>
      </c>
      <c r="D39" s="22"/>
      <c r="E39" s="22"/>
      <c r="F39" s="22"/>
      <c r="G39" s="44" t="b">
        <f aca="false">TRUE()</f>
        <v>1</v>
      </c>
      <c r="H39" s="45" t="str">
        <f aca="false">IF(ISBLANK(G39),IncompleteText, IF(G39, OKText, ErrorText))</f>
        <v>OK</v>
      </c>
      <c r="J39" s="20"/>
      <c r="K39" s="20"/>
      <c r="L39" s="22" t="s">
        <v>422</v>
      </c>
      <c r="M39" s="22"/>
      <c r="N39" s="22"/>
      <c r="O39" s="22"/>
      <c r="P39" s="29"/>
      <c r="Q39" s="45" t="str">
        <f aca="false">IF(ISBLANK(P39),IncompleteText, IF(P39, OKText, ErrorText))</f>
        <v>BLANK</v>
      </c>
    </row>
    <row r="40" customFormat="false" ht="16.4" hidden="false" customHeight="false" outlineLevel="0" collapsed="false">
      <c r="A40" s="2" t="s">
        <v>20</v>
      </c>
      <c r="B40" s="2"/>
      <c r="C40" s="2"/>
      <c r="D40" s="2"/>
      <c r="E40" s="2"/>
      <c r="F40" s="2"/>
      <c r="G40" s="2"/>
      <c r="J40" s="2" t="s">
        <v>20</v>
      </c>
      <c r="K40" s="2"/>
      <c r="L40" s="2"/>
      <c r="M40" s="2"/>
      <c r="N40" s="2"/>
      <c r="O40" s="2"/>
      <c r="P40" s="2"/>
    </row>
    <row r="41" customFormat="false" ht="16.4" hidden="false" customHeight="false" outlineLevel="0" collapsed="false">
      <c r="A41" s="11"/>
      <c r="B41" s="11"/>
      <c r="C41" s="11"/>
      <c r="D41" s="11"/>
      <c r="E41" s="11"/>
      <c r="F41" s="11"/>
      <c r="G41" s="11"/>
      <c r="J41" s="11"/>
      <c r="K41" s="11"/>
      <c r="L41" s="11"/>
      <c r="M41" s="11"/>
      <c r="N41" s="11"/>
      <c r="O41" s="11"/>
      <c r="P41" s="11"/>
    </row>
    <row r="42" customFormat="false" ht="16.4" hidden="false" customHeight="false" outlineLevel="0" collapsed="false">
      <c r="A42" s="11"/>
      <c r="B42" s="11"/>
      <c r="C42" s="11"/>
      <c r="D42" s="11"/>
      <c r="E42" s="11"/>
      <c r="F42" s="11"/>
      <c r="G42" s="11"/>
      <c r="J42" s="11"/>
      <c r="K42" s="11"/>
      <c r="L42" s="11"/>
      <c r="M42" s="11"/>
      <c r="N42" s="11"/>
      <c r="O42" s="11"/>
      <c r="P42" s="11"/>
    </row>
    <row r="43" customFormat="false" ht="16.4" hidden="false" customHeight="false" outlineLevel="0" collapsed="false">
      <c r="A43" s="11"/>
      <c r="B43" s="11"/>
      <c r="C43" s="11"/>
      <c r="D43" s="11"/>
      <c r="E43" s="11"/>
      <c r="F43" s="11"/>
      <c r="G43" s="11"/>
      <c r="J43" s="11"/>
      <c r="K43" s="11"/>
      <c r="L43" s="11"/>
      <c r="M43" s="11"/>
      <c r="N43" s="11"/>
      <c r="O43" s="11"/>
      <c r="P43" s="11"/>
    </row>
    <row r="44" customFormat="false" ht="16.4" hidden="false" customHeight="false" outlineLevel="0" collapsed="false">
      <c r="A44" s="11"/>
      <c r="B44" s="11"/>
      <c r="C44" s="11"/>
      <c r="D44" s="11"/>
      <c r="E44" s="11"/>
      <c r="F44" s="11"/>
      <c r="G44" s="11"/>
      <c r="J44" s="11"/>
      <c r="K44" s="11"/>
      <c r="L44" s="11"/>
      <c r="M44" s="11"/>
      <c r="N44" s="11"/>
      <c r="O44" s="11"/>
      <c r="P44" s="11"/>
    </row>
  </sheetData>
  <mergeCells count="52">
    <mergeCell ref="A2:E2"/>
    <mergeCell ref="H2:N2"/>
    <mergeCell ref="A3:C3"/>
    <mergeCell ref="D3:E3"/>
    <mergeCell ref="H3:N10"/>
    <mergeCell ref="A4:C4"/>
    <mergeCell ref="D4:E4"/>
    <mergeCell ref="A5:C5"/>
    <mergeCell ref="D5:E5"/>
    <mergeCell ref="A6:C6"/>
    <mergeCell ref="A7:C7"/>
    <mergeCell ref="A8:C8"/>
    <mergeCell ref="A9:C9"/>
    <mergeCell ref="A10:C10"/>
    <mergeCell ref="A11:C11"/>
    <mergeCell ref="D11:E11"/>
    <mergeCell ref="A13:H31"/>
    <mergeCell ref="J13:Q31"/>
    <mergeCell ref="A32:G32"/>
    <mergeCell ref="H32:H33"/>
    <mergeCell ref="J32:P32"/>
    <mergeCell ref="Q32:Q33"/>
    <mergeCell ref="A33:B33"/>
    <mergeCell ref="J33:K33"/>
    <mergeCell ref="A34:B34"/>
    <mergeCell ref="C34:F34"/>
    <mergeCell ref="J34:K34"/>
    <mergeCell ref="L34:O34"/>
    <mergeCell ref="A35:B35"/>
    <mergeCell ref="C35:F35"/>
    <mergeCell ref="J35:K35"/>
    <mergeCell ref="L35:O35"/>
    <mergeCell ref="A36:B36"/>
    <mergeCell ref="C36:F36"/>
    <mergeCell ref="J36:K36"/>
    <mergeCell ref="L36:O36"/>
    <mergeCell ref="A37:B37"/>
    <mergeCell ref="C37:F37"/>
    <mergeCell ref="J37:K37"/>
    <mergeCell ref="L37:O37"/>
    <mergeCell ref="A38:B38"/>
    <mergeCell ref="C38:F38"/>
    <mergeCell ref="J38:K38"/>
    <mergeCell ref="L38:O38"/>
    <mergeCell ref="A39:B39"/>
    <mergeCell ref="C39:F39"/>
    <mergeCell ref="J39:K39"/>
    <mergeCell ref="L39:O39"/>
    <mergeCell ref="A40:G40"/>
    <mergeCell ref="J40:P40"/>
    <mergeCell ref="A41:G44"/>
    <mergeCell ref="J41:P44"/>
  </mergeCells>
  <conditionalFormatting sqref="H38:H39">
    <cfRule type="expression" priority="2" aboveAverage="0" equalAverage="0" bottom="0" percent="0" rank="0" text="" dxfId="19">
      <formula>$D$65 = "Team Designed"</formula>
    </cfRule>
  </conditionalFormatting>
  <conditionalFormatting sqref="Q34:Q39">
    <cfRule type="expression" priority="3" aboveAverage="0" equalAverage="0" bottom="0" percent="0" rank="0" text="" dxfId="20">
      <formula>$D$65 = "Team Designed"</formula>
    </cfRule>
  </conditionalFormatting>
  <dataValidations count="1">
    <dataValidation allowBlank="true" errorStyle="stop" operator="between" showDropDown="false" showErrorMessage="true" showInputMessage="true" sqref="G34:G39 P34:P39" type="list">
      <formula1>"TRUE,FALSE"</formula1>
      <formula2>0</formula2>
    </dataValidation>
  </dataValidations>
  <hyperlinks>
    <hyperlink ref="D5" r:id="rId2" display="https://www.hec-drives.nl/BRUSA_DB_EN_NLG514.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103"/>
  <sheetViews>
    <sheetView showFormulas="false" showGridLines="true" showRowColHeaders="true" showZeros="true" rightToLeft="false" tabSelected="true" showOutlineSymbols="true" defaultGridColor="true" view="normal" topLeftCell="L1" colorId="64" zoomScale="75" zoomScaleNormal="75" zoomScalePageLayoutView="100" workbookViewId="0">
      <pane xSplit="0" ySplit="1" topLeftCell="A31" activePane="bottomLeft" state="frozen"/>
      <selection pane="topLeft" activeCell="L1" activeCellId="0" sqref="L1"/>
      <selection pane="bottomLeft" activeCell="AB64" activeCellId="0" sqref="AB64"/>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 t="array" ref="B1: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customFormat="false" ht="13.8" hidden="false" customHeight="false" outlineLevel="0" collapsed="false">
      <c r="A2" s="2" t="s">
        <v>98</v>
      </c>
      <c r="B2" s="2"/>
      <c r="C2" s="2"/>
      <c r="D2" s="2"/>
      <c r="E2" s="2"/>
      <c r="F2" s="48" t="str">
        <f aca="false">IF(COUNTIF(F4:F5, "="&amp;IncompleteText), IncompleteText, IF(COUNTIF(F4:F5, "="&amp;ErrorText), ErrorText, OKText))</f>
        <v>OK</v>
      </c>
      <c r="H2" s="2" t="s">
        <v>423</v>
      </c>
      <c r="I2" s="2"/>
      <c r="J2" s="2"/>
      <c r="K2" s="2"/>
      <c r="L2" s="2"/>
      <c r="M2" s="48" t="str">
        <f aca="false">IF(COUNTIF(M4:M8, "="&amp;IncompleteText), IncompleteText, IF(COUNTIF(M4:M8, "="&amp;ErrorText), ErrorText, OKText))</f>
        <v>OK</v>
      </c>
    </row>
    <row r="3" customFormat="false" ht="13.8" hidden="false" customHeight="false" outlineLevel="0" collapsed="false">
      <c r="A3" s="70" t="s">
        <v>424</v>
      </c>
      <c r="B3" s="70"/>
      <c r="C3" s="70"/>
      <c r="D3" s="71" t="s">
        <v>226</v>
      </c>
      <c r="E3" s="71"/>
      <c r="F3" s="48"/>
      <c r="H3" s="72" t="s">
        <v>424</v>
      </c>
      <c r="I3" s="72"/>
      <c r="J3" s="72"/>
      <c r="K3" s="71" t="s">
        <v>425</v>
      </c>
      <c r="L3" s="71"/>
      <c r="M3" s="48"/>
    </row>
    <row r="4" customFormat="false" ht="13.8" hidden="false" customHeight="false" outlineLevel="0" collapsed="false">
      <c r="A4" s="20" t="s">
        <v>269</v>
      </c>
      <c r="B4" s="20"/>
      <c r="C4" s="20"/>
      <c r="D4" s="73" t="s">
        <v>426</v>
      </c>
      <c r="E4" s="73"/>
      <c r="F4" s="5" t="str">
        <f aca="false">IF(ISBLANK(D4), IncompleteText, OKText)</f>
        <v>OK</v>
      </c>
      <c r="H4" s="20" t="s">
        <v>427</v>
      </c>
      <c r="I4" s="20"/>
      <c r="J4" s="20"/>
      <c r="K4" s="29" t="s">
        <v>428</v>
      </c>
      <c r="L4" s="29"/>
      <c r="M4" s="5" t="str">
        <f aca="false">IF(ISBLANK(K4), IncompleteText, OKText)</f>
        <v>OK</v>
      </c>
    </row>
    <row r="5" customFormat="false" ht="16.4" hidden="false" customHeight="false" outlineLevel="0" collapsed="false">
      <c r="A5" s="20" t="s">
        <v>429</v>
      </c>
      <c r="B5" s="20"/>
      <c r="C5" s="20"/>
      <c r="D5" s="29" t="n">
        <v>270</v>
      </c>
      <c r="E5" s="1" t="s">
        <v>430</v>
      </c>
      <c r="F5" s="5" t="str">
        <f aca="false">IF(ISBLANK(D5), IncompleteText, IF(D5&lt;(MaxTSVoltage*0.5), ErrorText, OKText))</f>
        <v>OK</v>
      </c>
      <c r="H5" s="20" t="s">
        <v>431</v>
      </c>
      <c r="I5" s="20"/>
      <c r="J5" s="20"/>
      <c r="K5" s="29" t="s">
        <v>432</v>
      </c>
      <c r="L5" s="29"/>
      <c r="M5" s="5" t="str">
        <f aca="false">IF(ISBLANK(K5), IncompleteText, OKText)</f>
        <v>OK</v>
      </c>
    </row>
    <row r="6" customFormat="false" ht="13.5" hidden="false" customHeight="false" outlineLevel="0" collapsed="false">
      <c r="H6" s="20" t="s">
        <v>433</v>
      </c>
      <c r="I6" s="20"/>
      <c r="J6" s="20"/>
      <c r="K6" s="29" t="n">
        <v>2.3</v>
      </c>
      <c r="L6" s="1" t="s">
        <v>19</v>
      </c>
      <c r="M6" s="5" t="str">
        <f aca="false">IF(ISBLANK(K6),IncompleteText,IF(K6&gt;(5000/NominalTSVoltage),ErrorText,OKText))</f>
        <v>OK</v>
      </c>
    </row>
    <row r="7" customFormat="false" ht="13.5" hidden="false" customHeight="false" outlineLevel="0" collapsed="false">
      <c r="H7" s="20" t="s">
        <v>434</v>
      </c>
      <c r="I7" s="20"/>
      <c r="J7" s="20"/>
      <c r="K7" s="29" t="n">
        <v>2.592</v>
      </c>
      <c r="L7" s="1" t="s">
        <v>17</v>
      </c>
      <c r="M7" s="5" t="str">
        <f aca="false">IF(ISBLANK(K7), IncompleteText, OKText)</f>
        <v>OK</v>
      </c>
    </row>
    <row r="8" customFormat="false" ht="13.5" hidden="false" customHeight="false" outlineLevel="0" collapsed="false">
      <c r="H8" s="20" t="s">
        <v>435</v>
      </c>
      <c r="I8" s="20"/>
      <c r="J8" s="20"/>
      <c r="K8" s="29" t="n">
        <v>0.023</v>
      </c>
      <c r="L8" s="1" t="s">
        <v>19</v>
      </c>
      <c r="M8" s="5" t="str">
        <f aca="false">IF(ISBLANK(K8), IncompleteText, OKText)</f>
        <v>OK</v>
      </c>
    </row>
    <row r="10" customFormat="false" ht="13.5" hidden="false" customHeight="false" outlineLevel="0" collapsed="false">
      <c r="A10" s="38" t="s">
        <v>436</v>
      </c>
      <c r="B10" s="38"/>
      <c r="C10" s="38"/>
      <c r="D10" s="38"/>
      <c r="E10" s="38"/>
      <c r="F10" s="38"/>
      <c r="G10" s="38"/>
      <c r="H10" s="38"/>
      <c r="I10" s="38"/>
      <c r="J10" s="38"/>
      <c r="K10" s="38"/>
      <c r="M10" s="38" t="s">
        <v>437</v>
      </c>
      <c r="N10" s="38"/>
      <c r="O10" s="38"/>
      <c r="P10" s="38"/>
      <c r="Q10" s="38"/>
      <c r="R10" s="38"/>
      <c r="S10" s="38"/>
      <c r="T10" s="38"/>
      <c r="U10" s="38"/>
      <c r="V10" s="38"/>
      <c r="W10" s="38"/>
    </row>
    <row r="11" customFormat="false" ht="16.4"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row>
    <row r="12" customFormat="false" ht="16.4"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row>
    <row r="15" customFormat="false" ht="16.4"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row>
    <row r="20" customFormat="false" ht="16.4"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row>
    <row r="21" customFormat="false" ht="13.5"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row>
    <row r="28" customFormat="false" ht="16.4" hidden="false" customHeight="false" outlineLevel="0" collapsed="false">
      <c r="A28" s="38"/>
      <c r="B28" s="38"/>
      <c r="C28" s="38"/>
      <c r="D28" s="38"/>
      <c r="E28" s="38"/>
      <c r="F28" s="38"/>
      <c r="G28" s="38"/>
      <c r="H28" s="38"/>
      <c r="I28" s="38"/>
      <c r="J28" s="38"/>
      <c r="K28" s="38"/>
      <c r="M28" s="38"/>
      <c r="N28" s="38"/>
      <c r="O28" s="38"/>
      <c r="P28" s="38"/>
      <c r="Q28" s="38"/>
      <c r="R28" s="38"/>
      <c r="S28" s="38"/>
      <c r="T28" s="38"/>
      <c r="U28" s="38"/>
      <c r="V28" s="38"/>
      <c r="W28" s="38"/>
    </row>
    <row r="29" customFormat="false" ht="13.5" hidden="false" customHeight="false" outlineLevel="0" collapsed="false">
      <c r="A29" s="38"/>
      <c r="B29" s="38"/>
      <c r="C29" s="38"/>
      <c r="D29" s="38"/>
      <c r="E29" s="38"/>
      <c r="F29" s="38"/>
      <c r="G29" s="38"/>
      <c r="H29" s="38"/>
      <c r="I29" s="38"/>
      <c r="J29" s="38"/>
      <c r="K29" s="38"/>
      <c r="M29" s="38"/>
      <c r="N29" s="38"/>
      <c r="O29" s="38"/>
      <c r="P29" s="38"/>
      <c r="Q29" s="38"/>
      <c r="R29" s="38"/>
      <c r="S29" s="38"/>
      <c r="T29" s="38"/>
      <c r="U29" s="38"/>
      <c r="V29" s="38"/>
      <c r="W29" s="38"/>
    </row>
    <row r="30" customFormat="false" ht="16.4" hidden="false" customHeight="false" outlineLevel="0" collapsed="false">
      <c r="A30" s="38"/>
      <c r="B30" s="38"/>
      <c r="C30" s="38"/>
      <c r="D30" s="38"/>
      <c r="E30" s="38"/>
      <c r="F30" s="38"/>
      <c r="G30" s="38"/>
      <c r="H30" s="38"/>
      <c r="I30" s="38"/>
      <c r="J30" s="38"/>
      <c r="K30" s="38"/>
      <c r="M30" s="38"/>
      <c r="N30" s="38"/>
      <c r="O30" s="38"/>
      <c r="P30" s="38"/>
      <c r="Q30" s="38"/>
      <c r="R30" s="38"/>
      <c r="S30" s="38"/>
      <c r="T30" s="38"/>
      <c r="U30" s="38"/>
      <c r="V30" s="38"/>
      <c r="W30" s="38"/>
    </row>
    <row r="31" customFormat="false" ht="16.4" hidden="false" customHeight="false" outlineLevel="0" collapsed="false">
      <c r="A31" s="38"/>
      <c r="B31" s="38"/>
      <c r="C31" s="38"/>
      <c r="D31" s="38"/>
      <c r="E31" s="38"/>
      <c r="F31" s="38"/>
      <c r="G31" s="38"/>
      <c r="H31" s="38"/>
      <c r="I31" s="38"/>
      <c r="J31" s="38"/>
      <c r="K31" s="38"/>
      <c r="M31" s="38"/>
      <c r="N31" s="38"/>
      <c r="O31" s="38"/>
      <c r="P31" s="38"/>
      <c r="Q31" s="38"/>
      <c r="R31" s="38"/>
      <c r="S31" s="38"/>
      <c r="T31" s="38"/>
      <c r="U31" s="38"/>
      <c r="V31" s="38"/>
      <c r="W31" s="38"/>
    </row>
    <row r="32" customFormat="false" ht="16.4" hidden="false" customHeight="false" outlineLevel="0" collapsed="false">
      <c r="A32" s="38"/>
      <c r="B32" s="38"/>
      <c r="C32" s="38"/>
      <c r="D32" s="38"/>
      <c r="E32" s="38"/>
      <c r="F32" s="38"/>
      <c r="G32" s="38"/>
      <c r="H32" s="38"/>
      <c r="I32" s="38"/>
      <c r="J32" s="38"/>
      <c r="K32" s="38"/>
      <c r="M32" s="38"/>
      <c r="N32" s="38"/>
      <c r="O32" s="38"/>
      <c r="P32" s="38"/>
      <c r="Q32" s="38"/>
      <c r="R32" s="38"/>
      <c r="S32" s="38"/>
      <c r="T32" s="38"/>
      <c r="U32" s="38"/>
      <c r="V32" s="38"/>
      <c r="W32" s="38"/>
    </row>
    <row r="33" customFormat="false" ht="16.4" hidden="false" customHeight="false" outlineLevel="0" collapsed="false">
      <c r="A33" s="38"/>
      <c r="B33" s="38"/>
      <c r="C33" s="38"/>
      <c r="D33" s="38"/>
      <c r="E33" s="38"/>
      <c r="F33" s="38"/>
      <c r="G33" s="38"/>
      <c r="H33" s="38"/>
      <c r="I33" s="38"/>
      <c r="J33" s="38"/>
      <c r="K33" s="38"/>
      <c r="M33" s="38"/>
      <c r="N33" s="38"/>
      <c r="O33" s="38"/>
      <c r="P33" s="38"/>
      <c r="Q33" s="38"/>
      <c r="R33" s="38"/>
      <c r="S33" s="38"/>
      <c r="T33" s="38"/>
      <c r="U33" s="38"/>
      <c r="V33" s="38"/>
      <c r="W33" s="38"/>
    </row>
    <row r="34" customFormat="false" ht="16.4" hidden="false" customHeight="false" outlineLevel="0" collapsed="false">
      <c r="A34" s="38"/>
      <c r="B34" s="38"/>
      <c r="C34" s="38"/>
      <c r="D34" s="38"/>
      <c r="E34" s="38"/>
      <c r="F34" s="38"/>
      <c r="G34" s="38"/>
      <c r="H34" s="38"/>
      <c r="I34" s="38"/>
      <c r="J34" s="38"/>
      <c r="K34" s="38"/>
      <c r="M34" s="38"/>
      <c r="N34" s="38"/>
      <c r="O34" s="38"/>
      <c r="P34" s="38"/>
      <c r="Q34" s="38"/>
      <c r="R34" s="38"/>
      <c r="S34" s="38"/>
      <c r="T34" s="38"/>
      <c r="U34" s="38"/>
      <c r="V34" s="38"/>
      <c r="W34" s="38"/>
    </row>
    <row r="35" customFormat="false" ht="16.4" hidden="false" customHeight="false" outlineLevel="0" collapsed="false">
      <c r="A35" s="38"/>
      <c r="B35" s="38"/>
      <c r="C35" s="38"/>
      <c r="D35" s="38"/>
      <c r="E35" s="38"/>
      <c r="F35" s="38"/>
      <c r="G35" s="38"/>
      <c r="H35" s="38"/>
      <c r="I35" s="38"/>
      <c r="J35" s="38"/>
      <c r="K35" s="38"/>
      <c r="M35" s="38"/>
      <c r="N35" s="38"/>
      <c r="O35" s="38"/>
      <c r="P35" s="38"/>
      <c r="Q35" s="38"/>
      <c r="R35" s="38"/>
      <c r="S35" s="38"/>
      <c r="T35" s="38"/>
      <c r="U35" s="38"/>
      <c r="V35" s="38"/>
      <c r="W35" s="38"/>
    </row>
    <row r="36" customFormat="false" ht="16.4" hidden="false" customHeight="false" outlineLevel="0" collapsed="false">
      <c r="A36" s="2" t="s">
        <v>438</v>
      </c>
      <c r="B36" s="2"/>
      <c r="C36" s="2"/>
      <c r="D36" s="2"/>
      <c r="E36" s="2"/>
      <c r="F36" s="2"/>
      <c r="G36" s="2"/>
      <c r="H36" s="2"/>
      <c r="I36" s="2"/>
      <c r="J36" s="2"/>
      <c r="K36" s="40" t="str">
        <f aca="false">IF(COUNTIF(K38:K61, "="&amp;IncompleteText), IncompleteText, IF(COUNTIF(K38:K61, "="&amp;ErrorText), ErrorText, OKText))</f>
        <v>WARNING</v>
      </c>
      <c r="M36" s="2" t="s">
        <v>439</v>
      </c>
      <c r="N36" s="2"/>
      <c r="O36" s="2"/>
      <c r="P36" s="2"/>
      <c r="Q36" s="2"/>
      <c r="R36" s="2"/>
      <c r="S36" s="2"/>
      <c r="T36" s="2"/>
      <c r="U36" s="2"/>
      <c r="V36" s="2"/>
      <c r="W36" s="40" t="str">
        <f aca="false">IF(COUNTIF(W38:W40, "="&amp;IncompleteText), IncompleteText, IF(COUNTIF(W38:W40, "="&amp;ErrorText), ErrorText, OKText))</f>
        <v>OK</v>
      </c>
    </row>
    <row r="37" customFormat="false" ht="16.4" hidden="false" customHeight="false" outlineLevel="0" collapsed="false">
      <c r="A37" s="62" t="s">
        <v>58</v>
      </c>
      <c r="B37" s="62"/>
      <c r="C37" s="2"/>
      <c r="D37" s="2"/>
      <c r="E37" s="2"/>
      <c r="F37" s="2"/>
      <c r="G37" s="2"/>
      <c r="H37" s="2"/>
      <c r="I37" s="2"/>
      <c r="J37" s="2"/>
      <c r="K37" s="40"/>
      <c r="M37" s="2"/>
      <c r="N37" s="2"/>
      <c r="O37" s="2"/>
      <c r="P37" s="2"/>
      <c r="Q37" s="2"/>
      <c r="R37" s="2"/>
      <c r="S37" s="2"/>
      <c r="T37" s="2"/>
      <c r="U37" s="2"/>
      <c r="V37" s="2"/>
      <c r="W37" s="40"/>
    </row>
    <row r="38" customFormat="false" ht="16.4" hidden="false" customHeight="false" outlineLevel="0" collapsed="false">
      <c r="A38" s="46" t="s">
        <v>440</v>
      </c>
      <c r="B38" s="46"/>
      <c r="C38" s="22" t="s">
        <v>441</v>
      </c>
      <c r="D38" s="22"/>
      <c r="E38" s="22"/>
      <c r="F38" s="22"/>
      <c r="G38" s="22"/>
      <c r="H38" s="22"/>
      <c r="I38" s="22"/>
      <c r="J38" s="44" t="b">
        <f aca="false">TRUE()</f>
        <v>1</v>
      </c>
      <c r="K38" s="5" t="str">
        <f aca="false">IF(ISBLANK(J38),IncompleteText, IF(J38, OKText, ErrorText))</f>
        <v>OK</v>
      </c>
      <c r="M38" s="22" t="s">
        <v>442</v>
      </c>
      <c r="N38" s="22"/>
      <c r="O38" s="22"/>
      <c r="P38" s="22"/>
      <c r="Q38" s="22"/>
      <c r="R38" s="22"/>
      <c r="S38" s="22"/>
      <c r="T38" s="22"/>
      <c r="U38" s="22"/>
      <c r="V38" s="44" t="b">
        <f aca="false">TRUE()</f>
        <v>1</v>
      </c>
      <c r="W38" s="5" t="str">
        <f aca="false">IF(ISBLANK(V38),IncompleteText, IF(V38, OKText, ErrorText))</f>
        <v>OK</v>
      </c>
    </row>
    <row r="39" customFormat="false" ht="16.4" hidden="false" customHeight="false" outlineLevel="0" collapsed="false">
      <c r="A39" s="46" t="s">
        <v>440</v>
      </c>
      <c r="B39" s="46"/>
      <c r="C39" s="22" t="s">
        <v>443</v>
      </c>
      <c r="D39" s="22"/>
      <c r="E39" s="22"/>
      <c r="F39" s="22"/>
      <c r="G39" s="22"/>
      <c r="H39" s="22"/>
      <c r="I39" s="22"/>
      <c r="J39" s="44" t="b">
        <f aca="false">TRUE()</f>
        <v>1</v>
      </c>
      <c r="K39" s="5" t="str">
        <f aca="false">IF(ISBLANK(J39),IncompleteText, IF(J39, OKText, ErrorText))</f>
        <v>OK</v>
      </c>
      <c r="M39" s="22" t="s">
        <v>444</v>
      </c>
      <c r="N39" s="22"/>
      <c r="O39" s="22"/>
      <c r="P39" s="22"/>
      <c r="Q39" s="22"/>
      <c r="R39" s="22"/>
      <c r="S39" s="22"/>
      <c r="T39" s="22"/>
      <c r="U39" s="22"/>
      <c r="V39" s="44" t="b">
        <f aca="false">TRUE()</f>
        <v>1</v>
      </c>
      <c r="W39" s="5" t="str">
        <f aca="false">IF(ISBLANK(V39),IncompleteText, IF(V39, OKText, ErrorText))</f>
        <v>OK</v>
      </c>
    </row>
    <row r="40" customFormat="false" ht="16.4" hidden="false" customHeight="false" outlineLevel="0" collapsed="false">
      <c r="A40" s="46" t="s">
        <v>445</v>
      </c>
      <c r="B40" s="46"/>
      <c r="C40" s="22" t="s">
        <v>446</v>
      </c>
      <c r="D40" s="22"/>
      <c r="E40" s="22"/>
      <c r="F40" s="22"/>
      <c r="G40" s="22"/>
      <c r="H40" s="22"/>
      <c r="I40" s="22"/>
      <c r="J40" s="44" t="b">
        <f aca="false">TRUE()</f>
        <v>1</v>
      </c>
      <c r="K40" s="5" t="str">
        <f aca="false">IF(ISBLANK(J40),IncompleteText, IF(J40, OKText, ErrorText))</f>
        <v>OK</v>
      </c>
      <c r="M40" s="22" t="s">
        <v>447</v>
      </c>
      <c r="N40" s="22"/>
      <c r="O40" s="22"/>
      <c r="P40" s="22"/>
      <c r="Q40" s="22"/>
      <c r="R40" s="22"/>
      <c r="S40" s="22"/>
      <c r="T40" s="22"/>
      <c r="U40" s="22"/>
      <c r="V40" s="44" t="b">
        <f aca="false">TRUE()</f>
        <v>1</v>
      </c>
      <c r="W40" s="5" t="str">
        <f aca="false">IF(ISBLANK(V40),IncompleteText, IF(V40, OKText, ErrorText))</f>
        <v>OK</v>
      </c>
    </row>
    <row r="41" customFormat="false" ht="16.4" hidden="false" customHeight="false" outlineLevel="0" collapsed="false">
      <c r="A41" s="46" t="s">
        <v>445</v>
      </c>
      <c r="B41" s="46"/>
      <c r="C41" s="22" t="s">
        <v>448</v>
      </c>
      <c r="D41" s="22"/>
      <c r="E41" s="22"/>
      <c r="F41" s="22"/>
      <c r="G41" s="22"/>
      <c r="H41" s="22"/>
      <c r="I41" s="22"/>
      <c r="J41" s="44" t="b">
        <f aca="false">TRUE()</f>
        <v>1</v>
      </c>
      <c r="K41" s="5" t="str">
        <f aca="false">IF(ISBLANK(J41),IncompleteText, IF(J41, OKText, ErrorText))</f>
        <v>OK</v>
      </c>
      <c r="M41" s="2" t="s">
        <v>20</v>
      </c>
      <c r="N41" s="2"/>
      <c r="O41" s="2"/>
      <c r="P41" s="2"/>
      <c r="Q41" s="2"/>
      <c r="R41" s="2"/>
      <c r="S41" s="2"/>
      <c r="T41" s="2"/>
      <c r="U41" s="2"/>
      <c r="V41" s="58" t="s">
        <v>58</v>
      </c>
      <c r="W41" s="58"/>
    </row>
    <row r="42" customFormat="false" ht="16.4" hidden="false" customHeight="true" outlineLevel="0" collapsed="false">
      <c r="A42" s="46" t="s">
        <v>449</v>
      </c>
      <c r="B42" s="46"/>
      <c r="C42" s="22" t="s">
        <v>450</v>
      </c>
      <c r="D42" s="22"/>
      <c r="E42" s="22"/>
      <c r="F42" s="22"/>
      <c r="G42" s="22"/>
      <c r="H42" s="22"/>
      <c r="I42" s="22"/>
      <c r="J42" s="44" t="b">
        <f aca="false">TRUE()</f>
        <v>1</v>
      </c>
      <c r="K42" s="5" t="str">
        <f aca="false">IF(ISBLANK(J42),IncompleteText, IF(J42, OKText, ErrorText))</f>
        <v>OK</v>
      </c>
      <c r="M42" s="74"/>
      <c r="N42" s="74"/>
      <c r="O42" s="74"/>
      <c r="P42" s="74"/>
      <c r="Q42" s="74"/>
      <c r="R42" s="74"/>
      <c r="S42" s="74"/>
      <c r="T42" s="74"/>
      <c r="U42" s="74"/>
      <c r="V42" s="31" t="s">
        <v>425</v>
      </c>
      <c r="W42" s="31"/>
    </row>
    <row r="43" customFormat="false" ht="16.4" hidden="false" customHeight="false" outlineLevel="0" collapsed="false">
      <c r="A43" s="46" t="s">
        <v>451</v>
      </c>
      <c r="B43" s="46"/>
      <c r="C43" s="22" t="s">
        <v>452</v>
      </c>
      <c r="D43" s="22"/>
      <c r="E43" s="22"/>
      <c r="F43" s="22"/>
      <c r="G43" s="22"/>
      <c r="H43" s="22"/>
      <c r="I43" s="22"/>
      <c r="J43" s="44" t="b">
        <f aca="false">TRUE()</f>
        <v>1</v>
      </c>
      <c r="K43" s="5" t="str">
        <f aca="false">IF(ISBLANK(J43),IncompleteText, IF(J43, OKText, ErrorText))</f>
        <v>OK</v>
      </c>
      <c r="M43" s="74"/>
      <c r="N43" s="74"/>
      <c r="O43" s="74"/>
      <c r="P43" s="74"/>
      <c r="Q43" s="74"/>
      <c r="R43" s="74"/>
      <c r="S43" s="74"/>
      <c r="T43" s="74"/>
      <c r="U43" s="74"/>
      <c r="V43" s="31"/>
      <c r="W43" s="31"/>
    </row>
    <row r="44" customFormat="false" ht="16.4" hidden="false" customHeight="false" outlineLevel="0" collapsed="false">
      <c r="A44" s="46" t="s">
        <v>453</v>
      </c>
      <c r="B44" s="46"/>
      <c r="C44" s="22" t="s">
        <v>414</v>
      </c>
      <c r="D44" s="22"/>
      <c r="E44" s="22"/>
      <c r="F44" s="22"/>
      <c r="G44" s="22"/>
      <c r="H44" s="22"/>
      <c r="I44" s="22"/>
      <c r="J44" s="44" t="b">
        <f aca="false">TRUE()</f>
        <v>1</v>
      </c>
      <c r="K44" s="5" t="str">
        <f aca="false">IF(ISBLANK(J44),IncompleteText, IF(J44, OKText, ErrorText))</f>
        <v>OK</v>
      </c>
      <c r="M44" s="74"/>
      <c r="N44" s="74"/>
      <c r="O44" s="74"/>
      <c r="P44" s="74"/>
      <c r="Q44" s="74"/>
      <c r="R44" s="74"/>
      <c r="S44" s="74"/>
      <c r="T44" s="74"/>
      <c r="U44" s="74"/>
      <c r="V44" s="31"/>
      <c r="W44" s="31"/>
    </row>
    <row r="45" customFormat="false" ht="16.4" hidden="false" customHeight="false" outlineLevel="0" collapsed="false">
      <c r="A45" s="46" t="s">
        <v>226</v>
      </c>
      <c r="B45" s="46"/>
      <c r="C45" s="22" t="s">
        <v>98</v>
      </c>
      <c r="D45" s="22"/>
      <c r="E45" s="22"/>
      <c r="F45" s="22"/>
      <c r="G45" s="22"/>
      <c r="H45" s="22"/>
      <c r="I45" s="22"/>
      <c r="J45" s="44" t="b">
        <f aca="false">TRUE()</f>
        <v>1</v>
      </c>
      <c r="K45" s="5" t="str">
        <f aca="false">IF(ISBLANK(J45),IncompleteText, IF(J45, OKText, ErrorText))</f>
        <v>OK</v>
      </c>
      <c r="M45" s="74"/>
      <c r="N45" s="74"/>
      <c r="O45" s="74"/>
      <c r="P45" s="74"/>
      <c r="Q45" s="74"/>
      <c r="R45" s="74"/>
      <c r="S45" s="74"/>
      <c r="T45" s="74"/>
      <c r="U45" s="74"/>
      <c r="V45" s="31"/>
      <c r="W45" s="31"/>
    </row>
    <row r="46" customFormat="false" ht="16.4" hidden="false" customHeight="false" outlineLevel="0" collapsed="false">
      <c r="A46" s="46" t="s">
        <v>425</v>
      </c>
      <c r="B46" s="46"/>
      <c r="C46" s="22" t="s">
        <v>423</v>
      </c>
      <c r="D46" s="22"/>
      <c r="E46" s="22"/>
      <c r="F46" s="22"/>
      <c r="G46" s="22"/>
      <c r="H46" s="22"/>
      <c r="I46" s="22"/>
      <c r="J46" s="44" t="b">
        <f aca="false">TRUE()</f>
        <v>1</v>
      </c>
      <c r="K46" s="5" t="str">
        <f aca="false">IF(ISBLANK(J46),IncompleteText, IF(J46, OKText, ErrorText))</f>
        <v>OK</v>
      </c>
    </row>
    <row r="47" customFormat="false" ht="13.5" hidden="false" customHeight="false" outlineLevel="0" collapsed="false">
      <c r="A47" s="46" t="s">
        <v>454</v>
      </c>
      <c r="B47" s="46"/>
      <c r="C47" s="22" t="s">
        <v>455</v>
      </c>
      <c r="D47" s="22"/>
      <c r="E47" s="22"/>
      <c r="F47" s="22"/>
      <c r="G47" s="22"/>
      <c r="H47" s="22"/>
      <c r="I47" s="22"/>
      <c r="J47" s="44" t="b">
        <f aca="false">TRUE()</f>
        <v>1</v>
      </c>
      <c r="K47" s="5" t="str">
        <f aca="false">IF(ISBLANK(J47),IncompleteText, IF(J47, OKText, ErrorText))</f>
        <v>OK</v>
      </c>
      <c r="M47" s="38" t="s">
        <v>456</v>
      </c>
      <c r="N47" s="38"/>
      <c r="O47" s="38"/>
      <c r="P47" s="38"/>
      <c r="Q47" s="38"/>
      <c r="R47" s="38"/>
      <c r="S47" s="38"/>
      <c r="T47" s="38"/>
      <c r="U47" s="38"/>
      <c r="V47" s="38"/>
      <c r="W47" s="38"/>
    </row>
    <row r="48" customFormat="false" ht="16.4" hidden="false" customHeight="false" outlineLevel="0" collapsed="false">
      <c r="A48" s="46" t="s">
        <v>457</v>
      </c>
      <c r="B48" s="46"/>
      <c r="C48" s="22" t="s">
        <v>458</v>
      </c>
      <c r="D48" s="22"/>
      <c r="E48" s="22"/>
      <c r="F48" s="22"/>
      <c r="G48" s="22"/>
      <c r="H48" s="22"/>
      <c r="I48" s="22"/>
      <c r="J48" s="44" t="b">
        <f aca="false">TRUE()</f>
        <v>1</v>
      </c>
      <c r="K48" s="5" t="str">
        <f aca="false">IF(ISBLANK(J48),IncompleteText, IF(J48, OKText, ErrorText))</f>
        <v>OK</v>
      </c>
      <c r="M48" s="38"/>
      <c r="N48" s="38"/>
      <c r="O48" s="38"/>
      <c r="P48" s="38"/>
      <c r="Q48" s="38"/>
      <c r="R48" s="38"/>
      <c r="S48" s="38"/>
      <c r="T48" s="38"/>
      <c r="U48" s="38"/>
      <c r="V48" s="38"/>
      <c r="W48" s="38"/>
      <c r="Y48" s="75"/>
    </row>
    <row r="49" customFormat="false" ht="16.4" hidden="false" customHeight="false" outlineLevel="0" collapsed="false">
      <c r="A49" s="46" t="s">
        <v>459</v>
      </c>
      <c r="B49" s="46"/>
      <c r="C49" s="22" t="s">
        <v>460</v>
      </c>
      <c r="D49" s="22"/>
      <c r="E49" s="22"/>
      <c r="F49" s="22"/>
      <c r="G49" s="22"/>
      <c r="H49" s="22"/>
      <c r="I49" s="22"/>
      <c r="J49" s="44" t="b">
        <f aca="false">FALSE()</f>
        <v>0</v>
      </c>
      <c r="K49" s="5" t="str">
        <f aca="false">IF(ISBLANK(J49),IncompleteText, IF(J49, OKText, ErrorText))</f>
        <v>WARNING</v>
      </c>
      <c r="M49" s="38"/>
      <c r="N49" s="38"/>
      <c r="O49" s="38"/>
      <c r="P49" s="38"/>
      <c r="Q49" s="38"/>
      <c r="R49" s="38"/>
      <c r="S49" s="38"/>
      <c r="T49" s="38"/>
      <c r="U49" s="38"/>
      <c r="V49" s="38"/>
      <c r="W49" s="38"/>
    </row>
    <row r="50" customFormat="false" ht="16.4" hidden="false" customHeight="false" outlineLevel="0" collapsed="false">
      <c r="A50" s="46"/>
      <c r="B50" s="46"/>
      <c r="C50" s="22" t="s">
        <v>461</v>
      </c>
      <c r="D50" s="22"/>
      <c r="E50" s="22"/>
      <c r="F50" s="22"/>
      <c r="G50" s="22"/>
      <c r="H50" s="22"/>
      <c r="I50" s="22"/>
      <c r="J50" s="44" t="b">
        <f aca="false">TRUE()</f>
        <v>1</v>
      </c>
      <c r="K50" s="5" t="str">
        <f aca="false">IF(ISBLANK(J50),IncompleteText, IF(J50, OKText, ErrorText))</f>
        <v>OK</v>
      </c>
      <c r="M50" s="38"/>
      <c r="N50" s="38"/>
      <c r="O50" s="38"/>
      <c r="P50" s="38"/>
      <c r="Q50" s="38"/>
      <c r="R50" s="38"/>
      <c r="S50" s="38"/>
      <c r="T50" s="38"/>
      <c r="U50" s="38"/>
      <c r="V50" s="38"/>
      <c r="W50" s="38"/>
    </row>
    <row r="51" customFormat="false" ht="16.4" hidden="false" customHeight="false" outlineLevel="0" collapsed="false">
      <c r="A51" s="46"/>
      <c r="B51" s="46"/>
      <c r="C51" s="22" t="s">
        <v>462</v>
      </c>
      <c r="D51" s="22"/>
      <c r="E51" s="22"/>
      <c r="F51" s="22"/>
      <c r="G51" s="22"/>
      <c r="H51" s="22"/>
      <c r="I51" s="22"/>
      <c r="J51" s="44" t="b">
        <f aca="false">TRUE()</f>
        <v>1</v>
      </c>
      <c r="K51" s="5" t="str">
        <f aca="false">IF(ISBLANK(J51),IncompleteText, IF(J51, OKText, ErrorText))</f>
        <v>OK</v>
      </c>
      <c r="M51" s="38"/>
      <c r="N51" s="38"/>
      <c r="O51" s="38"/>
      <c r="P51" s="38"/>
      <c r="Q51" s="38"/>
      <c r="R51" s="38"/>
      <c r="S51" s="38"/>
      <c r="T51" s="38"/>
      <c r="U51" s="38"/>
      <c r="V51" s="38"/>
      <c r="W51" s="38"/>
    </row>
    <row r="52" customFormat="false" ht="16.4" hidden="false" customHeight="false" outlineLevel="0" collapsed="false">
      <c r="A52" s="46"/>
      <c r="B52" s="46"/>
      <c r="C52" s="22" t="s">
        <v>415</v>
      </c>
      <c r="D52" s="22"/>
      <c r="E52" s="22"/>
      <c r="F52" s="22"/>
      <c r="G52" s="22"/>
      <c r="H52" s="22"/>
      <c r="I52" s="22"/>
      <c r="J52" s="44" t="b">
        <f aca="false">TRUE()</f>
        <v>1</v>
      </c>
      <c r="K52" s="5" t="str">
        <f aca="false">IF(ISBLANK(J52),IncompleteText, IF(J52, OKText, ErrorText))</f>
        <v>OK</v>
      </c>
      <c r="M52" s="38"/>
      <c r="N52" s="38"/>
      <c r="O52" s="38"/>
      <c r="P52" s="38"/>
      <c r="Q52" s="38"/>
      <c r="R52" s="38"/>
      <c r="S52" s="38"/>
      <c r="T52" s="38"/>
      <c r="U52" s="38"/>
      <c r="V52" s="38"/>
      <c r="W52" s="38"/>
    </row>
    <row r="53" customFormat="false" ht="16.4" hidden="false" customHeight="false" outlineLevel="0" collapsed="false">
      <c r="A53" s="46" t="s">
        <v>463</v>
      </c>
      <c r="B53" s="46"/>
      <c r="C53" s="22" t="s">
        <v>464</v>
      </c>
      <c r="D53" s="22"/>
      <c r="E53" s="22"/>
      <c r="F53" s="22"/>
      <c r="G53" s="22"/>
      <c r="H53" s="22"/>
      <c r="I53" s="22"/>
      <c r="J53" s="44" t="b">
        <f aca="false">TRUE()</f>
        <v>1</v>
      </c>
      <c r="K53" s="5" t="str">
        <f aca="false">IF(ISBLANK(J53),IncompleteText, IF(J53, OKText, ErrorText))</f>
        <v>OK</v>
      </c>
      <c r="M53" s="38"/>
      <c r="N53" s="38"/>
      <c r="O53" s="38"/>
      <c r="P53" s="38"/>
      <c r="Q53" s="38"/>
      <c r="R53" s="38"/>
      <c r="S53" s="38"/>
      <c r="T53" s="38"/>
      <c r="U53" s="38"/>
      <c r="V53" s="38"/>
      <c r="W53" s="38"/>
    </row>
    <row r="54" customFormat="false" ht="16.4" hidden="false" customHeight="false" outlineLevel="0" collapsed="false">
      <c r="A54" s="46" t="s">
        <v>463</v>
      </c>
      <c r="B54" s="46"/>
      <c r="C54" s="22" t="s">
        <v>465</v>
      </c>
      <c r="D54" s="22"/>
      <c r="E54" s="22"/>
      <c r="F54" s="22"/>
      <c r="G54" s="22"/>
      <c r="H54" s="22"/>
      <c r="I54" s="22"/>
      <c r="J54" s="44" t="b">
        <f aca="false">TRUE()</f>
        <v>1</v>
      </c>
      <c r="K54" s="5" t="str">
        <f aca="false">IF(ISBLANK(J54),IncompleteText, IF(J54, OKText, ErrorText))</f>
        <v>OK</v>
      </c>
      <c r="M54" s="38"/>
      <c r="N54" s="38"/>
      <c r="O54" s="38"/>
      <c r="P54" s="38"/>
      <c r="Q54" s="38"/>
      <c r="R54" s="38"/>
      <c r="S54" s="38"/>
      <c r="T54" s="38"/>
      <c r="U54" s="38"/>
      <c r="V54" s="38"/>
      <c r="W54" s="38"/>
    </row>
    <row r="55" customFormat="false" ht="13.8" hidden="false" customHeight="false" outlineLevel="0" collapsed="false">
      <c r="A55" s="46" t="s">
        <v>463</v>
      </c>
      <c r="B55" s="46"/>
      <c r="C55" s="22" t="s">
        <v>466</v>
      </c>
      <c r="D55" s="22"/>
      <c r="E55" s="22"/>
      <c r="F55" s="22"/>
      <c r="G55" s="22"/>
      <c r="H55" s="22"/>
      <c r="I55" s="22"/>
      <c r="J55" s="44" t="b">
        <f aca="false">TRUE()</f>
        <v>1</v>
      </c>
      <c r="K55" s="5" t="str">
        <f aca="false">IF(ISBLANK(J55),IncompleteText, IF(J55, OKText, ErrorText))</f>
        <v>OK</v>
      </c>
      <c r="M55" s="38"/>
      <c r="N55" s="38"/>
      <c r="O55" s="38"/>
      <c r="P55" s="38"/>
      <c r="Q55" s="38"/>
      <c r="R55" s="38"/>
      <c r="S55" s="38"/>
      <c r="T55" s="38"/>
      <c r="U55" s="38"/>
      <c r="V55" s="38"/>
      <c r="W55" s="38"/>
    </row>
    <row r="56" customFormat="false" ht="13.8" hidden="false" customHeight="false" outlineLevel="0" collapsed="false">
      <c r="A56" s="46"/>
      <c r="B56" s="46"/>
      <c r="C56" s="22" t="s">
        <v>467</v>
      </c>
      <c r="D56" s="22"/>
      <c r="E56" s="22"/>
      <c r="F56" s="22"/>
      <c r="G56" s="22"/>
      <c r="H56" s="22"/>
      <c r="I56" s="22"/>
      <c r="J56" s="44" t="b">
        <f aca="false">TRUE()</f>
        <v>1</v>
      </c>
      <c r="K56" s="5" t="e">
        <f aca="false">IF(ISBLANK(#REF!),IncompleteText, IF(#REF!, OKText, ErrorText))</f>
        <v>#REF!</v>
      </c>
      <c r="M56" s="38"/>
      <c r="N56" s="38"/>
      <c r="O56" s="38"/>
      <c r="P56" s="38"/>
      <c r="Q56" s="38"/>
      <c r="R56" s="38"/>
      <c r="S56" s="38"/>
      <c r="T56" s="38"/>
      <c r="U56" s="38"/>
      <c r="V56" s="38"/>
      <c r="W56" s="38"/>
    </row>
    <row r="57" customFormat="false" ht="13.8" hidden="false" customHeight="false" outlineLevel="0" collapsed="false">
      <c r="A57" s="46" t="s">
        <v>468</v>
      </c>
      <c r="B57" s="46"/>
      <c r="C57" s="22" t="s">
        <v>469</v>
      </c>
      <c r="D57" s="22"/>
      <c r="E57" s="22"/>
      <c r="F57" s="22"/>
      <c r="G57" s="22"/>
      <c r="H57" s="22"/>
      <c r="I57" s="22"/>
      <c r="J57" s="44" t="b">
        <f aca="false">TRUE()</f>
        <v>1</v>
      </c>
      <c r="K57" s="5" t="str">
        <f aca="false">IF(ISBLANK(J56),IncompleteText, IF(J56, OKText, ErrorText))</f>
        <v>OK</v>
      </c>
      <c r="M57" s="38"/>
      <c r="N57" s="38"/>
      <c r="O57" s="38"/>
      <c r="P57" s="38"/>
      <c r="Q57" s="38"/>
      <c r="R57" s="38"/>
      <c r="S57" s="38"/>
      <c r="T57" s="38"/>
      <c r="U57" s="38"/>
      <c r="V57" s="38"/>
      <c r="W57" s="38"/>
    </row>
    <row r="58" customFormat="false" ht="16.4" hidden="false" customHeight="false" outlineLevel="0" collapsed="false">
      <c r="A58" s="46" t="s">
        <v>470</v>
      </c>
      <c r="B58" s="46"/>
      <c r="C58" s="22" t="s">
        <v>471</v>
      </c>
      <c r="D58" s="22"/>
      <c r="E58" s="22"/>
      <c r="F58" s="22"/>
      <c r="G58" s="22"/>
      <c r="H58" s="22"/>
      <c r="I58" s="22"/>
      <c r="J58" s="76" t="b">
        <f aca="false">TRUE()</f>
        <v>1</v>
      </c>
      <c r="K58" s="5" t="str">
        <f aca="false">IF(ISBLANK(J57),IncompleteText, IF(J57, OKText, ErrorText))</f>
        <v>OK</v>
      </c>
      <c r="M58" s="38"/>
      <c r="N58" s="38"/>
      <c r="O58" s="38"/>
      <c r="P58" s="38"/>
      <c r="Q58" s="38"/>
      <c r="R58" s="38"/>
      <c r="S58" s="38"/>
      <c r="T58" s="38"/>
      <c r="U58" s="38"/>
      <c r="V58" s="38"/>
      <c r="W58" s="38"/>
    </row>
    <row r="59" customFormat="false" ht="13.5" hidden="false" customHeight="false" outlineLevel="0" collapsed="false">
      <c r="A59" s="46"/>
      <c r="B59" s="46"/>
      <c r="C59" s="22" t="s">
        <v>472</v>
      </c>
      <c r="D59" s="22"/>
      <c r="E59" s="22"/>
      <c r="F59" s="22"/>
      <c r="G59" s="22"/>
      <c r="H59" s="22"/>
      <c r="I59" s="22"/>
      <c r="J59" s="44" t="b">
        <f aca="false">TRUE()</f>
        <v>1</v>
      </c>
      <c r="K59" s="5" t="str">
        <f aca="false">IF(ISBLANK(J59),IncompleteText, IF(J59, OKText, ErrorText))</f>
        <v>OK</v>
      </c>
      <c r="M59" s="38"/>
      <c r="N59" s="38"/>
      <c r="O59" s="38"/>
      <c r="P59" s="38"/>
      <c r="Q59" s="38"/>
      <c r="R59" s="38"/>
      <c r="S59" s="38"/>
      <c r="T59" s="38"/>
      <c r="U59" s="38"/>
      <c r="V59" s="38"/>
      <c r="W59" s="38"/>
    </row>
    <row r="60" customFormat="false" ht="13.5" hidden="false" customHeight="false" outlineLevel="0" collapsed="false">
      <c r="A60" s="46"/>
      <c r="B60" s="46"/>
      <c r="C60" s="22" t="s">
        <v>473</v>
      </c>
      <c r="D60" s="22"/>
      <c r="E60" s="22"/>
      <c r="F60" s="22"/>
      <c r="G60" s="22"/>
      <c r="H60" s="22"/>
      <c r="I60" s="22"/>
      <c r="J60" s="44" t="b">
        <f aca="false">TRUE()</f>
        <v>1</v>
      </c>
      <c r="K60" s="5" t="str">
        <f aca="false">IF(ISBLANK(J60),IncompleteText, IF(J60, OKText, ErrorText))</f>
        <v>OK</v>
      </c>
      <c r="M60" s="38"/>
      <c r="N60" s="38"/>
      <c r="O60" s="38"/>
      <c r="P60" s="38"/>
      <c r="Q60" s="38"/>
      <c r="R60" s="38"/>
      <c r="S60" s="38"/>
      <c r="T60" s="38"/>
      <c r="U60" s="38"/>
      <c r="V60" s="38"/>
      <c r="W60" s="38"/>
    </row>
    <row r="61" customFormat="false" ht="13.5" hidden="false" customHeight="false" outlineLevel="0" collapsed="false">
      <c r="A61" s="46" t="s">
        <v>474</v>
      </c>
      <c r="B61" s="46"/>
      <c r="C61" s="22" t="s">
        <v>475</v>
      </c>
      <c r="D61" s="22"/>
      <c r="E61" s="22"/>
      <c r="F61" s="22"/>
      <c r="G61" s="22"/>
      <c r="H61" s="22"/>
      <c r="I61" s="22"/>
      <c r="J61" s="44" t="b">
        <f aca="false">TRUE()</f>
        <v>1</v>
      </c>
      <c r="K61" s="5" t="str">
        <f aca="false">IF(ISBLANK(J61),IncompleteText, IF(J61, OKText, ErrorText))</f>
        <v>OK</v>
      </c>
      <c r="M61" s="38"/>
      <c r="N61" s="38"/>
      <c r="O61" s="38"/>
      <c r="P61" s="38"/>
      <c r="Q61" s="38"/>
      <c r="R61" s="38"/>
      <c r="S61" s="38"/>
      <c r="T61" s="38"/>
      <c r="U61" s="38"/>
      <c r="V61" s="38"/>
      <c r="W61" s="38"/>
    </row>
    <row r="62" customFormat="false" ht="13.5" hidden="false" customHeight="false" outlineLevel="0" collapsed="false">
      <c r="A62" s="2" t="s">
        <v>20</v>
      </c>
      <c r="B62" s="2"/>
      <c r="C62" s="2"/>
      <c r="D62" s="2"/>
      <c r="E62" s="2"/>
      <c r="F62" s="2"/>
      <c r="G62" s="2"/>
      <c r="H62" s="2"/>
      <c r="I62" s="2"/>
      <c r="J62" s="58" t="s">
        <v>58</v>
      </c>
      <c r="K62" s="58"/>
      <c r="M62" s="38"/>
      <c r="N62" s="38"/>
      <c r="O62" s="38"/>
      <c r="P62" s="38"/>
      <c r="Q62" s="38"/>
      <c r="R62" s="38"/>
      <c r="S62" s="38"/>
      <c r="T62" s="38"/>
      <c r="U62" s="38"/>
      <c r="V62" s="38"/>
      <c r="W62" s="38"/>
    </row>
    <row r="63" customFormat="false" ht="16.4" hidden="false" customHeight="true" outlineLevel="0" collapsed="false">
      <c r="A63" s="77" t="s">
        <v>476</v>
      </c>
      <c r="B63" s="77"/>
      <c r="C63" s="77"/>
      <c r="D63" s="77"/>
      <c r="E63" s="77"/>
      <c r="F63" s="77"/>
      <c r="G63" s="77"/>
      <c r="H63" s="77"/>
      <c r="I63" s="77"/>
      <c r="J63" s="31" t="s">
        <v>477</v>
      </c>
      <c r="K63" s="31"/>
      <c r="M63" s="38"/>
      <c r="N63" s="38"/>
      <c r="O63" s="38"/>
      <c r="P63" s="38"/>
      <c r="Q63" s="38"/>
      <c r="R63" s="38"/>
      <c r="S63" s="38"/>
      <c r="T63" s="38"/>
      <c r="U63" s="38"/>
      <c r="V63" s="38"/>
      <c r="W63" s="38"/>
    </row>
    <row r="64" customFormat="false" ht="16.4" hidden="false" customHeight="false" outlineLevel="0" collapsed="false">
      <c r="A64" s="77"/>
      <c r="B64" s="77"/>
      <c r="C64" s="77"/>
      <c r="D64" s="77"/>
      <c r="E64" s="77"/>
      <c r="F64" s="77"/>
      <c r="G64" s="77"/>
      <c r="H64" s="77"/>
      <c r="I64" s="77"/>
      <c r="J64" s="31"/>
      <c r="K64" s="31"/>
      <c r="M64" s="38"/>
      <c r="N64" s="38"/>
      <c r="O64" s="38"/>
      <c r="P64" s="38"/>
      <c r="Q64" s="38"/>
      <c r="R64" s="38"/>
      <c r="S64" s="38"/>
      <c r="T64" s="38"/>
      <c r="U64" s="38"/>
      <c r="V64" s="38"/>
      <c r="W64" s="38"/>
    </row>
    <row r="65" customFormat="false" ht="16.4" hidden="false" customHeight="false" outlineLevel="0" collapsed="false">
      <c r="A65" s="77"/>
      <c r="B65" s="77"/>
      <c r="C65" s="77"/>
      <c r="D65" s="77"/>
      <c r="E65" s="77"/>
      <c r="F65" s="77"/>
      <c r="G65" s="77"/>
      <c r="H65" s="77"/>
      <c r="I65" s="77"/>
      <c r="J65" s="31"/>
      <c r="K65" s="31"/>
      <c r="M65" s="38"/>
      <c r="N65" s="38"/>
      <c r="O65" s="38"/>
      <c r="P65" s="38"/>
      <c r="Q65" s="38"/>
      <c r="R65" s="38"/>
      <c r="S65" s="38"/>
      <c r="T65" s="38"/>
      <c r="U65" s="38"/>
      <c r="V65" s="38"/>
      <c r="W65" s="38"/>
    </row>
    <row r="66" customFormat="false" ht="16.4" hidden="false" customHeight="false" outlineLevel="0" collapsed="false">
      <c r="A66" s="77"/>
      <c r="B66" s="77"/>
      <c r="C66" s="77"/>
      <c r="D66" s="77"/>
      <c r="E66" s="77"/>
      <c r="F66" s="77"/>
      <c r="G66" s="77"/>
      <c r="H66" s="77"/>
      <c r="I66" s="77"/>
      <c r="J66" s="31"/>
      <c r="K66" s="31"/>
      <c r="M66" s="38"/>
      <c r="N66" s="38"/>
      <c r="O66" s="38"/>
      <c r="P66" s="38"/>
      <c r="Q66" s="38"/>
      <c r="R66" s="38"/>
      <c r="S66" s="38"/>
      <c r="T66" s="38"/>
      <c r="U66" s="38"/>
      <c r="V66" s="38"/>
      <c r="W66" s="38"/>
    </row>
    <row r="67" customFormat="false" ht="16.4" hidden="false" customHeight="false" outlineLevel="0" collapsed="false">
      <c r="M67" s="38"/>
      <c r="N67" s="38"/>
      <c r="O67" s="38"/>
      <c r="P67" s="38"/>
      <c r="Q67" s="38"/>
      <c r="R67" s="38"/>
      <c r="S67" s="38"/>
      <c r="T67" s="38"/>
      <c r="U67" s="38"/>
      <c r="V67" s="38"/>
      <c r="W67" s="38"/>
    </row>
    <row r="68" customFormat="false" ht="16.4" hidden="false" customHeight="false" outlineLevel="0" collapsed="false">
      <c r="M68" s="38"/>
      <c r="N68" s="38"/>
      <c r="O68" s="38"/>
      <c r="P68" s="38"/>
      <c r="Q68" s="38"/>
      <c r="R68" s="38"/>
      <c r="S68" s="38"/>
      <c r="T68" s="38"/>
      <c r="U68" s="38"/>
      <c r="V68" s="38"/>
      <c r="W68" s="38"/>
    </row>
    <row r="69" customFormat="false" ht="13.8" hidden="false" customHeight="false" outlineLevel="0" collapsed="false">
      <c r="M69" s="38"/>
      <c r="N69" s="38"/>
      <c r="O69" s="38"/>
      <c r="P69" s="38"/>
      <c r="Q69" s="38"/>
      <c r="R69" s="38"/>
      <c r="S69" s="38"/>
      <c r="T69" s="38"/>
      <c r="U69" s="38"/>
      <c r="V69" s="38"/>
      <c r="W69" s="38"/>
    </row>
    <row r="70" customFormat="false" ht="13.8" hidden="false" customHeight="false" outlineLevel="0" collapsed="false">
      <c r="M70" s="38"/>
      <c r="N70" s="38"/>
      <c r="O70" s="38"/>
      <c r="P70" s="38"/>
      <c r="Q70" s="38"/>
      <c r="R70" s="38"/>
      <c r="S70" s="38"/>
      <c r="T70" s="38"/>
      <c r="U70" s="38"/>
      <c r="V70" s="38"/>
      <c r="W70" s="38"/>
    </row>
    <row r="71" customFormat="false" ht="13.8" hidden="false" customHeight="false" outlineLevel="0" collapsed="false">
      <c r="M71" s="38"/>
      <c r="N71" s="38"/>
      <c r="O71" s="38"/>
      <c r="P71" s="38"/>
      <c r="Q71" s="38"/>
      <c r="R71" s="38"/>
      <c r="S71" s="38"/>
      <c r="T71" s="38"/>
      <c r="U71" s="38"/>
      <c r="V71" s="38"/>
      <c r="W71" s="38"/>
    </row>
    <row r="72" customFormat="false" ht="13.8" hidden="false" customHeight="false" outlineLevel="0" collapsed="false">
      <c r="M72" s="38"/>
      <c r="N72" s="38"/>
      <c r="O72" s="38"/>
      <c r="P72" s="38"/>
      <c r="Q72" s="38"/>
      <c r="R72" s="38"/>
      <c r="S72" s="38"/>
      <c r="T72" s="38"/>
      <c r="U72" s="38"/>
      <c r="V72" s="38"/>
      <c r="W72" s="38"/>
    </row>
    <row r="73" customFormat="false" ht="13.8" hidden="false" customHeight="false" outlineLevel="0" collapsed="false">
      <c r="M73" s="38"/>
      <c r="N73" s="38"/>
      <c r="O73" s="38"/>
      <c r="P73" s="38"/>
      <c r="Q73" s="38"/>
      <c r="R73" s="38"/>
      <c r="S73" s="38"/>
      <c r="T73" s="38"/>
      <c r="U73" s="38"/>
      <c r="V73" s="38"/>
      <c r="W73" s="38"/>
    </row>
    <row r="74" customFormat="false" ht="31.3" hidden="false" customHeight="false" outlineLevel="0" collapsed="false">
      <c r="M74" s="2" t="s">
        <v>478</v>
      </c>
      <c r="N74" s="2"/>
      <c r="O74" s="2"/>
      <c r="P74" s="2"/>
      <c r="Q74" s="2"/>
      <c r="R74" s="2"/>
      <c r="S74" s="2"/>
      <c r="T74" s="2"/>
      <c r="U74" s="2"/>
      <c r="V74" s="2"/>
      <c r="W74" s="40" t="str">
        <f aca="false">IF(COUNTIF(W75:W77, "="&amp;IncompleteText), IncompleteText, IF(COUNTIF(W75:W77, "="&amp;ErrorText), ErrorText, OKText))</f>
        <v>OK</v>
      </c>
    </row>
    <row r="75" customFormat="false" ht="16.4" hidden="false" customHeight="false" outlineLevel="0" collapsed="false">
      <c r="M75" s="22" t="s">
        <v>479</v>
      </c>
      <c r="N75" s="22"/>
      <c r="O75" s="22"/>
      <c r="P75" s="22"/>
      <c r="Q75" s="22"/>
      <c r="R75" s="22"/>
      <c r="S75" s="22"/>
      <c r="T75" s="22"/>
      <c r="U75" s="22"/>
      <c r="V75" s="44" t="b">
        <f aca="false">TRUE()</f>
        <v>1</v>
      </c>
      <c r="W75" s="5" t="str">
        <f aca="false">IF(ISBLANK(V75),IncompleteText, IF(V75, OKText, ErrorText))</f>
        <v>OK</v>
      </c>
    </row>
    <row r="76" customFormat="false" ht="16.4" hidden="false" customHeight="false" outlineLevel="0" collapsed="false">
      <c r="M76" s="22" t="s">
        <v>480</v>
      </c>
      <c r="N76" s="22"/>
      <c r="O76" s="22"/>
      <c r="P76" s="22"/>
      <c r="Q76" s="22"/>
      <c r="R76" s="22"/>
      <c r="S76" s="22"/>
      <c r="T76" s="22"/>
      <c r="U76" s="22"/>
      <c r="V76" s="44" t="b">
        <f aca="false">TRUE()</f>
        <v>1</v>
      </c>
      <c r="W76" s="5" t="str">
        <f aca="false">IF(ISBLANK(V76),IncompleteText, IF(V76, OKText, ErrorText))</f>
        <v>OK</v>
      </c>
    </row>
    <row r="77" customFormat="false" ht="16.4" hidden="false" customHeight="false" outlineLevel="0" collapsed="false">
      <c r="M77" s="22" t="s">
        <v>481</v>
      </c>
      <c r="N77" s="22"/>
      <c r="O77" s="22"/>
      <c r="P77" s="22"/>
      <c r="Q77" s="22"/>
      <c r="R77" s="22"/>
      <c r="S77" s="22"/>
      <c r="T77" s="22"/>
      <c r="U77" s="22"/>
      <c r="V77" s="44" t="b">
        <f aca="false">TRUE()</f>
        <v>1</v>
      </c>
      <c r="W77" s="5" t="str">
        <f aca="false">IF(ISBLANK(V77),IncompleteText, IF(V77, OKText, ErrorText))</f>
        <v>OK</v>
      </c>
    </row>
    <row r="78" customFormat="false" ht="16.4" hidden="false" customHeight="false" outlineLevel="0" collapsed="false">
      <c r="M78" s="2" t="s">
        <v>20</v>
      </c>
      <c r="N78" s="2"/>
      <c r="O78" s="2"/>
      <c r="P78" s="2"/>
      <c r="Q78" s="2"/>
      <c r="R78" s="2"/>
      <c r="S78" s="2"/>
      <c r="T78" s="2"/>
      <c r="U78" s="2"/>
      <c r="V78" s="58" t="s">
        <v>58</v>
      </c>
      <c r="W78" s="58"/>
    </row>
    <row r="79" customFormat="false" ht="16.4" hidden="false" customHeight="true" outlineLevel="0" collapsed="false">
      <c r="M79" s="77" t="s">
        <v>482</v>
      </c>
      <c r="N79" s="77"/>
      <c r="O79" s="77"/>
      <c r="P79" s="77"/>
      <c r="Q79" s="77"/>
      <c r="R79" s="77"/>
      <c r="S79" s="77"/>
      <c r="T79" s="77"/>
      <c r="U79" s="77"/>
      <c r="V79" s="31" t="s">
        <v>483</v>
      </c>
      <c r="W79" s="31"/>
    </row>
    <row r="80" customFormat="false" ht="16.4" hidden="false" customHeight="false" outlineLevel="0" collapsed="false">
      <c r="M80" s="77"/>
      <c r="N80" s="77"/>
      <c r="O80" s="77"/>
      <c r="P80" s="77"/>
      <c r="Q80" s="77"/>
      <c r="R80" s="77"/>
      <c r="S80" s="77"/>
      <c r="T80" s="77"/>
      <c r="U80" s="77"/>
      <c r="V80" s="31"/>
      <c r="W80" s="31"/>
    </row>
    <row r="81" customFormat="false" ht="16.4" hidden="false" customHeight="false" outlineLevel="0" collapsed="false">
      <c r="M81" s="77"/>
      <c r="N81" s="77"/>
      <c r="O81" s="77"/>
      <c r="P81" s="77"/>
      <c r="Q81" s="77"/>
      <c r="R81" s="77"/>
      <c r="S81" s="77"/>
      <c r="T81" s="77"/>
      <c r="U81" s="77"/>
      <c r="V81" s="31"/>
      <c r="W81" s="31"/>
    </row>
    <row r="82" customFormat="false" ht="16.4" hidden="false" customHeight="false" outlineLevel="0" collapsed="false">
      <c r="M82" s="77"/>
      <c r="N82" s="77"/>
      <c r="O82" s="77"/>
      <c r="P82" s="77"/>
      <c r="Q82" s="77"/>
      <c r="R82" s="77"/>
      <c r="S82" s="77"/>
      <c r="T82" s="77"/>
      <c r="U82" s="77"/>
      <c r="V82" s="31"/>
      <c r="W82" s="31"/>
    </row>
    <row r="83" customFormat="false" ht="16.4" hidden="false" customHeight="false" outlineLevel="0" collapsed="false"/>
    <row r="84" customFormat="false" ht="16.4" hidden="false" customHeight="false" outlineLevel="0" collapsed="false"/>
    <row r="85" customFormat="false" ht="16.4" hidden="false" customHeight="false" outlineLevel="0" collapsed="false"/>
    <row r="86" customFormat="false" ht="16.4" hidden="false" customHeight="false" outlineLevel="0" collapsed="false"/>
    <row r="87" customFormat="false" ht="16.4" hidden="false" customHeight="false" outlineLevel="0" collapsed="false"/>
    <row r="88" customFormat="false" ht="16.4" hidden="false" customHeight="false" outlineLevel="0" collapsed="false"/>
    <row r="89" customFormat="false" ht="16.4" hidden="false" customHeight="false" outlineLevel="0" collapsed="false"/>
    <row r="90" customFormat="false" ht="16.4"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sheetData>
  <mergeCells count="93">
    <mergeCell ref="A2:E2"/>
    <mergeCell ref="F2:F3"/>
    <mergeCell ref="H2:L2"/>
    <mergeCell ref="M2:M3"/>
    <mergeCell ref="A3:C3"/>
    <mergeCell ref="D3:E3"/>
    <mergeCell ref="H3:J3"/>
    <mergeCell ref="K3:L3"/>
    <mergeCell ref="A4:C4"/>
    <mergeCell ref="D4:E4"/>
    <mergeCell ref="H4:J4"/>
    <mergeCell ref="K4:L4"/>
    <mergeCell ref="A5:C5"/>
    <mergeCell ref="H5:J5"/>
    <mergeCell ref="K5:L5"/>
    <mergeCell ref="H6:J6"/>
    <mergeCell ref="H7:J7"/>
    <mergeCell ref="H8:J8"/>
    <mergeCell ref="A10:K35"/>
    <mergeCell ref="M10:W35"/>
    <mergeCell ref="A36:J36"/>
    <mergeCell ref="K36:K37"/>
    <mergeCell ref="M36:V36"/>
    <mergeCell ref="W36:W37"/>
    <mergeCell ref="A37:B37"/>
    <mergeCell ref="A38:B38"/>
    <mergeCell ref="C38:I38"/>
    <mergeCell ref="M38:U38"/>
    <mergeCell ref="A39:B39"/>
    <mergeCell ref="C39:I39"/>
    <mergeCell ref="M39:U39"/>
    <mergeCell ref="A40:B40"/>
    <mergeCell ref="C40:I40"/>
    <mergeCell ref="M40:U40"/>
    <mergeCell ref="A41:B41"/>
    <mergeCell ref="C41:I41"/>
    <mergeCell ref="M41:U41"/>
    <mergeCell ref="V41:W41"/>
    <mergeCell ref="A42:B42"/>
    <mergeCell ref="C42:I42"/>
    <mergeCell ref="M42:U45"/>
    <mergeCell ref="V42:W45"/>
    <mergeCell ref="A43:B43"/>
    <mergeCell ref="C43:I43"/>
    <mergeCell ref="A44:B44"/>
    <mergeCell ref="C44:I44"/>
    <mergeCell ref="A45:B45"/>
    <mergeCell ref="C45:I4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 ref="A55:B55"/>
    <mergeCell ref="C55:I55"/>
    <mergeCell ref="A56:B56"/>
    <mergeCell ref="C56:I56"/>
    <mergeCell ref="A57:B57"/>
    <mergeCell ref="C57:I57"/>
    <mergeCell ref="A58:B58"/>
    <mergeCell ref="C58:I58"/>
    <mergeCell ref="A59:B59"/>
    <mergeCell ref="C59:I59"/>
    <mergeCell ref="A60:B60"/>
    <mergeCell ref="C60:I60"/>
    <mergeCell ref="A61:B61"/>
    <mergeCell ref="C61:I61"/>
    <mergeCell ref="A62:I62"/>
    <mergeCell ref="J62:K62"/>
    <mergeCell ref="A63:I66"/>
    <mergeCell ref="J63:K66"/>
    <mergeCell ref="M74:V74"/>
    <mergeCell ref="M75:U75"/>
    <mergeCell ref="M76:U76"/>
    <mergeCell ref="M77:U77"/>
    <mergeCell ref="M78:U78"/>
    <mergeCell ref="V78:W78"/>
    <mergeCell ref="M79:U82"/>
    <mergeCell ref="V79:W82"/>
  </mergeCells>
  <dataValidations count="2">
    <dataValidation allowBlank="true" errorStyle="stop" operator="between" showDropDown="false" showErrorMessage="true" showInputMessage="true" sqref="J38:J43 V38:V40 V42 J44:J57 J59:J61 V75:V77" type="list">
      <formula1>"TRUE,FALSE"</formula1>
      <formula2>0</formula2>
    </dataValidation>
    <dataValidation allowBlank="true" errorStyle="stop" operator="between" showDropDown="false" showErrorMessage="true" showInputMessage="true" sqref="D4:E4" type="list">
      <formula1>"Bender IR155-3203,Bender IR155-3204"</formula1>
      <formula2>0</formula2>
    </dataValidation>
  </dataValidations>
  <hyperlinks>
    <hyperlink ref="K5" r:id="rId2" display="https://www.lem.com/sites/default/files/products_datasheets/has_50_600-s_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M13" activeCellId="0" sqref="M13"/>
    </sheetView>
  </sheetViews>
  <sheetFormatPr defaultColWidth="8.72265625" defaultRowHeight="13.5" zeroHeight="false" outlineLevelRow="0" outlineLevelCol="0"/>
  <cols>
    <col collapsed="false" customWidth="false" hidden="false" outlineLevel="0" max="11" min="1" style="1" width="8.72"/>
    <col collapsed="false" customWidth="true" hidden="false" outlineLevel="0" max="12" min="12" style="1" width="12.57"/>
    <col collapsed="false" customWidth="false" hidden="false" outlineLevel="0" max="16384" min="13" style="1" width="8.72"/>
  </cols>
  <sheetData>
    <row r="1" customFormat="false" ht="13.5" hidden="false" customHeight="false" outlineLevel="0" collapsed="false">
      <c r="A1" s="19" t="s">
        <v>1</v>
      </c>
      <c r="B1" s="5" t="str">
        <f aca="true">IF(SUM(COUNTIF(INDIRECT({"'Torque Security'!$F$2","'Torque Security'!$S$2"}), "="&amp;IncompleteText)), IncompleteText, IF(SUM(COUNTIF(INDIRECT({"'Torque Security'!$F$2","'Torque Security'!$S$2"}), "="&amp;ErrorText)), ErrorText, OKText))</f>
        <v>OK</v>
      </c>
    </row>
    <row r="2" customFormat="false" ht="13.5" hidden="false" customHeight="false" outlineLevel="0" collapsed="false">
      <c r="A2" s="2" t="s">
        <v>484</v>
      </c>
      <c r="B2" s="2"/>
      <c r="C2" s="2"/>
      <c r="D2" s="2"/>
      <c r="E2" s="2"/>
      <c r="F2" s="48" t="str">
        <f aca="false">IF(COUNTIF(F5:F10, "="&amp;IncompleteText), IncompleteText, IF(COUNTIF(F5:F10, "="&amp;ErrorText), ErrorText, OKText))</f>
        <v>OK</v>
      </c>
      <c r="H2" s="2" t="s">
        <v>485</v>
      </c>
      <c r="I2" s="2"/>
      <c r="J2" s="2"/>
      <c r="K2" s="2"/>
      <c r="L2" s="2"/>
      <c r="M2" s="2"/>
      <c r="N2" s="2"/>
      <c r="O2" s="2"/>
      <c r="P2" s="2"/>
      <c r="Q2" s="2"/>
      <c r="R2" s="2"/>
      <c r="S2" s="48" t="str">
        <f aca="false">IF(COUNTIF(S6:S11, "="&amp;IncompleteText), IncompleteText, IF(COUNTIF(S6:S11, "="&amp;ErrorText), ErrorText, OKText))</f>
        <v>OK</v>
      </c>
    </row>
    <row r="3" customFormat="false" ht="13.5" hidden="false" customHeight="false" outlineLevel="0" collapsed="false">
      <c r="A3" s="42" t="s">
        <v>424</v>
      </c>
      <c r="B3" s="42"/>
      <c r="C3" s="71" t="s">
        <v>486</v>
      </c>
      <c r="D3" s="71"/>
      <c r="E3" s="71"/>
      <c r="F3" s="48"/>
      <c r="H3" s="2"/>
      <c r="I3" s="2"/>
      <c r="J3" s="2"/>
      <c r="K3" s="2"/>
      <c r="L3" s="2"/>
      <c r="M3" s="2"/>
      <c r="N3" s="2"/>
      <c r="O3" s="2"/>
      <c r="P3" s="2"/>
      <c r="Q3" s="2"/>
      <c r="R3" s="2"/>
      <c r="S3" s="48"/>
    </row>
    <row r="4" customFormat="false" ht="16.4" hidden="false" customHeight="true" outlineLevel="0" collapsed="false">
      <c r="A4" s="1" t="s">
        <v>487</v>
      </c>
      <c r="B4" s="47" t="s">
        <v>488</v>
      </c>
      <c r="C4" s="47"/>
      <c r="D4" s="47" t="s">
        <v>489</v>
      </c>
      <c r="E4" s="47"/>
      <c r="H4" s="33" t="s">
        <v>490</v>
      </c>
      <c r="I4" s="33"/>
      <c r="J4" s="25" t="s">
        <v>491</v>
      </c>
      <c r="K4" s="25"/>
      <c r="L4" s="78" t="s">
        <v>492</v>
      </c>
      <c r="M4" s="78" t="s">
        <v>493</v>
      </c>
      <c r="N4" s="25" t="s">
        <v>494</v>
      </c>
      <c r="O4" s="25" t="s">
        <v>495</v>
      </c>
      <c r="P4" s="25" t="s">
        <v>496</v>
      </c>
      <c r="Q4" s="25" t="s">
        <v>497</v>
      </c>
      <c r="R4" s="25" t="s">
        <v>10</v>
      </c>
      <c r="T4" s="79" t="s">
        <v>20</v>
      </c>
      <c r="U4" s="79"/>
      <c r="V4" s="79"/>
      <c r="W4" s="79"/>
      <c r="X4" s="79"/>
    </row>
    <row r="5" customFormat="false" ht="16.4" hidden="false" customHeight="false" outlineLevel="0" collapsed="false">
      <c r="A5" s="80" t="n">
        <v>0</v>
      </c>
      <c r="B5" s="34" t="n">
        <v>4.58</v>
      </c>
      <c r="C5" s="34"/>
      <c r="D5" s="34" t="n">
        <v>2.05</v>
      </c>
      <c r="E5" s="34"/>
      <c r="F5" s="5" t="str">
        <f aca="false">IF(OR(ISBLANK(B5),ISBLANK(D5)), IncompleteText, OKText)</f>
        <v>OK</v>
      </c>
      <c r="H5" s="33"/>
      <c r="I5" s="33"/>
      <c r="J5" s="25"/>
      <c r="K5" s="25"/>
      <c r="L5" s="78"/>
      <c r="M5" s="78"/>
      <c r="N5" s="25"/>
      <c r="O5" s="25"/>
      <c r="P5" s="25"/>
      <c r="Q5" s="25"/>
      <c r="R5" s="25"/>
      <c r="T5" s="79"/>
      <c r="U5" s="79"/>
      <c r="V5" s="79"/>
      <c r="W5" s="79"/>
      <c r="X5" s="79"/>
    </row>
    <row r="6" customFormat="false" ht="13.5" hidden="false" customHeight="false" outlineLevel="0" collapsed="false">
      <c r="A6" s="80" t="n">
        <v>0.2</v>
      </c>
      <c r="B6" s="34" t="n">
        <v>3.8</v>
      </c>
      <c r="C6" s="34"/>
      <c r="D6" s="34" t="n">
        <v>1.69</v>
      </c>
      <c r="E6" s="34"/>
      <c r="F6" s="5" t="str">
        <f aca="false">IF(OR(ISBLANK(B6),ISBLANK(D6)),IncompleteText,IF(OR(AND(_xlfn.XOR(B6&lt;D6,B5&lt;D5),B5&lt;&gt;D5),B6=D6),ErrorText,OKText))</f>
        <v>OK</v>
      </c>
      <c r="H6" s="46" t="s">
        <v>498</v>
      </c>
      <c r="I6" s="46"/>
      <c r="J6" s="7" t="s">
        <v>499</v>
      </c>
      <c r="K6" s="7"/>
      <c r="L6" s="29" t="s">
        <v>500</v>
      </c>
      <c r="M6" s="29" t="s">
        <v>501</v>
      </c>
      <c r="N6" s="29" t="s">
        <v>502</v>
      </c>
      <c r="O6" s="29" t="s">
        <v>502</v>
      </c>
      <c r="P6" s="29" t="s">
        <v>502</v>
      </c>
      <c r="Q6" s="29" t="s">
        <v>502</v>
      </c>
      <c r="R6" s="34"/>
      <c r="S6" s="5" t="str">
        <f aca="false">IF(COUNTBLANK(J6:L6)&gt;1, IncompleteText, OKText)</f>
        <v>OK</v>
      </c>
      <c r="T6" s="7"/>
      <c r="U6" s="7"/>
      <c r="V6" s="7"/>
      <c r="W6" s="7"/>
      <c r="X6" s="7"/>
    </row>
    <row r="7" customFormat="false" ht="13.5" hidden="false" customHeight="false" outlineLevel="0" collapsed="false">
      <c r="A7" s="80" t="n">
        <v>0.4</v>
      </c>
      <c r="B7" s="34" t="n">
        <v>2.92</v>
      </c>
      <c r="C7" s="34"/>
      <c r="D7" s="34" t="n">
        <v>1.35</v>
      </c>
      <c r="E7" s="34"/>
      <c r="F7" s="5" t="str">
        <f aca="false">IF(OR(ISBLANK(B7),ISBLANK(D7)), IncompleteText, IF(OR(_xlfn.XOR(B7&lt;D7,B6&lt;D6),B7=D7), ErrorText, OKText))</f>
        <v>OK</v>
      </c>
      <c r="H7" s="7" t="s">
        <v>499</v>
      </c>
      <c r="I7" s="7"/>
      <c r="J7" s="7" t="s">
        <v>503</v>
      </c>
      <c r="K7" s="7"/>
      <c r="L7" s="29" t="s">
        <v>504</v>
      </c>
      <c r="M7" s="29" t="s">
        <v>501</v>
      </c>
      <c r="N7" s="29" t="s">
        <v>501</v>
      </c>
      <c r="O7" s="29" t="s">
        <v>501</v>
      </c>
      <c r="P7" s="29" t="s">
        <v>501</v>
      </c>
      <c r="Q7" s="29" t="s">
        <v>501</v>
      </c>
      <c r="R7" s="34"/>
      <c r="S7" s="5" t="str">
        <f aca="false">IF(ISBLANK(J7), "", IF(ISBLANK(L7), IncompleteText, OKText))</f>
        <v>OK</v>
      </c>
      <c r="T7" s="7"/>
      <c r="U7" s="7"/>
      <c r="V7" s="7"/>
      <c r="W7" s="7"/>
      <c r="X7" s="7"/>
    </row>
    <row r="8" customFormat="false" ht="13.5" hidden="false" customHeight="false" outlineLevel="0" collapsed="false">
      <c r="A8" s="80" t="n">
        <v>0.6</v>
      </c>
      <c r="B8" s="34" t="n">
        <v>2.27</v>
      </c>
      <c r="C8" s="34"/>
      <c r="D8" s="34" t="n">
        <v>1.03</v>
      </c>
      <c r="E8" s="34"/>
      <c r="F8" s="5" t="str">
        <f aca="false">IF(OR(ISBLANK(B8),ISBLANK(D8)), IncompleteText, IF(OR(_xlfn.XOR(B8&lt;D8,B7&lt;D7),B8=D8), ErrorText, OKText))</f>
        <v>OK</v>
      </c>
      <c r="H8" s="7" t="s">
        <v>503</v>
      </c>
      <c r="I8" s="7"/>
      <c r="J8" s="7" t="s">
        <v>222</v>
      </c>
      <c r="K8" s="7"/>
      <c r="L8" s="29" t="s">
        <v>500</v>
      </c>
      <c r="M8" s="29" t="s">
        <v>501</v>
      </c>
      <c r="N8" s="29" t="s">
        <v>502</v>
      </c>
      <c r="O8" s="29" t="s">
        <v>502</v>
      </c>
      <c r="P8" s="29" t="s">
        <v>502</v>
      </c>
      <c r="Q8" s="29" t="s">
        <v>502</v>
      </c>
      <c r="R8" s="34"/>
      <c r="S8" s="5" t="str">
        <f aca="false">IF(ISBLANK(J8), "", IF(ISBLANK(L8), IncompleteText, OKText))</f>
        <v>OK</v>
      </c>
      <c r="T8" s="7"/>
      <c r="U8" s="7"/>
      <c r="V8" s="7"/>
      <c r="W8" s="7"/>
      <c r="X8" s="7"/>
    </row>
    <row r="9" customFormat="false" ht="13.5" hidden="false" customHeight="false" outlineLevel="0" collapsed="false">
      <c r="A9" s="80" t="n">
        <v>0.8</v>
      </c>
      <c r="B9" s="34" t="n">
        <v>1.5</v>
      </c>
      <c r="C9" s="34"/>
      <c r="D9" s="34" t="n">
        <v>0.704</v>
      </c>
      <c r="E9" s="34"/>
      <c r="F9" s="5" t="str">
        <f aca="false">IF(OR(ISBLANK(B9),ISBLANK(D9)), IncompleteText, IF(OR(_xlfn.XOR(B9&lt;D9,B8&lt;D8),B9=D9), ErrorText, OKText))</f>
        <v>OK</v>
      </c>
      <c r="H9" s="7"/>
      <c r="I9" s="7"/>
      <c r="J9" s="7"/>
      <c r="K9" s="7"/>
      <c r="L9" s="29"/>
      <c r="M9" s="29"/>
      <c r="N9" s="29"/>
      <c r="O9" s="29"/>
      <c r="P9" s="29"/>
      <c r="Q9" s="29"/>
      <c r="R9" s="34"/>
      <c r="S9" s="5" t="str">
        <f aca="false">IF(ISBLANK(J9), "", IF(ISBLANK(L9), IncompleteText, OKText))</f>
        <v/>
      </c>
      <c r="T9" s="7"/>
      <c r="U9" s="7"/>
      <c r="V9" s="7"/>
      <c r="W9" s="7"/>
      <c r="X9" s="7"/>
    </row>
    <row r="10" customFormat="false" ht="13.5" hidden="false" customHeight="false" outlineLevel="0" collapsed="false">
      <c r="A10" s="80" t="n">
        <v>1</v>
      </c>
      <c r="B10" s="34" t="n">
        <v>0.731</v>
      </c>
      <c r="C10" s="34"/>
      <c r="D10" s="34" t="n">
        <v>0.361</v>
      </c>
      <c r="E10" s="34"/>
      <c r="F10" s="5" t="str">
        <f aca="false">IF(OR(ISBLANK(B10),ISBLANK(D10)), IncompleteText, IF(OR(_xlfn.XOR(B10&lt;D10,B9&lt;D9),B10=D10), ErrorText, OKText))</f>
        <v>OK</v>
      </c>
      <c r="H10" s="7" t="str">
        <f aca="false">IF(ISBLANK(J9),"",J9)</f>
        <v/>
      </c>
      <c r="I10" s="7"/>
      <c r="J10" s="7"/>
      <c r="K10" s="7"/>
      <c r="L10" s="29"/>
      <c r="M10" s="29"/>
      <c r="N10" s="29"/>
      <c r="O10" s="29"/>
      <c r="P10" s="29"/>
      <c r="Q10" s="29"/>
      <c r="R10" s="34"/>
      <c r="S10" s="5" t="str">
        <f aca="false">IF(ISBLANK(J10), "", IF(ISBLANK(L10), IncompleteText, OKText))</f>
        <v/>
      </c>
      <c r="T10" s="7"/>
      <c r="U10" s="7"/>
      <c r="V10" s="7"/>
      <c r="W10" s="7"/>
      <c r="X10" s="7"/>
    </row>
    <row r="11" customFormat="false" ht="16.4" hidden="false" customHeight="false" outlineLevel="0" collapsed="false">
      <c r="H11" s="7" t="str">
        <f aca="false">IF(ISBLANK(J10),"",J10)</f>
        <v/>
      </c>
      <c r="I11" s="7"/>
      <c r="J11" s="7"/>
      <c r="K11" s="7"/>
      <c r="L11" s="29"/>
      <c r="M11" s="29"/>
      <c r="N11" s="29"/>
      <c r="O11" s="29"/>
      <c r="P11" s="29"/>
      <c r="Q11" s="29"/>
      <c r="R11" s="34"/>
      <c r="S11" s="5" t="str">
        <f aca="false">IF(ISBLANK(J11), "", IF(ISBLANK(L11), IncompleteText, OKText))</f>
        <v/>
      </c>
      <c r="T11" s="7" t="s">
        <v>505</v>
      </c>
      <c r="U11" s="7"/>
      <c r="V11" s="7"/>
      <c r="W11" s="7"/>
      <c r="X11" s="7"/>
    </row>
    <row r="12" customFormat="false" ht="16.4" hidden="false" customHeight="false" outlineLevel="0" collapsed="false"/>
    <row r="13" customFormat="false" ht="16.4" hidden="false" customHeight="false" outlineLevel="0" collapsed="false"/>
    <row r="14" customFormat="false" ht="16.4" hidden="false" customHeight="false" outlineLevel="0" collapsed="false"/>
    <row r="15" customFormat="false" ht="16.4"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6.4" hidden="false" customHeight="false" outlineLevel="0" collapsed="false"/>
    <row r="22" customFormat="false" ht="16.4" hidden="false" customHeight="false" outlineLevel="0" collapsed="false"/>
    <row r="23" customFormat="false" ht="16.4" hidden="false" customHeight="false" outlineLevel="0" collapsed="false"/>
    <row r="24" customFormat="false" ht="16.4" hidden="false" customHeight="false" outlineLevel="0" collapsed="false"/>
    <row r="25" customFormat="false" ht="16.4" hidden="false" customHeight="false" outlineLevel="0" collapsed="false"/>
    <row r="26" customFormat="false" ht="15" hidden="false" customHeight="true" outlineLevel="0" collapsed="false"/>
    <row r="28" customFormat="false" ht="13.5" hidden="false" customHeight="false" outlineLevel="0" collapsed="false">
      <c r="A28" s="81"/>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P4:P5"/>
    <mergeCell ref="Q4:Q5"/>
    <mergeCell ref="R4:R5"/>
    <mergeCell ref="T4:X5"/>
    <mergeCell ref="B5:C5"/>
    <mergeCell ref="D5:E5"/>
    <mergeCell ref="B6:C6"/>
    <mergeCell ref="D6:E6"/>
    <mergeCell ref="H6:I6"/>
    <mergeCell ref="J6:K6"/>
    <mergeCell ref="T6:X6"/>
    <mergeCell ref="B7:C7"/>
    <mergeCell ref="D7:E7"/>
    <mergeCell ref="H7:I7"/>
    <mergeCell ref="J7:K7"/>
    <mergeCell ref="T7:X7"/>
    <mergeCell ref="B8:C8"/>
    <mergeCell ref="D8:E8"/>
    <mergeCell ref="H8:I8"/>
    <mergeCell ref="J8:K8"/>
    <mergeCell ref="T8:X8"/>
    <mergeCell ref="B9:C9"/>
    <mergeCell ref="D9:E9"/>
    <mergeCell ref="H9:I9"/>
    <mergeCell ref="J9:K9"/>
    <mergeCell ref="T9:X9"/>
    <mergeCell ref="B10:C10"/>
    <mergeCell ref="D10:E10"/>
    <mergeCell ref="H10:I10"/>
    <mergeCell ref="J10:K10"/>
    <mergeCell ref="T10:X10"/>
    <mergeCell ref="H11:I11"/>
    <mergeCell ref="J11:K11"/>
    <mergeCell ref="T11:X11"/>
  </mergeCells>
  <dataValidations count="1">
    <dataValidation allowBlank="true" errorStyle="stop" operator="between" showDropDown="false" showErrorMessage="true" showInputMessage="true" sqref="L6:L11" type="list">
      <formula1>"Analog,Digital"</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
  <sheetViews>
    <sheetView showFormulas="false" showGridLines="true" showRowColHeaders="true" showZeros="true" rightToLeft="false" tabSelected="false" showOutlineSymbols="true" defaultGridColor="true" view="normal" topLeftCell="A2" colorId="64" zoomScale="75" zoomScaleNormal="75" zoomScalePageLayoutView="100" workbookViewId="0">
      <selection pane="topLeft" activeCell="K30" activeCellId="0" sqref="K30"/>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IF(SUM(COUNTIF(INDIRECT({"Other!$F$2","Other!$L$2","Other!$H$28"}), "="&amp;IncompleteText)), IncompleteText, IF(SUM(COUNTIF(INDIRECT({"Other!$F$2","Other!$L$2","Other!$H$28"}), "="&amp;ErrorText)), ErrorText, OKText))</f>
        <v>OK</v>
      </c>
    </row>
    <row r="2" customFormat="false" ht="13.8" hidden="false" customHeight="false" outlineLevel="0" collapsed="false">
      <c r="A2" s="2" t="s">
        <v>220</v>
      </c>
      <c r="B2" s="2"/>
      <c r="C2" s="2"/>
      <c r="D2" s="2"/>
      <c r="E2" s="2"/>
      <c r="F2" s="5" t="str">
        <f aca="false">IF(COUNTIF(F3:F7, "="&amp;IncompleteText), IncompleteText, IF(COUNTIF(F3:F7, "="&amp;ErrorText), ErrorText, OKText))</f>
        <v>OK</v>
      </c>
      <c r="G2" s="2" t="s">
        <v>222</v>
      </c>
      <c r="H2" s="2"/>
      <c r="I2" s="2"/>
      <c r="J2" s="2"/>
      <c r="K2" s="2"/>
      <c r="L2" s="5" t="str">
        <f aca="false">IF(COUNTIF(L3:L5, "="&amp;IncompleteText), IncompleteText, IF(COUNTIF(L3:L5, "="&amp;ErrorText), ErrorText, OKText))</f>
        <v>OK</v>
      </c>
    </row>
    <row r="3" customFormat="false" ht="13.8" hidden="false" customHeight="false" outlineLevel="0" collapsed="false">
      <c r="A3" s="22" t="s">
        <v>30</v>
      </c>
      <c r="B3" s="22"/>
      <c r="C3" s="22"/>
      <c r="D3" s="7" t="s">
        <v>506</v>
      </c>
      <c r="E3" s="7"/>
      <c r="F3" s="5" t="str">
        <f aca="false">IF(ISBLANK(D3), IncompleteText, OKText)</f>
        <v>OK</v>
      </c>
      <c r="G3" s="22" t="s">
        <v>30</v>
      </c>
      <c r="H3" s="22"/>
      <c r="I3" s="22"/>
      <c r="J3" s="7" t="s">
        <v>507</v>
      </c>
      <c r="K3" s="7"/>
      <c r="L3" s="5" t="str">
        <f aca="false">IF(ISBLANK(J3), IncompleteText, OKText)</f>
        <v>OK</v>
      </c>
    </row>
    <row r="4" customFormat="false" ht="13.8" hidden="false" customHeight="false" outlineLevel="0" collapsed="false">
      <c r="A4" s="20" t="s">
        <v>32</v>
      </c>
      <c r="B4" s="20"/>
      <c r="C4" s="20"/>
      <c r="D4" s="7" t="s">
        <v>508</v>
      </c>
      <c r="E4" s="7"/>
      <c r="F4" s="5" t="str">
        <f aca="false">IF(ISBLANK(D4), IncompleteText, OKText)</f>
        <v>OK</v>
      </c>
      <c r="G4" s="20" t="s">
        <v>32</v>
      </c>
      <c r="H4" s="20"/>
      <c r="I4" s="20"/>
      <c r="J4" s="7" t="s">
        <v>509</v>
      </c>
      <c r="K4" s="7"/>
      <c r="L4" s="5" t="str">
        <f aca="false">IF(ISBLANK(J4), IncompleteText, OKText)</f>
        <v>OK</v>
      </c>
    </row>
    <row r="5" customFormat="false" ht="16.4" hidden="false" customHeight="false" outlineLevel="0" collapsed="false">
      <c r="A5" s="22" t="s">
        <v>45</v>
      </c>
      <c r="B5" s="22"/>
      <c r="C5" s="22"/>
      <c r="D5" s="7" t="s">
        <v>510</v>
      </c>
      <c r="E5" s="7"/>
      <c r="F5" s="5" t="str">
        <f aca="false">IF(ISBLANK(D5), IncompleteText, OKText)</f>
        <v>OK</v>
      </c>
      <c r="G5" s="22" t="s">
        <v>45</v>
      </c>
      <c r="H5" s="22"/>
      <c r="I5" s="22"/>
      <c r="J5" s="7" t="s">
        <v>511</v>
      </c>
      <c r="K5" s="7"/>
      <c r="L5" s="5" t="str">
        <f aca="false">IF(ISBLANK(J5), IncompleteText, OKText)</f>
        <v>OK</v>
      </c>
    </row>
    <row r="6" customFormat="false" ht="13.5" hidden="false" customHeight="true" outlineLevel="0" collapsed="false">
      <c r="A6" s="82" t="s">
        <v>512</v>
      </c>
      <c r="B6" s="82"/>
      <c r="C6" s="82"/>
      <c r="D6" s="34" t="n">
        <v>10000</v>
      </c>
      <c r="E6" s="83" t="s">
        <v>17</v>
      </c>
      <c r="F6" s="84" t="str">
        <f aca="false">IF(ISBLANK(D6),IncompleteText,IF(D6&lt;MaxTSVoltage,ErrorText,OKText))</f>
        <v>OK</v>
      </c>
    </row>
    <row r="7" customFormat="false" ht="13.5" hidden="false" customHeight="false" outlineLevel="0" collapsed="false">
      <c r="A7" s="82"/>
      <c r="B7" s="82"/>
      <c r="C7" s="82"/>
      <c r="D7" s="34"/>
      <c r="E7" s="83"/>
      <c r="F7" s="84"/>
    </row>
    <row r="9" customFormat="false" ht="13.5" hidden="false" customHeight="true" outlineLevel="0" collapsed="false">
      <c r="A9" s="85" t="s">
        <v>513</v>
      </c>
      <c r="B9" s="85"/>
      <c r="C9" s="85"/>
      <c r="D9" s="85"/>
      <c r="E9" s="85"/>
      <c r="F9" s="85"/>
      <c r="G9" s="85"/>
      <c r="H9" s="85"/>
    </row>
    <row r="10" customFormat="false" ht="13.5" hidden="false" customHeight="false" outlineLevel="0" collapsed="false">
      <c r="A10" s="85"/>
      <c r="B10" s="85"/>
      <c r="C10" s="85"/>
      <c r="D10" s="85"/>
      <c r="E10" s="85"/>
      <c r="F10" s="85"/>
      <c r="G10" s="85"/>
      <c r="H10" s="85"/>
    </row>
    <row r="11" customFormat="false" ht="16.4" hidden="false" customHeight="false" outlineLevel="0" collapsed="false">
      <c r="A11" s="85"/>
      <c r="B11" s="85"/>
      <c r="C11" s="85"/>
      <c r="D11" s="85"/>
      <c r="E11" s="85"/>
      <c r="F11" s="85"/>
      <c r="G11" s="85"/>
      <c r="H11" s="85"/>
    </row>
    <row r="12" customFormat="false" ht="16.4" hidden="false" customHeight="false" outlineLevel="0" collapsed="false">
      <c r="A12" s="85"/>
      <c r="B12" s="85"/>
      <c r="C12" s="85"/>
      <c r="D12" s="85"/>
      <c r="E12" s="85"/>
      <c r="F12" s="85"/>
      <c r="G12" s="85"/>
      <c r="H12" s="85"/>
    </row>
    <row r="13" customFormat="false" ht="16.4" hidden="false" customHeight="false" outlineLevel="0" collapsed="false">
      <c r="A13" s="85"/>
      <c r="B13" s="85"/>
      <c r="C13" s="85"/>
      <c r="D13" s="85"/>
      <c r="E13" s="85"/>
      <c r="F13" s="85"/>
      <c r="G13" s="85"/>
      <c r="H13" s="85"/>
    </row>
    <row r="14" customFormat="false" ht="16.4" hidden="false" customHeight="false" outlineLevel="0" collapsed="false">
      <c r="A14" s="85"/>
      <c r="B14" s="85"/>
      <c r="C14" s="85"/>
      <c r="D14" s="85"/>
      <c r="E14" s="85"/>
      <c r="F14" s="85"/>
      <c r="G14" s="85"/>
      <c r="H14" s="85"/>
    </row>
    <row r="15" customFormat="false" ht="16.4" hidden="false" customHeight="false" outlineLevel="0" collapsed="false">
      <c r="A15" s="85"/>
      <c r="B15" s="85"/>
      <c r="C15" s="85"/>
      <c r="D15" s="85"/>
      <c r="E15" s="85"/>
      <c r="F15" s="85"/>
      <c r="G15" s="85"/>
      <c r="H15" s="85"/>
    </row>
    <row r="16" customFormat="false" ht="13.8" hidden="false" customHeight="false" outlineLevel="0" collapsed="false">
      <c r="A16" s="85"/>
      <c r="B16" s="85"/>
      <c r="C16" s="85"/>
      <c r="D16" s="85"/>
      <c r="E16" s="85"/>
      <c r="F16" s="85"/>
      <c r="G16" s="85"/>
      <c r="H16" s="85"/>
    </row>
    <row r="17" customFormat="false" ht="13.8" hidden="false" customHeight="false" outlineLevel="0" collapsed="false">
      <c r="A17" s="85"/>
      <c r="B17" s="85"/>
      <c r="C17" s="85"/>
      <c r="D17" s="85"/>
      <c r="E17" s="85"/>
      <c r="F17" s="85"/>
      <c r="G17" s="85"/>
      <c r="H17" s="85"/>
    </row>
    <row r="18" customFormat="false" ht="13.8" hidden="false" customHeight="false" outlineLevel="0" collapsed="false">
      <c r="A18" s="85"/>
      <c r="B18" s="85"/>
      <c r="C18" s="85"/>
      <c r="D18" s="85"/>
      <c r="E18" s="85"/>
      <c r="F18" s="85"/>
      <c r="G18" s="85"/>
      <c r="H18" s="85"/>
    </row>
    <row r="19" customFormat="false" ht="13.8" hidden="false" customHeight="false" outlineLevel="0" collapsed="false">
      <c r="A19" s="85"/>
      <c r="B19" s="85"/>
      <c r="C19" s="85"/>
      <c r="D19" s="85"/>
      <c r="E19" s="85"/>
      <c r="F19" s="85"/>
      <c r="G19" s="85"/>
      <c r="H19" s="85"/>
    </row>
    <row r="20" customFormat="false" ht="16.4" hidden="false" customHeight="false" outlineLevel="0" collapsed="false">
      <c r="A20" s="85"/>
      <c r="B20" s="85"/>
      <c r="C20" s="85"/>
      <c r="D20" s="85"/>
      <c r="E20" s="85"/>
      <c r="F20" s="85"/>
      <c r="G20" s="85"/>
      <c r="H20" s="85"/>
    </row>
    <row r="21" customFormat="false" ht="13.5" hidden="false" customHeight="false" outlineLevel="0" collapsed="false">
      <c r="A21" s="85"/>
      <c r="B21" s="85"/>
      <c r="C21" s="85"/>
      <c r="D21" s="85"/>
      <c r="E21" s="85"/>
      <c r="F21" s="85"/>
      <c r="G21" s="85"/>
      <c r="H21" s="85"/>
    </row>
    <row r="22" customFormat="false" ht="16.4" hidden="false" customHeight="false" outlineLevel="0" collapsed="false">
      <c r="A22" s="85"/>
      <c r="B22" s="85"/>
      <c r="C22" s="85"/>
      <c r="D22" s="85"/>
      <c r="E22" s="85"/>
      <c r="F22" s="85"/>
      <c r="G22" s="85"/>
      <c r="H22" s="85"/>
    </row>
    <row r="23" customFormat="false" ht="16.4" hidden="false" customHeight="false" outlineLevel="0" collapsed="false">
      <c r="A23" s="85"/>
      <c r="B23" s="85"/>
      <c r="C23" s="85"/>
      <c r="D23" s="85"/>
      <c r="E23" s="85"/>
      <c r="F23" s="85"/>
      <c r="G23" s="85"/>
      <c r="H23" s="85"/>
    </row>
    <row r="24" customFormat="false" ht="16.4" hidden="false" customHeight="false" outlineLevel="0" collapsed="false">
      <c r="A24" s="85"/>
      <c r="B24" s="85"/>
      <c r="C24" s="85"/>
      <c r="D24" s="85"/>
      <c r="E24" s="85"/>
      <c r="F24" s="85"/>
      <c r="G24" s="85"/>
      <c r="H24" s="85"/>
    </row>
    <row r="25" customFormat="false" ht="16.4" hidden="false" customHeight="false" outlineLevel="0" collapsed="false">
      <c r="A25" s="85"/>
      <c r="B25" s="85"/>
      <c r="C25" s="85"/>
      <c r="D25" s="85"/>
      <c r="E25" s="85"/>
      <c r="F25" s="85"/>
      <c r="G25" s="85"/>
      <c r="H25" s="85"/>
    </row>
    <row r="26" customFormat="false" ht="16.4" hidden="false" customHeight="false" outlineLevel="0" collapsed="false">
      <c r="A26" s="85"/>
      <c r="B26" s="85"/>
      <c r="C26" s="85"/>
      <c r="D26" s="85"/>
      <c r="E26" s="85"/>
      <c r="F26" s="85"/>
      <c r="G26" s="85"/>
      <c r="H26" s="85"/>
    </row>
    <row r="27" customFormat="false" ht="16.4" hidden="false" customHeight="false" outlineLevel="0" collapsed="false">
      <c r="A27" s="85"/>
      <c r="B27" s="85"/>
      <c r="C27" s="85"/>
      <c r="D27" s="85"/>
      <c r="E27" s="85"/>
      <c r="F27" s="85"/>
      <c r="G27" s="85"/>
      <c r="H27" s="85"/>
    </row>
    <row r="28" customFormat="false" ht="16.4" hidden="false" customHeight="false" outlineLevel="0" collapsed="false">
      <c r="A28" s="2" t="s">
        <v>514</v>
      </c>
      <c r="B28" s="2"/>
      <c r="C28" s="2"/>
      <c r="D28" s="2"/>
      <c r="E28" s="2"/>
      <c r="F28" s="2"/>
      <c r="G28" s="2"/>
      <c r="H28" s="5" t="str">
        <f aca="false">IF(COUNTIF(H29, "="&amp;IncompleteText), IncompleteText, IF(COUNTIF(H29, "="&amp;ErrorText), ErrorText, OKText))</f>
        <v>OK</v>
      </c>
    </row>
    <row r="29" customFormat="false" ht="16.4" hidden="false" customHeight="false" outlineLevel="0" collapsed="false">
      <c r="A29" s="22" t="s">
        <v>515</v>
      </c>
      <c r="B29" s="22"/>
      <c r="C29" s="22"/>
      <c r="D29" s="22"/>
      <c r="E29" s="22"/>
      <c r="F29" s="22"/>
      <c r="G29" s="44" t="b">
        <f aca="false">TRUE()</f>
        <v>1</v>
      </c>
      <c r="H29" s="45" t="str">
        <f aca="false">IF(ISBLANK(G29),IncompleteText, IF(G29, OKText, ErrorText))</f>
        <v>OK</v>
      </c>
    </row>
    <row r="30" customFormat="false" ht="16.4" hidden="false" customHeight="false" outlineLevel="0" collapsed="false">
      <c r="A30" s="2" t="s">
        <v>20</v>
      </c>
      <c r="B30" s="2"/>
      <c r="C30" s="2"/>
      <c r="D30" s="2"/>
      <c r="E30" s="2"/>
      <c r="F30" s="2"/>
      <c r="G30" s="2"/>
    </row>
    <row r="31" customFormat="false" ht="16.4" hidden="false" customHeight="false" outlineLevel="0" collapsed="false">
      <c r="A31" s="74"/>
      <c r="B31" s="74"/>
      <c r="C31" s="74"/>
      <c r="D31" s="74"/>
      <c r="E31" s="74"/>
      <c r="F31" s="74"/>
      <c r="G31" s="74"/>
    </row>
    <row r="32" customFormat="false" ht="16.4" hidden="false" customHeight="false" outlineLevel="0" collapsed="false">
      <c r="A32" s="74"/>
      <c r="B32" s="74"/>
      <c r="C32" s="74"/>
      <c r="D32" s="74"/>
      <c r="E32" s="74"/>
      <c r="F32" s="74"/>
      <c r="G32" s="74"/>
    </row>
    <row r="33" customFormat="false" ht="16.4" hidden="false" customHeight="false" outlineLevel="0" collapsed="false">
      <c r="A33" s="74"/>
      <c r="B33" s="74"/>
      <c r="C33" s="74"/>
      <c r="D33" s="74"/>
      <c r="E33" s="74"/>
      <c r="F33" s="74"/>
      <c r="G33" s="74"/>
    </row>
    <row r="34" customFormat="false" ht="16.4" hidden="false" customHeight="false" outlineLevel="0" collapsed="false">
      <c r="A34" s="74"/>
      <c r="B34" s="74"/>
      <c r="C34" s="74"/>
      <c r="D34" s="74"/>
      <c r="E34" s="74"/>
      <c r="F34" s="74"/>
      <c r="G34" s="74"/>
    </row>
  </sheetData>
  <mergeCells count="23">
    <mergeCell ref="A2:E2"/>
    <mergeCell ref="G2:K2"/>
    <mergeCell ref="A3:C3"/>
    <mergeCell ref="D3:E3"/>
    <mergeCell ref="G3:I3"/>
    <mergeCell ref="J3:K3"/>
    <mergeCell ref="A4:C4"/>
    <mergeCell ref="D4:E4"/>
    <mergeCell ref="G4:I4"/>
    <mergeCell ref="J4:K4"/>
    <mergeCell ref="A5:C5"/>
    <mergeCell ref="D5:E5"/>
    <mergeCell ref="G5:I5"/>
    <mergeCell ref="J5:K5"/>
    <mergeCell ref="A6:C7"/>
    <mergeCell ref="D6:D7"/>
    <mergeCell ref="E6:E7"/>
    <mergeCell ref="F6:F7"/>
    <mergeCell ref="A9:H27"/>
    <mergeCell ref="A28:G28"/>
    <mergeCell ref="A29:F29"/>
    <mergeCell ref="A30:G30"/>
    <mergeCell ref="A31:G34"/>
  </mergeCells>
  <conditionalFormatting sqref="H29">
    <cfRule type="expression" priority="2" aboveAverage="0" equalAverage="0" bottom="0" percent="0" rank="0" text="" dxfId="21">
      <formula>$D$59 = "Team Designed"</formula>
    </cfRule>
  </conditionalFormatting>
  <dataValidations count="1">
    <dataValidation allowBlank="true" errorStyle="stop" operator="between" showDropDown="false" showErrorMessage="true" showInputMessage="true" sqref="G29" type="list">
      <formula1>"TRUE,FALSE"</formula1>
      <formula2>0</formula2>
    </dataValidation>
  </dataValidations>
  <hyperlinks>
    <hyperlink ref="D5" r:id="rId2" display="https://www.unitek-industrie-elektronik.de/images/pdf/BAMOCAR%20Digital/BAMOCAR-PG-D3-700-400_EN.pdf"/>
    <hyperlink ref="J5" r:id="rId3" display="https://emrax.com/wp-content/uploads/2017/01/emrax_228_technical_data_4.5.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Template/>
  <TotalTime>6</TotalTime>
  <Application>LibreOffice/24.2.0.3$Linux_X86_64 LibreOffice_project/420$Build-3</Application>
  <AppVersion>15.0000</AppVersion>
  <Company>Deere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Bocci Daniel J</dc:creator>
  <dc:description/>
  <dc:language>en-US</dc:language>
  <cp:lastModifiedBy/>
  <dcterms:modified xsi:type="dcterms:W3CDTF">2024-03-05T19:51:23Z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