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<sst xmlns="http://schemas.openxmlformats.org/spreadsheetml/2006/main" count="801" uniqueCount="516">
  <si>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</si>
  <si>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</si>
  <si>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</si>
  <si>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</si>
  <si>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</si>
  <si>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</si>
  <si>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</si>
  <si>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</si>
  <si>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</si>
  <si>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</si>
  <si>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</si>
  <si>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</si>
  <si>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</si>
  <si>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</si>
  <si>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</si>
  <si>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</si>
  <si>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</si>
  <si>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</si>
  <si>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</si>
  <si>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</si>
  <si>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</si>
  <si>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</si>
  <si>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</si>
  <si>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</si>
  <si>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</si>
  <si>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</si>
  <si>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</si>
  <si>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</si>
  <si>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</si>
  <si>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</si>
  <si>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</si>
  <si>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</si>
  <si>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</si>
  <si>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</si>
  <si>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</si>
  <si>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</si>
  <si>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</si>
  <si>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</si>
  <si>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</si>
  <si>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</si>
  <si>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</si>
  <si>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</si>
  <si>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</si>
  <si>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</si>
  <si>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</si>
  <si>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</si>
  <si>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</si>
  <si>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</si>
  <si>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</si>
  <si>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</si>
  <si>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</si>
  <si>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</si>
  <si>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</si>
  <si>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</si>
  <si>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</si>
  <si>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</si>
  <si>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</si>
  <si>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</si>
  <si>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</si>
  <si>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</si>
  <si>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</si>
  <si>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</si>
  <si>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</si>
  <si>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</si>
  <si>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</si>
  <si>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</si>
  <si>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</si>
  <si>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</si>
  <si>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EXRAD-HVX6X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</si>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</sst>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1">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87298118"/>
        <c:axId val="49172898"/>
      </c:scatterChart>
      <c:valAx>
        <c:axId val="87298118"/>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49172898"/>
        <c:crosses val="autoZero"/>
        <c:crossBetween val="midCat"/>
      </c:valAx>
      <c:valAx>
        <c:axId val="49172898"/>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87298118"/>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9720472"/>
        <c:axId val="39613714"/>
      </c:scatterChart>
      <c:valAx>
        <c:axId val="9720472"/>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39613714"/>
        <c:crosses val="autoZero"/>
        <c:crossBetween val="midCat"/>
      </c:valAx>
      <c:valAx>
        <c:axId val="39613714"/>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9720472"/>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602640</xdr:colOff>
      <xdr:row>23</xdr:row>
      <xdr:rowOff>136440</xdr:rowOff>
    </xdr:to>
    <xdr:pic>
      <xdr:nvPicPr>
        <xdr:cNvPr id="0" name="Picture 4" descr=""/>
        <xdr:cNvPicPr/>
      </xdr:nvPicPr>
      <xdr:blipFill>
        <a:blip r:embed="rId1"/>
        <a:stretch/>
      </xdr:blipFill>
      <xdr:spPr>
        <a:xfrm>
          <a:off x="8490960" y="403560"/>
          <a:ext cx="7498440" cy="3850200"/>
        </a:xfrm>
        <a:prstGeom prst="rect">
          <a:avLst/>
        </a:prstGeom>
        <a:ln w="0">
          <a:noFill/>
        </a:ln>
      </xdr:spPr>
    </xdr:pic>
    <xdr:clientData/>
  </xdr:twoCellAnchor>
  <xdr:twoCellAnchor editAs="oneCell">
    <xdr:from>
      <xdr:col>0</xdr:col>
      <xdr:colOff>101520</xdr:colOff>
      <xdr:row>1</xdr:row>
      <xdr:rowOff>101520</xdr:rowOff>
    </xdr:from>
    <xdr:to>
      <xdr:col>10</xdr:col>
      <xdr:colOff>698040</xdr:colOff>
      <xdr:row>18</xdr:row>
      <xdr:rowOff>97560</xdr:rowOff>
    </xdr:to>
    <xdr:pic>
      <xdr:nvPicPr>
        <xdr:cNvPr id="1" name="Picture 1" descr=""/>
        <xdr:cNvPicPr/>
      </xdr:nvPicPr>
      <xdr:blipFill>
        <a:blip r:embed="rId2"/>
        <a:stretch/>
      </xdr:blipFill>
      <xdr:spPr>
        <a:xfrm>
          <a:off x="101520" y="272880"/>
          <a:ext cx="7608960" cy="2999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123840</xdr:colOff>
      <xdr:row>72</xdr:row>
      <xdr:rowOff>61920</xdr:rowOff>
    </xdr:to>
    <xdr:graphicFrame>
      <xdr:nvGraphicFramePr>
        <xdr:cNvPr id="2" name="Chart 1"/>
        <xdr:cNvGraphicFramePr/>
      </xdr:nvGraphicFramePr>
      <xdr:xfrm>
        <a:off x="5082840" y="11624400"/>
        <a:ext cx="4637880" cy="2885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683280</xdr:colOff>
      <xdr:row>37</xdr:row>
      <xdr:rowOff>11880</xdr:rowOff>
    </xdr:to>
    <xdr:pic>
      <xdr:nvPicPr>
        <xdr:cNvPr id="3" name="Picture 3" descr=""/>
        <xdr:cNvPicPr/>
      </xdr:nvPicPr>
      <xdr:blipFill>
        <a:blip r:embed="rId2"/>
        <a:stretch/>
      </xdr:blipFill>
      <xdr:spPr>
        <a:xfrm>
          <a:off x="117360" y="5622840"/>
          <a:ext cx="1961640" cy="1521360"/>
        </a:xfrm>
        <a:prstGeom prst="rect">
          <a:avLst/>
        </a:prstGeom>
        <a:ln w="0">
          <a:noFill/>
        </a:ln>
      </xdr:spPr>
    </xdr:pic>
    <xdr:clientData/>
  </xdr:twoCellAnchor>
  <xdr:twoCellAnchor editAs="oneCell">
    <xdr:from>
      <xdr:col>0</xdr:col>
      <xdr:colOff>117360</xdr:colOff>
      <xdr:row>37</xdr:row>
      <xdr:rowOff>101160</xdr:rowOff>
    </xdr:from>
    <xdr:to>
      <xdr:col>2</xdr:col>
      <xdr:colOff>691560</xdr:colOff>
      <xdr:row>44</xdr:row>
      <xdr:rowOff>145440</xdr:rowOff>
    </xdr:to>
    <xdr:pic>
      <xdr:nvPicPr>
        <xdr:cNvPr id="4" name="Picture 6" descr=""/>
        <xdr:cNvPicPr/>
      </xdr:nvPicPr>
      <xdr:blipFill>
        <a:blip r:embed="rId3"/>
        <a:stretch/>
      </xdr:blipFill>
      <xdr:spPr>
        <a:xfrm>
          <a:off x="117360" y="7233480"/>
          <a:ext cx="1969920" cy="1502280"/>
        </a:xfrm>
        <a:prstGeom prst="rect">
          <a:avLst/>
        </a:prstGeom>
        <a:ln w="0">
          <a:noFill/>
        </a:ln>
      </xdr:spPr>
    </xdr:pic>
    <xdr:clientData/>
  </xdr:twoCellAnchor>
  <xdr:twoCellAnchor editAs="oneCell">
    <xdr:from>
      <xdr:col>3</xdr:col>
      <xdr:colOff>332280</xdr:colOff>
      <xdr:row>30</xdr:row>
      <xdr:rowOff>24840</xdr:rowOff>
    </xdr:from>
    <xdr:to>
      <xdr:col>7</xdr:col>
      <xdr:colOff>955440</xdr:colOff>
      <xdr:row>44</xdr:row>
      <xdr:rowOff>86760</xdr:rowOff>
    </xdr:to>
    <xdr:pic>
      <xdr:nvPicPr>
        <xdr:cNvPr id="5" name="Picture 9" descr=""/>
        <xdr:cNvPicPr/>
      </xdr:nvPicPr>
      <xdr:blipFill>
        <a:blip r:embed="rId4"/>
        <a:srcRect l="3342" t="3885" r="4832" b="2599"/>
        <a:stretch/>
      </xdr:blipFill>
      <xdr:spPr>
        <a:xfrm>
          <a:off x="2426040" y="5699160"/>
          <a:ext cx="3540240" cy="297792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290160</xdr:colOff>
      <xdr:row>42</xdr:row>
      <xdr:rowOff>207000</xdr:rowOff>
    </xdr:to>
    <xdr:pic>
      <xdr:nvPicPr>
        <xdr:cNvPr id="7" name="Picture 14" descr=""/>
        <xdr:cNvPicPr/>
      </xdr:nvPicPr>
      <xdr:blipFill>
        <a:blip r:embed="rId5"/>
        <a:stretch/>
      </xdr:blipFill>
      <xdr:spPr>
        <a:xfrm>
          <a:off x="7509240" y="5803920"/>
          <a:ext cx="3784320" cy="2576880"/>
        </a:xfrm>
        <a:prstGeom prst="rect">
          <a:avLst/>
        </a:prstGeom>
        <a:ln w="0">
          <a:noFill/>
        </a:ln>
      </xdr:spPr>
    </xdr:pic>
    <xdr:clientData/>
  </xdr:twoCellAnchor>
  <xdr:twoCellAnchor editAs="twoCell">
    <xdr:from>
      <xdr:col>14</xdr:col>
      <xdr:colOff>29160</xdr:colOff>
      <xdr:row>37</xdr:row>
      <xdr:rowOff>62640</xdr:rowOff>
    </xdr:from>
    <xdr:to>
      <xdr:col>16</xdr:col>
      <xdr:colOff>533880</xdr:colOff>
      <xdr:row>39</xdr:row>
      <xdr:rowOff>59040</xdr:rowOff>
    </xdr:to>
    <xdr:grpSp>
      <xdr:nvGrpSpPr>
        <xdr:cNvPr id="8" name="Group 15"/>
        <xdr:cNvGrpSpPr/>
      </xdr:nvGrpSpPr>
      <xdr:grpSpPr>
        <a:xfrm>
          <a:off x="10334520" y="7194960"/>
          <a:ext cx="1900440" cy="412920"/>
          <a:chOff x="10334520" y="7194960"/>
          <a:chExt cx="1900440" cy="412920"/>
        </a:xfrm>
      </xdr:grpSpPr>
      <xdr:sp>
        <xdr:nvSpPr>
          <xdr:cNvPr id="9" name="TextBox 16"/>
          <xdr:cNvSpPr/>
        </xdr:nvSpPr>
        <xdr:spPr>
          <a:xfrm>
            <a:off x="10992240" y="7356960"/>
            <a:ext cx="1242720" cy="25092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9520" cy="29052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1062720</xdr:colOff>
      <xdr:row>43</xdr:row>
      <xdr:rowOff>202320</xdr:rowOff>
    </xdr:to>
    <xdr:pic>
      <xdr:nvPicPr>
        <xdr:cNvPr id="11" name="Picture 19" descr=""/>
        <xdr:cNvPicPr/>
      </xdr:nvPicPr>
      <xdr:blipFill>
        <a:blip r:embed="rId6"/>
        <a:srcRect l="4398" t="0" r="6484" b="14839"/>
        <a:stretch/>
      </xdr:blipFill>
      <xdr:spPr>
        <a:xfrm>
          <a:off x="13651920" y="5803920"/>
          <a:ext cx="5791680" cy="2780280"/>
        </a:xfrm>
        <a:prstGeom prst="rect">
          <a:avLst/>
        </a:prstGeom>
        <a:ln w="0">
          <a:noFill/>
        </a:ln>
      </xdr:spPr>
    </xdr:pic>
    <xdr:clientData/>
  </xdr:twoCellAnchor>
  <xdr:twoCellAnchor editAs="twoCell">
    <xdr:from>
      <xdr:col>19</xdr:col>
      <xdr:colOff>586080</xdr:colOff>
      <xdr:row>33</xdr:row>
      <xdr:rowOff>38520</xdr:rowOff>
    </xdr:from>
    <xdr:to>
      <xdr:col>22</xdr:col>
      <xdr:colOff>167760</xdr:colOff>
      <xdr:row>35</xdr:row>
      <xdr:rowOff>157680</xdr:rowOff>
    </xdr:to>
    <xdr:grpSp>
      <xdr:nvGrpSpPr>
        <xdr:cNvPr id="12" name="Group 20"/>
        <xdr:cNvGrpSpPr/>
      </xdr:nvGrpSpPr>
      <xdr:grpSpPr>
        <a:xfrm>
          <a:off x="14779440" y="6337800"/>
          <a:ext cx="1675440" cy="535680"/>
          <a:chOff x="14779440" y="6337800"/>
          <a:chExt cx="1675440" cy="535680"/>
        </a:xfrm>
      </xdr:grpSpPr>
      <xdr:sp>
        <xdr:nvSpPr>
          <xdr:cNvPr id="13" name="TextBox 21"/>
          <xdr:cNvSpPr/>
        </xdr:nvSpPr>
        <xdr:spPr>
          <a:xfrm>
            <a:off x="14999400" y="6337800"/>
            <a:ext cx="1053360" cy="27540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1760" cy="38124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400680" cy="39744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124560</xdr:colOff>
      <xdr:row>44</xdr:row>
      <xdr:rowOff>145800</xdr:rowOff>
    </xdr:to>
    <xdr:pic>
      <xdr:nvPicPr>
        <xdr:cNvPr id="16" name="Picture 26" descr=""/>
        <xdr:cNvPicPr/>
      </xdr:nvPicPr>
      <xdr:blipFill>
        <a:blip r:embed="rId7"/>
        <a:srcRect l="4902" t="3979" r="7113" b="2720"/>
        <a:stretch/>
      </xdr:blipFill>
      <xdr:spPr>
        <a:xfrm>
          <a:off x="20970720" y="5555520"/>
          <a:ext cx="4214160" cy="3180600"/>
        </a:xfrm>
        <a:prstGeom prst="rect">
          <a:avLst/>
        </a:prstGeom>
        <a:ln w="0">
          <a:noFill/>
        </a:ln>
      </xdr:spPr>
    </xdr:pic>
    <xdr:clientData/>
  </xdr:twoCellAnchor>
  <xdr:twoCellAnchor editAs="oneCell">
    <xdr:from>
      <xdr:col>37</xdr:col>
      <xdr:colOff>234360</xdr:colOff>
      <xdr:row>29</xdr:row>
      <xdr:rowOff>107640</xdr:rowOff>
    </xdr:from>
    <xdr:to>
      <xdr:col>42</xdr:col>
      <xdr:colOff>514080</xdr:colOff>
      <xdr:row>44</xdr:row>
      <xdr:rowOff>164880</xdr:rowOff>
    </xdr:to>
    <xdr:pic>
      <xdr:nvPicPr>
        <xdr:cNvPr id="17" name="Picture 28" descr=""/>
        <xdr:cNvPicPr/>
      </xdr:nvPicPr>
      <xdr:blipFill>
        <a:blip r:embed="rId8"/>
        <a:srcRect l="3393" t="3551" r="3594" b="2013"/>
        <a:stretch/>
      </xdr:blipFill>
      <xdr:spPr>
        <a:xfrm>
          <a:off x="27786960" y="5573880"/>
          <a:ext cx="3769200" cy="3181320"/>
        </a:xfrm>
        <a:prstGeom prst="rect">
          <a:avLst/>
        </a:prstGeom>
        <a:ln w="0">
          <a:noFill/>
        </a:ln>
      </xdr:spPr>
    </xdr:pic>
    <xdr:clientData/>
  </xdr:twoCellAnchor>
  <xdr:twoCellAnchor editAs="oneCell">
    <xdr:from>
      <xdr:col>46</xdr:col>
      <xdr:colOff>504000</xdr:colOff>
      <xdr:row>29</xdr:row>
      <xdr:rowOff>84240</xdr:rowOff>
    </xdr:from>
    <xdr:to>
      <xdr:col>52</xdr:col>
      <xdr:colOff>51120</xdr:colOff>
      <xdr:row>44</xdr:row>
      <xdr:rowOff>141480</xdr:rowOff>
    </xdr:to>
    <xdr:pic>
      <xdr:nvPicPr>
        <xdr:cNvPr id="18" name="Picture 29" descr=""/>
        <xdr:cNvPicPr/>
      </xdr:nvPicPr>
      <xdr:blipFill>
        <a:blip r:embed="rId9"/>
        <a:srcRect l="3393" t="3551" r="3594" b="2013"/>
        <a:stretch/>
      </xdr:blipFill>
      <xdr:spPr>
        <a:xfrm>
          <a:off x="34736040" y="5550480"/>
          <a:ext cx="3734640" cy="3181320"/>
        </a:xfrm>
        <a:prstGeom prst="rect">
          <a:avLst/>
        </a:prstGeom>
        <a:ln w="0">
          <a:noFill/>
        </a:ln>
      </xdr:spPr>
    </xdr:pic>
    <xdr:clientData/>
  </xdr:twoCellAnchor>
  <xdr:twoCellAnchor editAs="twoCell">
    <xdr:from>
      <xdr:col>45</xdr:col>
      <xdr:colOff>146520</xdr:colOff>
      <xdr:row>30</xdr:row>
      <xdr:rowOff>48600</xdr:rowOff>
    </xdr:from>
    <xdr:to>
      <xdr:col>46</xdr:col>
      <xdr:colOff>343080</xdr:colOff>
      <xdr:row>33</xdr:row>
      <xdr:rowOff>114840</xdr:rowOff>
    </xdr:to>
    <xdr:sp>
      <xdr:nvSpPr>
        <xdr:cNvPr id="19" name="TextBox 30"/>
        <xdr:cNvSpPr/>
      </xdr:nvSpPr>
      <xdr:spPr>
        <a:xfrm>
          <a:off x="33680880" y="5722920"/>
          <a:ext cx="894240" cy="69120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368640</xdr:colOff>
      <xdr:row>33</xdr:row>
      <xdr:rowOff>37440</xdr:rowOff>
    </xdr:to>
    <xdr:sp>
      <xdr:nvSpPr>
        <xdr:cNvPr id="21" name="TextBox 34"/>
        <xdr:cNvSpPr/>
      </xdr:nvSpPr>
      <xdr:spPr>
        <a:xfrm>
          <a:off x="27027000" y="5645520"/>
          <a:ext cx="894240" cy="69120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45000</xdr:colOff>
      <xdr:row>48</xdr:row>
      <xdr:rowOff>159480</xdr:rowOff>
    </xdr:to>
    <xdr:pic>
      <xdr:nvPicPr>
        <xdr:cNvPr id="23" name="Picture 1" descr=""/>
        <xdr:cNvPicPr/>
      </xdr:nvPicPr>
      <xdr:blipFill>
        <a:blip r:embed="rId1"/>
        <a:stretch/>
      </xdr:blipFill>
      <xdr:spPr>
        <a:xfrm>
          <a:off x="53280" y="6881040"/>
          <a:ext cx="6283440" cy="2665080"/>
        </a:xfrm>
        <a:prstGeom prst="rect">
          <a:avLst/>
        </a:prstGeom>
        <a:ln w="0">
          <a:noFill/>
        </a:ln>
      </xdr:spPr>
    </xdr:pic>
    <xdr:clientData/>
  </xdr:twoCellAnchor>
  <xdr:twoCellAnchor editAs="oneCell">
    <xdr:from>
      <xdr:col>7</xdr:col>
      <xdr:colOff>228600</xdr:colOff>
      <xdr:row>21</xdr:row>
      <xdr:rowOff>190800</xdr:rowOff>
    </xdr:from>
    <xdr:to>
      <xdr:col>11</xdr:col>
      <xdr:colOff>114840</xdr:colOff>
      <xdr:row>35</xdr:row>
      <xdr:rowOff>31320</xdr:rowOff>
    </xdr:to>
    <xdr:pic>
      <xdr:nvPicPr>
        <xdr:cNvPr id="24" name="Picture 2" descr=""/>
        <xdr:cNvPicPr/>
      </xdr:nvPicPr>
      <xdr:blipFill>
        <a:blip r:embed="rId2"/>
        <a:stretch/>
      </xdr:blipFill>
      <xdr:spPr>
        <a:xfrm>
          <a:off x="5124600" y="4027320"/>
          <a:ext cx="2677680" cy="271980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210600</xdr:colOff>
      <xdr:row>12</xdr:row>
      <xdr:rowOff>115560</xdr:rowOff>
    </xdr:from>
    <xdr:to>
      <xdr:col>6</xdr:col>
      <xdr:colOff>658800</xdr:colOff>
      <xdr:row>30</xdr:row>
      <xdr:rowOff>106200</xdr:rowOff>
    </xdr:to>
    <xdr:pic>
      <xdr:nvPicPr>
        <xdr:cNvPr id="25" name="Picture 2" descr=""/>
        <xdr:cNvPicPr/>
      </xdr:nvPicPr>
      <xdr:blipFill>
        <a:blip r:embed="rId1"/>
        <a:stretch/>
      </xdr:blipFill>
      <xdr:spPr>
        <a:xfrm>
          <a:off x="210600" y="2320200"/>
          <a:ext cx="4635360" cy="3534120"/>
        </a:xfrm>
        <a:prstGeom prst="rect">
          <a:avLst/>
        </a:prstGeom>
        <a:ln w="0">
          <a:noFill/>
        </a:ln>
      </xdr:spPr>
    </xdr:pic>
    <xdr:clientData/>
  </xdr:twoCellAnchor>
  <xdr:twoCellAnchor editAs="oneCell">
    <xdr:from>
      <xdr:col>9</xdr:col>
      <xdr:colOff>328680</xdr:colOff>
      <xdr:row>12</xdr:row>
      <xdr:rowOff>71640</xdr:rowOff>
    </xdr:from>
    <xdr:to>
      <xdr:col>16</xdr:col>
      <xdr:colOff>342360</xdr:colOff>
      <xdr:row>30</xdr:row>
      <xdr:rowOff>99000</xdr:rowOff>
    </xdr:to>
    <xdr:pic>
      <xdr:nvPicPr>
        <xdr:cNvPr id="26" name="Picture 3" descr=""/>
        <xdr:cNvPicPr/>
      </xdr:nvPicPr>
      <xdr:blipFill>
        <a:blip r:embed="rId2"/>
        <a:stretch/>
      </xdr:blipFill>
      <xdr:spPr>
        <a:xfrm>
          <a:off x="6609600" y="2276280"/>
          <a:ext cx="4898520" cy="357084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20520</xdr:rowOff>
    </xdr:from>
    <xdr:to>
      <xdr:col>10</xdr:col>
      <xdr:colOff>574920</xdr:colOff>
      <xdr:row>83</xdr:row>
      <xdr:rowOff>94320</xdr:rowOff>
    </xdr:to>
    <xdr:pic>
      <xdr:nvPicPr>
        <xdr:cNvPr id="27" name="Picture 4" descr=""/>
        <xdr:cNvPicPr/>
      </xdr:nvPicPr>
      <xdr:blipFill>
        <a:blip r:embed="rId1"/>
        <a:stretch/>
      </xdr:blipFill>
      <xdr:spPr>
        <a:xfrm>
          <a:off x="272160" y="11442960"/>
          <a:ext cx="7281360" cy="5157720"/>
        </a:xfrm>
        <a:prstGeom prst="rect">
          <a:avLst/>
        </a:prstGeom>
        <a:ln w="0">
          <a:noFill/>
        </a:ln>
      </xdr:spPr>
    </xdr:pic>
    <xdr:clientData/>
  </xdr:twoCellAnchor>
  <xdr:twoCellAnchor editAs="oneCell">
    <xdr:from>
      <xdr:col>12</xdr:col>
      <xdr:colOff>679680</xdr:colOff>
      <xdr:row>9</xdr:row>
      <xdr:rowOff>144360</xdr:rowOff>
    </xdr:from>
    <xdr:to>
      <xdr:col>22</xdr:col>
      <xdr:colOff>26640</xdr:colOff>
      <xdr:row>34</xdr:row>
      <xdr:rowOff>106560</xdr:rowOff>
    </xdr:to>
    <xdr:pic>
      <xdr:nvPicPr>
        <xdr:cNvPr id="28" name="Picture 9" descr=""/>
        <xdr:cNvPicPr/>
      </xdr:nvPicPr>
      <xdr:blipFill>
        <a:blip r:embed="rId2"/>
        <a:stretch/>
      </xdr:blipFill>
      <xdr:spPr>
        <a:xfrm>
          <a:off x="9054000" y="1739520"/>
          <a:ext cx="6325560" cy="4926600"/>
        </a:xfrm>
        <a:prstGeom prst="rect">
          <a:avLst/>
        </a:prstGeom>
        <a:ln w="0">
          <a:noFill/>
        </a:ln>
      </xdr:spPr>
    </xdr:pic>
    <xdr:clientData/>
  </xdr:twoCellAnchor>
  <xdr:twoCellAnchor editAs="oneCell">
    <xdr:from>
      <xdr:col>0</xdr:col>
      <xdr:colOff>239400</xdr:colOff>
      <xdr:row>83</xdr:row>
      <xdr:rowOff>163440</xdr:rowOff>
    </xdr:from>
    <xdr:to>
      <xdr:col>12</xdr:col>
      <xdr:colOff>92520</xdr:colOff>
      <xdr:row>104</xdr:row>
      <xdr:rowOff>43920</xdr:rowOff>
    </xdr:to>
    <xdr:pic>
      <xdr:nvPicPr>
        <xdr:cNvPr id="29" name="Picture 2" descr=""/>
        <xdr:cNvPicPr/>
      </xdr:nvPicPr>
      <xdr:blipFill>
        <a:blip r:embed="rId3"/>
        <a:stretch/>
      </xdr:blipFill>
      <xdr:spPr>
        <a:xfrm>
          <a:off x="239400" y="16669800"/>
          <a:ext cx="8227440" cy="3788280"/>
        </a:xfrm>
        <a:prstGeom prst="rect">
          <a:avLst/>
        </a:prstGeom>
        <a:ln w="0">
          <a:noFill/>
        </a:ln>
      </xdr:spPr>
    </xdr:pic>
    <xdr:clientData/>
  </xdr:twoCellAnchor>
  <xdr:twoCellAnchor editAs="oneCell">
    <xdr:from>
      <xdr:col>0</xdr:col>
      <xdr:colOff>26280</xdr:colOff>
      <xdr:row>11</xdr:row>
      <xdr:rowOff>41400</xdr:rowOff>
    </xdr:from>
    <xdr:to>
      <xdr:col>10</xdr:col>
      <xdr:colOff>641160</xdr:colOff>
      <xdr:row>28</xdr:row>
      <xdr:rowOff>125280</xdr:rowOff>
    </xdr:to>
    <xdr:pic>
      <xdr:nvPicPr>
        <xdr:cNvPr id="30" name="Picture 8" descr=""/>
        <xdr:cNvPicPr/>
      </xdr:nvPicPr>
      <xdr:blipFill>
        <a:blip r:embed="rId4"/>
        <a:stretch/>
      </xdr:blipFill>
      <xdr:spPr>
        <a:xfrm>
          <a:off x="26280" y="2016360"/>
          <a:ext cx="7593480" cy="3455640"/>
        </a:xfrm>
        <a:prstGeom prst="rect">
          <a:avLst/>
        </a:prstGeom>
        <a:ln w="0">
          <a:noFill/>
        </a:ln>
      </xdr:spPr>
    </xdr:pic>
    <xdr:clientData/>
  </xdr:twoCellAnchor>
  <xdr:twoCellAnchor editAs="oneCell">
    <xdr:from>
      <xdr:col>12</xdr:col>
      <xdr:colOff>316440</xdr:colOff>
      <xdr:row>46</xdr:row>
      <xdr:rowOff>84600</xdr:rowOff>
    </xdr:from>
    <xdr:to>
      <xdr:col>22</xdr:col>
      <xdr:colOff>330120</xdr:colOff>
      <xdr:row>72</xdr:row>
      <xdr:rowOff>12600</xdr:rowOff>
    </xdr:to>
    <xdr:pic>
      <xdr:nvPicPr>
        <xdr:cNvPr id="31" name="Image 1" descr=""/>
        <xdr:cNvPicPr/>
      </xdr:nvPicPr>
      <xdr:blipFill>
        <a:blip r:embed="rId5"/>
        <a:stretch/>
      </xdr:blipFill>
      <xdr:spPr>
        <a:xfrm>
          <a:off x="8690760" y="9143640"/>
          <a:ext cx="6992280" cy="49280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128160</xdr:colOff>
      <xdr:row>11</xdr:row>
      <xdr:rowOff>18000</xdr:rowOff>
    </xdr:from>
    <xdr:to>
      <xdr:col>6</xdr:col>
      <xdr:colOff>122040</xdr:colOff>
      <xdr:row>23</xdr:row>
      <xdr:rowOff>127440</xdr:rowOff>
    </xdr:to>
    <xdr:graphicFrame>
      <xdr:nvGraphicFramePr>
        <xdr:cNvPr id="32" name="Chart 1"/>
        <xdr:cNvGraphicFramePr/>
      </xdr:nvGraphicFramePr>
      <xdr:xfrm>
        <a:off x="128160" y="2014560"/>
        <a:ext cx="4181040" cy="2439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226080</xdr:colOff>
      <xdr:row>23</xdr:row>
      <xdr:rowOff>39240</xdr:rowOff>
    </xdr:to>
    <xdr:pic>
      <xdr:nvPicPr>
        <xdr:cNvPr id="33" name="Picture 2" descr=""/>
        <xdr:cNvPicPr/>
      </xdr:nvPicPr>
      <xdr:blipFill>
        <a:blip r:embed="rId1"/>
        <a:stretch/>
      </xdr:blipFill>
      <xdr:spPr>
        <a:xfrm>
          <a:off x="743760" y="1523880"/>
          <a:ext cx="3669480" cy="282060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107280</xdr:colOff>
      <xdr:row>15</xdr:row>
      <xdr:rowOff>41760</xdr:rowOff>
    </xdr:to>
    <xdr:sp>
      <xdr:nvSpPr>
        <xdr:cNvPr id="35" name="TextBox 4"/>
        <xdr:cNvSpPr/>
      </xdr:nvSpPr>
      <xdr:spPr>
        <a:xfrm>
          <a:off x="4388760" y="1750320"/>
          <a:ext cx="1301400" cy="10994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eaton.com/content/dam/eaton/products/electronic-components/resources/data-sheet/eaton-pc-tron-subminiature-radial-leaded-fuses-data-sheet.pdf" TargetMode="External"/><Relationship Id="rId13" Type="http://schemas.openxmlformats.org/officeDocument/2006/relationships/hyperlink" Target="https://www.grainger.com/ec/pdf/6XPF4_1.pdf" TargetMode="External"/><Relationship Id="rId14" Type="http://schemas.openxmlformats.org/officeDocument/2006/relationships/hyperlink" Target="https://www.belfuse.com/resources/datasheets/circuitprotection/ds-cp-0adax-series.pdf" TargetMode="External"/><Relationship Id="rId15" Type="http://schemas.openxmlformats.org/officeDocument/2006/relationships/hyperlink" Target="https://www.belfuse.com/resources/datasheets/circuitprotection/ds-CP-0ADG-series.pdf" TargetMode="External"/><Relationship Id="rId16" Type="http://schemas.openxmlformats.org/officeDocument/2006/relationships/hyperlink" Target="https://www.energusps.com/web/binary/saveas?filename_field=datas_fname&amp;field=datas&amp;model=ir.attachment&amp;id=4223" TargetMode="External"/><Relationship Id="rId17" Type="http://schemas.openxmlformats.org/officeDocument/2006/relationships/hyperlink" Target="https://us.schurter.com/en/datasheet/typ_SHT_6.3x32.pdf" TargetMode="External"/><Relationship Id="rId18" Type="http://schemas.openxmlformats.org/officeDocument/2006/relationships/hyperlink" Target="https://www.ohmite.com/assets/docs/res_200.pdf?r=false" TargetMode="External"/><Relationship Id="rId19" Type="http://schemas.openxmlformats.org/officeDocument/2006/relationships/hyperlink" Target="https://www.te.com/usa-en/product-6-2176416-7.datasheet.pdf" TargetMode="External"/><Relationship Id="rId20" Type="http://schemas.openxmlformats.org/officeDocument/2006/relationships/hyperlink" Target="https://www.te.com/usa-en/product-8-1879354-9.datasheet.pdf" TargetMode="External"/><Relationship Id="rId21" Type="http://schemas.openxmlformats.org/officeDocument/2006/relationships/hyperlink" Target="https://www.te.com/commerce/DocumentDelivery/DDEController?Action=srchrtrv&amp;DocNm=1462043-2&amp;DocType=Customer+Drawing&amp;DocLang=English" TargetMode="External"/><Relationship Id="rId22" Type="http://schemas.openxmlformats.org/officeDocument/2006/relationships/hyperlink" Target="https://www.sensata.com/sites/default/files/a/sensata-gigavac-gv24-sereies-800v-contactors-datasheet.pdf" TargetMode="External"/><Relationship Id="rId23" Type="http://schemas.openxmlformats.org/officeDocument/2006/relationships/hyperlink" Target="https://www.sensata.com/sites/default/files/a/sensata-gigavac-p115-series-minitactor-contactors-datasheet.pdf" TargetMode="External"/><Relationship Id="rId24" Type="http://schemas.openxmlformats.org/officeDocument/2006/relationships/hyperlink" Target="https://www.sensata.com/sites/default/files/a/sensata-gigavac-pnc113-series-minitactor-contactors-datasheet.pdf" TargetMode="External"/><Relationship Id="rId25"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6" Type="http://schemas.openxmlformats.org/officeDocument/2006/relationships/hyperlink" Target="https://www.molex.com/webdocs/datasheets/pdf/en-us/0334724001_CRIMP_HOUSINGS.pdf" TargetMode="External"/><Relationship Id="rId27" Type="http://schemas.openxmlformats.org/officeDocument/2006/relationships/hyperlink" Target="https://www.muellerelectric.com/product_files/986/DS-BU-P72930-@.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farnell.com/datasheets/2013715.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te.com/usa-en/product-DTM06-12SA.datasheet.pdf" TargetMode="External"/><Relationship Id="rId32" Type="http://schemas.openxmlformats.org/officeDocument/2006/relationships/hyperlink" Target="https://www.te.com/usa-en/product-DTM04-12PA-L012.datasheet.pdf" TargetMode="External"/><Relationship Id="rId33" Type="http://schemas.openxmlformats.org/officeDocument/2006/relationships/hyperlink" Target="https://www.te.com/usa-en/product-DT04-6P-CL09.datasheet.pdf" TargetMode="External"/><Relationship Id="rId34" Type="http://schemas.openxmlformats.org/officeDocument/2006/relationships/hyperlink" Target="https://www.te.com/usa-en/product-DT06-6S.datasheet.pdf" TargetMode="External"/><Relationship Id="rId35" Type="http://schemas.openxmlformats.org/officeDocument/2006/relationships/hyperlink" Target="https://www.dupont.com/content/dam/dupont/amer/us/en/safety/public/documents/en/DPT16_21668_Nomex_410_Tech_Data_Sheet_me03_REFERENCE.pdf" TargetMode="External"/><Relationship Id="rId36"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L65" activeCellId="0" sqref="L65"/>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EXRAD-HVX6X</v>
      </c>
      <c r="B22" s="29" t="s">
        <v>67</v>
      </c>
      <c r="C22" s="21" t="s">
        <v>68</v>
      </c>
      <c r="D22" s="29" t="n">
        <v>19.1</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4" hidden="false" customHeight="false" outlineLevel="0" collapsed="false">
      <c r="A23" s="1" t="str">
        <f aca="true">CONCATENATE(INDIRECT(CONCATENATE("B",ROW(A23))), " ", INDIRECT(CONCATENATE("C",ROW(A23))))</f>
        <v>Champlain cable EXRAD-HVX6X</v>
      </c>
      <c r="B23" s="29" t="s">
        <v>67</v>
      </c>
      <c r="C23" s="21" t="s">
        <v>68</v>
      </c>
      <c r="D23" s="29" t="n">
        <v>19.1</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4" hidden="false" customHeight="false" outlineLevel="0" collapsed="false">
      <c r="A24" s="1" t="str">
        <f aca="true">CONCATENATE(INDIRECT(CONCATENATE("B",ROW(A24))), " ", INDIRECT(CONCATENATE("C",ROW(A24))))</f>
        <v>Champlain cable EXRAD-HVX6X</v>
      </c>
      <c r="B24" s="29" t="s">
        <v>67</v>
      </c>
      <c r="C24" s="21" t="s">
        <v>68</v>
      </c>
      <c r="D24" s="29" t="n">
        <v>19.1</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4" hidden="false" customHeight="false" outlineLevel="0" collapsed="false">
      <c r="A25" s="1" t="str">
        <f aca="true">CONCATENATE(INDIRECT(CONCATENATE("B",ROW(A25))), " ", INDIRECT(CONCATENATE("C",ROW(A25))))</f>
        <v>Champlain cable EXRAD-HVX6X</v>
      </c>
      <c r="B25" s="29" t="s">
        <v>67</v>
      </c>
      <c r="C25" s="21" t="s">
        <v>68</v>
      </c>
      <c r="D25" s="29" t="n">
        <v>19.1</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4" hidden="false" customHeight="false" outlineLevel="0" collapsed="false">
      <c r="A26" s="1" t="str">
        <f aca="true">CONCATENATE(INDIRECT(CONCATENATE("B",ROW(A26))), " ", INDIRECT(CONCATENATE("C",ROW(A26))))</f>
        <v>Champlain cable EXRAD-HVX6X</v>
      </c>
      <c r="B26" s="29" t="s">
        <v>67</v>
      </c>
      <c r="C26" s="21" t="s">
        <v>68</v>
      </c>
      <c r="D26" s="29" t="n">
        <v>19.1</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4" hidden="false" customHeight="false" outlineLevel="0" collapsed="false">
      <c r="A27" s="1" t="str">
        <f aca="true">CONCATENATE(INDIRECT(CONCATENATE("B",ROW(A27))), " ", INDIRECT(CONCATENATE("C",ROW(A27))))</f>
        <v>Champlain cable EXRAD-HVX6X</v>
      </c>
      <c r="B27" s="29" t="s">
        <v>67</v>
      </c>
      <c r="C27" s="21" t="s">
        <v>68</v>
      </c>
      <c r="D27" s="29" t="n">
        <v>19.1</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3.5" hidden="false" customHeight="false" outlineLevel="0" collapsed="false">
      <c r="A29" s="1" t="str">
        <f aca="true">CONCATENATE(INDIRECT(CONCATENATE("B",ROW(A29))), " ", INDIRECT(CONCATENATE("C",ROW(A29))))</f>
        <v> </v>
      </c>
      <c r="B29" s="29"/>
      <c r="C29" s="21"/>
      <c r="D29" s="29"/>
      <c r="E29" s="29"/>
      <c r="F29" s="29"/>
      <c r="G29" s="29"/>
      <c r="H29" s="7"/>
      <c r="I29" s="7"/>
      <c r="J29" s="7"/>
      <c r="K29" s="5" t="str">
        <f aca="false">IF(COUNTBLANK(B29:J29)=9,"",IF(AND(COUNTBLANK(B29:J29)=1, G29&gt;=90),OKText,ErrorText))</f>
        <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80</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81</v>
      </c>
      <c r="E40" s="26" t="s">
        <v>82</v>
      </c>
      <c r="F40" s="24" t="s">
        <v>83</v>
      </c>
      <c r="G40" s="24" t="s">
        <v>84</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85</v>
      </c>
      <c r="C41" s="21" t="s">
        <v>86</v>
      </c>
      <c r="D41" s="29" t="n">
        <v>450</v>
      </c>
      <c r="E41" s="29" t="s">
        <v>87</v>
      </c>
      <c r="F41" s="29" t="n">
        <v>0.75</v>
      </c>
      <c r="G41" s="32" t="n">
        <v>5900</v>
      </c>
      <c r="H41" s="7" t="s">
        <v>88</v>
      </c>
      <c r="I41" s="7"/>
      <c r="J41" s="7" t="s">
        <v>89</v>
      </c>
      <c r="K41" s="5" t="str">
        <f aca="false">IF(COUNTBLANK(B41:J41)=9,IncompleteText,IF(COUNTBLANK(B41:J41)=1,OKText,ErrorText))</f>
        <v>OK</v>
      </c>
      <c r="L41" s="7"/>
      <c r="M41" s="7"/>
      <c r="N41" s="7"/>
      <c r="O41" s="7"/>
      <c r="P41" s="7"/>
      <c r="Q41" s="31" t="s">
        <v>90</v>
      </c>
      <c r="R41" s="31"/>
    </row>
    <row r="42" customFormat="false" ht="16.4" hidden="false" customHeight="false" outlineLevel="0" collapsed="false">
      <c r="A42" s="1" t="str">
        <f aca="true">CONCATENATE(INDIRECT(CONCATENATE("B",ROW(A42))), " ", INDIRECT(CONCATENATE("C",ROW(A42))))</f>
        <v>Mersen Semiconductor A50QS75-4Y</v>
      </c>
      <c r="B42" s="29" t="s">
        <v>91</v>
      </c>
      <c r="C42" s="21" t="s">
        <v>92</v>
      </c>
      <c r="D42" s="29" t="n">
        <v>500</v>
      </c>
      <c r="E42" s="29" t="s">
        <v>87</v>
      </c>
      <c r="F42" s="29" t="n">
        <v>75</v>
      </c>
      <c r="G42" s="29" t="n">
        <v>1200</v>
      </c>
      <c r="H42" s="7" t="s">
        <v>93</v>
      </c>
      <c r="I42" s="7"/>
      <c r="J42" s="7" t="s">
        <v>94</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95</v>
      </c>
      <c r="C43" s="21" t="s">
        <v>96</v>
      </c>
      <c r="D43" s="29" t="n">
        <v>600</v>
      </c>
      <c r="E43" s="29" t="s">
        <v>87</v>
      </c>
      <c r="F43" s="29" t="n">
        <v>6</v>
      </c>
      <c r="G43" s="29" t="n">
        <v>12</v>
      </c>
      <c r="H43" s="7" t="s">
        <v>97</v>
      </c>
      <c r="I43" s="7"/>
      <c r="J43" s="7" t="s">
        <v>98</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95</v>
      </c>
      <c r="C44" s="21" t="s">
        <v>99</v>
      </c>
      <c r="D44" s="29" t="n">
        <v>500</v>
      </c>
      <c r="E44" s="29" t="s">
        <v>87</v>
      </c>
      <c r="F44" s="29" t="n">
        <v>20</v>
      </c>
      <c r="G44" s="29" t="n">
        <v>1000</v>
      </c>
      <c r="H44" s="7" t="s">
        <v>100</v>
      </c>
      <c r="I44" s="7"/>
      <c r="J44" s="7" t="s">
        <v>101</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102</v>
      </c>
      <c r="D45" s="29" t="n">
        <v>12</v>
      </c>
      <c r="E45" s="29" t="s">
        <v>87</v>
      </c>
      <c r="F45" s="29" t="n">
        <v>45</v>
      </c>
      <c r="G45" s="29" t="n">
        <v>1000</v>
      </c>
      <c r="H45" s="7" t="s">
        <v>103</v>
      </c>
      <c r="I45" s="7"/>
      <c r="J45" s="7" t="s">
        <v>104</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105</v>
      </c>
      <c r="C46" s="21" t="s">
        <v>106</v>
      </c>
      <c r="D46" s="29" t="n">
        <v>400</v>
      </c>
      <c r="E46" s="29" t="s">
        <v>87</v>
      </c>
      <c r="F46" s="29" t="n">
        <v>1</v>
      </c>
      <c r="G46" s="29" t="n">
        <v>1500</v>
      </c>
      <c r="H46" s="7" t="s">
        <v>107</v>
      </c>
      <c r="I46" s="7"/>
      <c r="J46" s="7" t="s">
        <v>108</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109</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81</v>
      </c>
      <c r="E55" s="24" t="s">
        <v>110</v>
      </c>
      <c r="F55" s="24" t="s">
        <v>111</v>
      </c>
      <c r="G55" s="24" t="s">
        <v>112</v>
      </c>
      <c r="H55" s="33" t="s">
        <v>113</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114</v>
      </c>
      <c r="C56" s="21" t="s">
        <v>115</v>
      </c>
      <c r="D56" s="21" t="n">
        <v>750</v>
      </c>
      <c r="E56" s="21" t="n">
        <v>750</v>
      </c>
      <c r="F56" s="21" t="n">
        <v>20</v>
      </c>
      <c r="G56" s="21" t="n">
        <v>200</v>
      </c>
      <c r="H56" s="34" t="s">
        <v>116</v>
      </c>
      <c r="I56" s="34"/>
      <c r="J56" s="34"/>
      <c r="K56" s="7" t="s">
        <v>117</v>
      </c>
      <c r="L56" s="7"/>
      <c r="M56" s="7" t="s">
        <v>118</v>
      </c>
      <c r="N56" s="5" t="str">
        <f aca="false">IF(COUNTBLANK(B56:M56)=12,IncompleteText,IF(COUNTBLANK(B56:M56)=3,OKText,ErrorText))</f>
        <v>OK</v>
      </c>
      <c r="O56" s="7"/>
      <c r="P56" s="7"/>
      <c r="Q56" s="7"/>
      <c r="R56" s="7"/>
      <c r="S56" s="7"/>
      <c r="T56" s="31" t="s">
        <v>119</v>
      </c>
      <c r="U56" s="31"/>
    </row>
    <row r="57" customFormat="false" ht="13.5" hidden="false" customHeight="true" outlineLevel="0" collapsed="false">
      <c r="A57" s="1" t="str">
        <f aca="true">CONCATENATE(INDIRECT(CONCATENATE("B",ROW(A57))), " ", INDIRECT(CONCATENATE("C",ROW(A57))))</f>
        <v>TE ROX9J30K</v>
      </c>
      <c r="B57" s="29" t="s">
        <v>120</v>
      </c>
      <c r="C57" s="21" t="s">
        <v>121</v>
      </c>
      <c r="D57" s="29" t="n">
        <v>750</v>
      </c>
      <c r="E57" s="29" t="n">
        <v>30000</v>
      </c>
      <c r="F57" s="29" t="n">
        <v>9</v>
      </c>
      <c r="G57" s="29" t="n">
        <v>9</v>
      </c>
      <c r="H57" s="34" t="s">
        <v>116</v>
      </c>
      <c r="I57" s="34"/>
      <c r="J57" s="34"/>
      <c r="K57" s="30" t="s">
        <v>122</v>
      </c>
      <c r="L57" s="30"/>
      <c r="M57" s="7" t="s">
        <v>123</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120</v>
      </c>
      <c r="C58" s="21" t="s">
        <v>124</v>
      </c>
      <c r="D58" s="29" t="n">
        <v>750</v>
      </c>
      <c r="E58" s="29" t="n">
        <v>1500</v>
      </c>
      <c r="F58" s="29" t="n">
        <v>3</v>
      </c>
      <c r="G58" s="29" t="n">
        <v>3</v>
      </c>
      <c r="H58" s="34" t="s">
        <v>116</v>
      </c>
      <c r="I58" s="34"/>
      <c r="J58" s="34"/>
      <c r="K58" s="7" t="s">
        <v>125</v>
      </c>
      <c r="L58" s="7"/>
      <c r="M58" s="7" t="s">
        <v>126</v>
      </c>
      <c r="N58" s="5" t="str">
        <f aca="false">IF(COUNTBLANK(B58:M58)=12,"",IF(COUNTBLANK(B58:M58)=3,OKText,ErrorText))</f>
        <v>OK</v>
      </c>
      <c r="O58" s="7" t="s">
        <v>127</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128</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129</v>
      </c>
      <c r="E64" s="24" t="s">
        <v>130</v>
      </c>
      <c r="F64" s="24" t="s">
        <v>131</v>
      </c>
      <c r="G64" s="24" t="s">
        <v>132</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133</v>
      </c>
      <c r="C65" s="21" t="s">
        <v>134</v>
      </c>
      <c r="D65" s="29" t="n">
        <v>220</v>
      </c>
      <c r="E65" s="29" t="n">
        <v>2</v>
      </c>
      <c r="F65" s="29" t="n">
        <v>2</v>
      </c>
      <c r="G65" s="29" t="s">
        <v>135</v>
      </c>
      <c r="H65" s="7" t="s">
        <v>136</v>
      </c>
      <c r="I65" s="7"/>
      <c r="J65" s="7" t="s">
        <v>137</v>
      </c>
      <c r="K65" s="5" t="str">
        <f aca="false">IF(COUNTBLANK(B65:J65)=9,IncompleteText,IF(COUNTBLANK(B65:J65)=1,OKText,ErrorText))</f>
        <v>OK</v>
      </c>
      <c r="L65" s="7" t="s">
        <v>138</v>
      </c>
      <c r="M65" s="7"/>
      <c r="N65" s="7"/>
      <c r="O65" s="7"/>
      <c r="P65" s="7"/>
      <c r="Q65" s="31" t="s">
        <v>139</v>
      </c>
      <c r="R65" s="31"/>
    </row>
    <row r="66" customFormat="false" ht="16.4" hidden="false" customHeight="false" outlineLevel="0" collapsed="false">
      <c r="A66" s="1" t="str">
        <f aca="true">CONCATENATE(INDIRECT(CONCATENATE("B",ROW(A66))), " ", INDIRECT(CONCATENATE("C",ROW(A66))))</f>
        <v>Gigavac GV241BAB</v>
      </c>
      <c r="B66" s="29" t="s">
        <v>140</v>
      </c>
      <c r="C66" s="21" t="s">
        <v>141</v>
      </c>
      <c r="D66" s="29" t="n">
        <v>800</v>
      </c>
      <c r="E66" s="29" t="n">
        <v>325</v>
      </c>
      <c r="F66" s="29" t="n">
        <v>900</v>
      </c>
      <c r="G66" s="29" t="s">
        <v>135</v>
      </c>
      <c r="H66" s="7" t="s">
        <v>142</v>
      </c>
      <c r="I66" s="7"/>
      <c r="J66" s="7" t="s">
        <v>143</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140</v>
      </c>
      <c r="C67" s="21" t="s">
        <v>144</v>
      </c>
      <c r="D67" s="29" t="n">
        <v>1500</v>
      </c>
      <c r="E67" s="29" t="n">
        <v>50</v>
      </c>
      <c r="F67" s="29" t="n">
        <v>200</v>
      </c>
      <c r="G67" s="29" t="s">
        <v>135</v>
      </c>
      <c r="H67" s="7" t="s">
        <v>145</v>
      </c>
      <c r="I67" s="7"/>
      <c r="J67" s="7" t="s">
        <v>118</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140</v>
      </c>
      <c r="C68" s="21" t="s">
        <v>146</v>
      </c>
      <c r="D68" s="29" t="n">
        <v>1500</v>
      </c>
      <c r="E68" s="29" t="n">
        <v>30</v>
      </c>
      <c r="F68" s="29" t="n">
        <v>200</v>
      </c>
      <c r="G68" s="29" t="s">
        <v>147</v>
      </c>
      <c r="H68" s="7" t="s">
        <v>148</v>
      </c>
      <c r="I68" s="7"/>
      <c r="J68" s="7" t="s">
        <v>149</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150</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81</v>
      </c>
      <c r="E72" s="24" t="s">
        <v>55</v>
      </c>
      <c r="F72" s="24" t="s">
        <v>151</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152</v>
      </c>
      <c r="C73" s="21" t="s">
        <v>153</v>
      </c>
      <c r="D73" s="29" t="n">
        <v>1000</v>
      </c>
      <c r="E73" s="29" t="n">
        <v>630</v>
      </c>
      <c r="F73" s="29" t="n">
        <v>50</v>
      </c>
      <c r="G73" s="7" t="s">
        <v>154</v>
      </c>
      <c r="H73" s="7"/>
      <c r="I73" s="7" t="s">
        <v>155</v>
      </c>
      <c r="J73" s="5" t="str">
        <f aca="false">IF(COUNTBLANK(B73:I73)=8,IncompleteText,IF(COUNTBLANK(B73:I73)=1,OKText,ErrorText))</f>
        <v>OK</v>
      </c>
      <c r="K73" s="7"/>
      <c r="L73" s="7"/>
      <c r="M73" s="7"/>
      <c r="N73" s="7"/>
      <c r="O73" s="7"/>
      <c r="P73" s="31" t="s">
        <v>156</v>
      </c>
      <c r="Q73" s="31"/>
    </row>
    <row r="74" customFormat="false" ht="16.4" hidden="false" customHeight="false" outlineLevel="0" collapsed="false">
      <c r="A74" s="1" t="str">
        <f aca="true">CONCATENATE(INDIRECT(CONCATENATE("B",ROW(A74))), " ", INDIRECT(CONCATENATE("C",ROW(A74))))</f>
        <v>Molex 334724001</v>
      </c>
      <c r="B74" s="29" t="s">
        <v>157</v>
      </c>
      <c r="C74" s="21" t="s">
        <v>158</v>
      </c>
      <c r="D74" s="29" t="n">
        <v>14</v>
      </c>
      <c r="E74" s="29" t="n">
        <v>22</v>
      </c>
      <c r="F74" s="29" t="n">
        <v>0.75</v>
      </c>
      <c r="G74" s="7" t="s">
        <v>159</v>
      </c>
      <c r="H74" s="7"/>
      <c r="I74" s="7" t="s">
        <v>160</v>
      </c>
      <c r="J74" s="5" t="str">
        <f aca="false">IF(COUNTBLANK(B74:I74)=8,"",IF(COUNTBLANK(B74:I74)=1,OKText,ErrorText))</f>
        <v>OK</v>
      </c>
      <c r="K74" s="7" t="s">
        <v>161</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162</v>
      </c>
      <c r="C75" s="21" t="s">
        <v>163</v>
      </c>
      <c r="D75" s="29" t="n">
        <v>1000</v>
      </c>
      <c r="E75" s="29" t="n">
        <v>36</v>
      </c>
      <c r="F75" s="29" t="n">
        <v>0.35</v>
      </c>
      <c r="G75" s="30" t="s">
        <v>164</v>
      </c>
      <c r="H75" s="30"/>
      <c r="I75" s="7" t="s">
        <v>126</v>
      </c>
      <c r="J75" s="5" t="str">
        <f aca="false">IF(COUNTBLANK(B75:I75)=8,"",IF(COUNTBLANK(B75:I75)=1,OKText,ErrorText))</f>
        <v>OK</v>
      </c>
      <c r="K75" s="7" t="s">
        <v>165</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162</v>
      </c>
      <c r="C76" s="21" t="s">
        <v>166</v>
      </c>
      <c r="D76" s="29" t="n">
        <v>1000</v>
      </c>
      <c r="E76" s="29" t="n">
        <v>36</v>
      </c>
      <c r="F76" s="29" t="n">
        <v>0.35</v>
      </c>
      <c r="G76" s="30" t="s">
        <v>164</v>
      </c>
      <c r="H76" s="30"/>
      <c r="I76" s="7" t="s">
        <v>126</v>
      </c>
      <c r="J76" s="5" t="str">
        <f aca="false">IF(COUNTBLANK(B76:I76)=8,"",IF(COUNTBLANK(B76:I76)=1,OKText,ErrorText))</f>
        <v>OK</v>
      </c>
      <c r="K76" s="7" t="s">
        <v>167</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152</v>
      </c>
      <c r="C77" s="21" t="s">
        <v>168</v>
      </c>
      <c r="D77" s="29" t="n">
        <v>1000</v>
      </c>
      <c r="E77" s="29" t="n">
        <v>120</v>
      </c>
      <c r="F77" s="29" t="n">
        <v>22</v>
      </c>
      <c r="G77" s="7" t="s">
        <v>169</v>
      </c>
      <c r="H77" s="7"/>
      <c r="I77" s="7" t="s">
        <v>170</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152</v>
      </c>
      <c r="C78" s="21" t="s">
        <v>171</v>
      </c>
      <c r="D78" s="29" t="n">
        <v>1000</v>
      </c>
      <c r="E78" s="29" t="n">
        <v>120</v>
      </c>
      <c r="F78" s="29" t="n">
        <v>22</v>
      </c>
      <c r="G78" s="30" t="s">
        <v>169</v>
      </c>
      <c r="H78" s="30"/>
      <c r="I78" s="7" t="s">
        <v>172</v>
      </c>
      <c r="J78" s="5" t="str">
        <f aca="false">IF(COUNTBLANK(B78:I78)=8,"",IF(COUNTBLANK(B78:I78)=1,OKText,ErrorText))</f>
        <v>OK</v>
      </c>
      <c r="K78" s="7" t="s">
        <v>173</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174</v>
      </c>
      <c r="C79" s="21" t="s">
        <v>175</v>
      </c>
      <c r="D79" s="29" t="n">
        <v>167</v>
      </c>
      <c r="E79" s="29" t="n">
        <v>7.5</v>
      </c>
      <c r="F79" s="29" t="s">
        <v>176</v>
      </c>
      <c r="G79" s="7" t="s">
        <v>177</v>
      </c>
      <c r="H79" s="7"/>
      <c r="I79" s="7" t="s">
        <v>178</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174</v>
      </c>
      <c r="C80" s="21" t="s">
        <v>179</v>
      </c>
      <c r="D80" s="29" t="n">
        <v>167</v>
      </c>
      <c r="E80" s="29" t="n">
        <v>7.5</v>
      </c>
      <c r="F80" s="29" t="s">
        <v>176</v>
      </c>
      <c r="G80" s="7" t="s">
        <v>180</v>
      </c>
      <c r="H80" s="7"/>
      <c r="I80" s="7" t="s">
        <v>178</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174</v>
      </c>
      <c r="C81" s="21" t="s">
        <v>181</v>
      </c>
      <c r="D81" s="29" t="n">
        <v>167</v>
      </c>
      <c r="E81" s="29" t="n">
        <v>13</v>
      </c>
      <c r="F81" s="29" t="s">
        <v>176</v>
      </c>
      <c r="G81" s="7" t="s">
        <v>182</v>
      </c>
      <c r="H81" s="7"/>
      <c r="I81" s="7" t="s">
        <v>183</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174</v>
      </c>
      <c r="C82" s="21" t="s">
        <v>184</v>
      </c>
      <c r="D82" s="29" t="n">
        <v>167</v>
      </c>
      <c r="E82" s="29" t="n">
        <v>13</v>
      </c>
      <c r="F82" s="29" t="s">
        <v>176</v>
      </c>
      <c r="G82" s="7" t="s">
        <v>185</v>
      </c>
      <c r="H82" s="7"/>
      <c r="I82" s="7" t="s">
        <v>183</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186</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187</v>
      </c>
      <c r="E94" s="24" t="s">
        <v>188</v>
      </c>
      <c r="F94" s="24" t="s">
        <v>189</v>
      </c>
      <c r="G94" s="24" t="s">
        <v>56</v>
      </c>
      <c r="H94" s="36" t="s">
        <v>190</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191</v>
      </c>
      <c r="C95" s="21" t="s">
        <v>192</v>
      </c>
      <c r="D95" s="29" t="n">
        <v>0.25</v>
      </c>
      <c r="E95" s="29" t="n">
        <v>33000</v>
      </c>
      <c r="F95" s="37" t="n">
        <f aca="false">IF(OR(ISBLANK(D95),ISBLANK(E95)), "", D95*E95)</f>
        <v>8250</v>
      </c>
      <c r="G95" s="29" t="n">
        <v>400</v>
      </c>
      <c r="H95" s="21" t="s">
        <v>193</v>
      </c>
      <c r="I95" s="7" t="s">
        <v>194</v>
      </c>
      <c r="J95" s="7"/>
      <c r="K95" s="7" t="s">
        <v>195</v>
      </c>
      <c r="L95" s="5" t="str">
        <f aca="false">IF(COUNTBLANK(B95:K95)=10,IncompleteText,IF(AND(COUNTBLANK(B95:K95)=1,G95&gt;=90),OKText,ErrorText))</f>
        <v>OK</v>
      </c>
      <c r="M95" s="7" t="s">
        <v>196</v>
      </c>
      <c r="N95" s="7"/>
      <c r="O95" s="7"/>
      <c r="P95" s="7"/>
      <c r="Q95" s="7"/>
      <c r="R95" s="31" t="s">
        <v>197</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41" r:id="rId12" display="https://www.eaton.com/content/dam/eaton/products/electronic-components/resources/data-sheet/eaton-pc-tron-subminiature-radial-leaded-fuses-data-sheet.pdf"/>
    <hyperlink ref="H42" r:id="rId13" display="https://www.grainger.com/ec/pdf/6XPF4_1.pdf"/>
    <hyperlink ref="H43" r:id="rId14" display="https://www.belfuse.com/resources/datasheets/circuitprotection/ds-cp-0adax-series.pdf"/>
    <hyperlink ref="H44" r:id="rId15" display="https://www.belfuse.com/resources/datasheets/circuitprotection/ds-CP-0ADG-series.pdf"/>
    <hyperlink ref="H45" r:id="rId16" display="https://www.energusps.com/web/binary/saveas?filename_field=datas_fname&amp;field=datas&amp;model=ir.attachment&amp;id=4223"/>
    <hyperlink ref="H46" r:id="rId17" display="https://us.schurter.com/en/datasheet/typ_SHT_6.3x32.pdf"/>
    <hyperlink ref="K56" r:id="rId18" display="https://www.ohmite.com/assets/docs/res_200.pdf?r=false"/>
    <hyperlink ref="K57" r:id="rId19" display="https://www.te.com/usa-en/product-6-2176416-7.datasheet.pdf"/>
    <hyperlink ref="K58" r:id="rId20" display="https://www.te.com/usa-en/product-8-1879354-9.datasheet.pdf"/>
    <hyperlink ref="H65" r:id="rId21" display="https://www.te.com/commerce/DocumentDelivery/DDEController?Action=srchrtrv&amp;DocNm=1462043-2&amp;DocType=Customer+Drawing&amp;DocLang=English"/>
    <hyperlink ref="H66" r:id="rId22" display="https://www.sensata.com/sites/default/files/a/sensata-gigavac-gv24-sereies-800v-contactors-datasheet.pdf"/>
    <hyperlink ref="H67" r:id="rId23" display="https://www.sensata.com/sites/default/files/a/sensata-gigavac-p115-series-minitactor-contactors-datasheet.pdf"/>
    <hyperlink ref="H68" r:id="rId24" display="https://www.sensata.com/sites/default/files/a/sensata-gigavac-pnc113-series-minitactor-contactors-datasheet.pdf"/>
    <hyperlink ref="G73" r:id="rId25"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6" display="https://www.molex.com/webdocs/datasheets/pdf/en-us/0334724001_CRIMP_HOUSINGS.pdf"/>
    <hyperlink ref="G75" r:id="rId27" display="https://www.muellerelectric.com/product_files/986/DS-BU-P72930-@.pdf"/>
    <hyperlink ref="G76" r:id="rId28" display="https://www.muellerelectric.com/product_files/986/DS-BU-P72930-@.pdf"/>
    <hyperlink ref="G77" r:id="rId29" display="https://www.farnell.com/datasheets/2013715.pdf"/>
    <hyperlink ref="G78" r:id="rId30" display="https://www.farnell.com/datasheets/2013715.pdf"/>
    <hyperlink ref="G79" r:id="rId31" display="https://www.te.com/usa-en/product-DTM06-12SA.datasheet.pdf"/>
    <hyperlink ref="G80" r:id="rId32" display="https://www.te.com/usa-en/product-DTM04-12PA-L012.datasheet.pdf"/>
    <hyperlink ref="G81" r:id="rId33" display="https://www.te.com/usa-en/product-DT04-6P-CL09.datasheet.pdf"/>
    <hyperlink ref="G82" r:id="rId34" display="https://www.te.com/usa-en/product-DT06-6S.datasheet.pdf"/>
    <hyperlink ref="I95" r:id="rId35"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C1" colorId="64" zoomScale="75" zoomScaleNormal="75" zoomScalePageLayoutView="100" workbookViewId="0">
      <pane xSplit="0" ySplit="1" topLeftCell="A20" activePane="bottomLeft" state="frozen"/>
      <selection pane="topLeft" activeCell="C1" activeCellId="0" sqref="C1"/>
      <selection pane="bottomLeft" activeCell="O36" activeCellId="0" sqref="O36"/>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198</v>
      </c>
      <c r="B2" s="38"/>
      <c r="C2" s="38"/>
      <c r="D2" s="38"/>
      <c r="E2" s="38"/>
      <c r="F2" s="38"/>
      <c r="G2" s="38"/>
      <c r="H2" s="38"/>
      <c r="I2" s="38"/>
      <c r="J2" s="38"/>
      <c r="K2" s="38"/>
      <c r="M2" s="38" t="s">
        <v>199</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200</v>
      </c>
      <c r="B28" s="2"/>
      <c r="C28" s="2"/>
      <c r="D28" s="2"/>
      <c r="E28" s="2"/>
      <c r="F28" s="2"/>
      <c r="G28" s="2"/>
      <c r="H28" s="2"/>
      <c r="I28" s="2"/>
      <c r="J28" s="2"/>
      <c r="K28" s="40" t="str">
        <f aca="false">IF(COUNTIF(K30:K43, "="&amp;IncompleteText), IncompleteText, IF(COUNTIF(K30:K43, "="&amp;ErrorText), ErrorText, OKText))</f>
        <v>OK</v>
      </c>
      <c r="M28" s="2" t="s">
        <v>201</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202</v>
      </c>
      <c r="D30" s="22"/>
      <c r="E30" s="22"/>
      <c r="F30" s="22"/>
      <c r="G30" s="22"/>
      <c r="H30" s="22"/>
      <c r="I30" s="22"/>
      <c r="J30" s="44" t="b">
        <f aca="false">TRUE()</f>
        <v>1</v>
      </c>
      <c r="K30" s="45" t="str">
        <f aca="false">IF(ISBLANK(J30),IncompleteText, IF(J30, OKText, ErrorText))</f>
        <v>OK</v>
      </c>
      <c r="M30" s="43"/>
      <c r="N30" s="43"/>
      <c r="O30" s="22" t="s">
        <v>203</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204</v>
      </c>
      <c r="D31" s="22"/>
      <c r="E31" s="22"/>
      <c r="F31" s="22"/>
      <c r="G31" s="22"/>
      <c r="H31" s="22"/>
      <c r="I31" s="22"/>
      <c r="J31" s="44" t="b">
        <f aca="false">TRUE()</f>
        <v>1</v>
      </c>
      <c r="K31" s="45" t="str">
        <f aca="false">IF(ISBLANK(J31),IncompleteText, IF(J31, OKText, ErrorText))</f>
        <v>OK</v>
      </c>
      <c r="M31" s="46"/>
      <c r="N31" s="46"/>
      <c r="O31" s="22" t="s">
        <v>205</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205</v>
      </c>
      <c r="D32" s="22"/>
      <c r="E32" s="22"/>
      <c r="F32" s="22"/>
      <c r="G32" s="22"/>
      <c r="H32" s="22"/>
      <c r="I32" s="22"/>
      <c r="J32" s="44" t="b">
        <f aca="false">TRUE()</f>
        <v>1</v>
      </c>
      <c r="K32" s="45" t="str">
        <f aca="false">IF(ISBLANK(J32),IncompleteText, IF(J32, OKText, ErrorText))</f>
        <v>OK</v>
      </c>
      <c r="M32" s="46"/>
      <c r="N32" s="46"/>
      <c r="O32" s="22" t="s">
        <v>206</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206</v>
      </c>
      <c r="D33" s="22"/>
      <c r="E33" s="22"/>
      <c r="F33" s="22"/>
      <c r="G33" s="22"/>
      <c r="H33" s="22"/>
      <c r="I33" s="22"/>
      <c r="J33" s="44" t="b">
        <f aca="false">TRUE()</f>
        <v>1</v>
      </c>
      <c r="K33" s="45" t="str">
        <f aca="false">IF(ISBLANK(J33),IncompleteText, IF(J33, OKText, ErrorText))</f>
        <v>OK</v>
      </c>
      <c r="M33" s="46"/>
      <c r="N33" s="46"/>
      <c r="O33" s="22" t="s">
        <v>207</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207</v>
      </c>
      <c r="D34" s="22"/>
      <c r="E34" s="22"/>
      <c r="F34" s="22"/>
      <c r="G34" s="22"/>
      <c r="H34" s="22"/>
      <c r="I34" s="22"/>
      <c r="J34" s="44" t="b">
        <f aca="false">TRUE()</f>
        <v>1</v>
      </c>
      <c r="K34" s="45" t="str">
        <f aca="false">IF(ISBLANK(J34),IncompleteText, IF(J34, OKText, ErrorText))</f>
        <v>OK</v>
      </c>
      <c r="M34" s="47"/>
      <c r="N34" s="47"/>
      <c r="O34" s="22" t="s">
        <v>208</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208</v>
      </c>
      <c r="D35" s="22"/>
      <c r="E35" s="22"/>
      <c r="F35" s="22"/>
      <c r="G35" s="22"/>
      <c r="H35" s="22"/>
      <c r="I35" s="22"/>
      <c r="J35" s="44" t="b">
        <f aca="false">TRUE()</f>
        <v>1</v>
      </c>
      <c r="K35" s="45" t="str">
        <f aca="false">IF(ISBLANK(J35),IncompleteText, IF(J35, OKText, ErrorText))</f>
        <v>OK</v>
      </c>
      <c r="M35" s="46"/>
      <c r="N35" s="46"/>
      <c r="O35" s="22" t="s">
        <v>209</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210</v>
      </c>
      <c r="D36" s="22"/>
      <c r="E36" s="22"/>
      <c r="F36" s="22"/>
      <c r="G36" s="22"/>
      <c r="H36" s="22"/>
      <c r="I36" s="22"/>
      <c r="J36" s="44" t="b">
        <f aca="false">TRUE()</f>
        <v>1</v>
      </c>
      <c r="K36" s="45" t="str">
        <f aca="false">IF(ISBLANK(J36),IncompleteText, IF(J36, OKText, ErrorText))</f>
        <v>OK</v>
      </c>
      <c r="M36" s="46"/>
      <c r="N36" s="46"/>
      <c r="O36" s="22" t="s">
        <v>211</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209</v>
      </c>
      <c r="D37" s="22"/>
      <c r="E37" s="22"/>
      <c r="F37" s="22"/>
      <c r="G37" s="22"/>
      <c r="H37" s="22"/>
      <c r="I37" s="22"/>
      <c r="J37" s="44" t="b">
        <f aca="false">TRUE()</f>
        <v>1</v>
      </c>
      <c r="K37" s="45" t="str">
        <f aca="false">IF(ISBLANK(J37),IncompleteText, IF(J37, OKText, ErrorText))</f>
        <v>OK</v>
      </c>
      <c r="M37" s="46"/>
      <c r="N37" s="46"/>
      <c r="O37" s="22" t="s">
        <v>212</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211</v>
      </c>
      <c r="D38" s="22"/>
      <c r="E38" s="22"/>
      <c r="F38" s="22"/>
      <c r="G38" s="22"/>
      <c r="H38" s="22"/>
      <c r="I38" s="22"/>
      <c r="J38" s="44" t="b">
        <f aca="false">TRUE()</f>
        <v>1</v>
      </c>
      <c r="K38" s="45" t="str">
        <f aca="false">IF(ISBLANK(J38),IncompleteText, IF(J38, OKText, ErrorText))</f>
        <v>OK</v>
      </c>
      <c r="M38" s="46" t="s">
        <v>213</v>
      </c>
      <c r="N38" s="46"/>
      <c r="O38" s="22" t="s">
        <v>214</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212</v>
      </c>
      <c r="D39" s="22"/>
      <c r="E39" s="22"/>
      <c r="F39" s="22"/>
      <c r="G39" s="22"/>
      <c r="H39" s="22"/>
      <c r="I39" s="22"/>
      <c r="J39" s="44" t="b">
        <f aca="false">TRUE()</f>
        <v>1</v>
      </c>
      <c r="K39" s="45" t="str">
        <f aca="false">IF(ISBLANK(J39),IncompleteText, IF(J39, OKText, ErrorText))</f>
        <v>OK</v>
      </c>
      <c r="M39" s="46" t="s">
        <v>215</v>
      </c>
      <c r="N39" s="46"/>
      <c r="O39" s="22" t="s">
        <v>216</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217</v>
      </c>
      <c r="B40" s="46"/>
      <c r="C40" s="22" t="s">
        <v>218</v>
      </c>
      <c r="D40" s="22"/>
      <c r="E40" s="22"/>
      <c r="F40" s="22"/>
      <c r="G40" s="22"/>
      <c r="H40" s="22"/>
      <c r="I40" s="22"/>
      <c r="J40" s="44" t="b">
        <f aca="false">TRUE()</f>
        <v>1</v>
      </c>
      <c r="K40" s="45" t="str">
        <f aca="false">IF(ISBLANK(J40),IncompleteText, IF(J40, OKText, ErrorText))</f>
        <v>OK</v>
      </c>
      <c r="M40" s="46"/>
      <c r="N40" s="46"/>
      <c r="O40" s="22" t="s">
        <v>219</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220</v>
      </c>
      <c r="D41" s="22"/>
      <c r="E41" s="22"/>
      <c r="F41" s="22"/>
      <c r="G41" s="22"/>
      <c r="H41" s="22"/>
      <c r="I41" s="22"/>
      <c r="J41" s="44" t="b">
        <f aca="false">TRUE()</f>
        <v>1</v>
      </c>
      <c r="K41" s="45" t="str">
        <f aca="false">IF(ISBLANK(J41),IncompleteText, IF(J41, OKText, ErrorText))</f>
        <v>OK</v>
      </c>
      <c r="M41" s="46"/>
      <c r="N41" s="46"/>
      <c r="O41" s="22" t="s">
        <v>221</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222</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223</v>
      </c>
      <c r="B43" s="46"/>
      <c r="C43" s="22" t="s">
        <v>224</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225</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226</v>
      </c>
      <c r="B48" s="43"/>
      <c r="C48" s="22" t="s">
        <v>98</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227</v>
      </c>
      <c r="B49" s="46"/>
      <c r="C49" s="22" t="s">
        <v>155</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228</v>
      </c>
      <c r="B50" s="46"/>
      <c r="C50" s="22" t="s">
        <v>118</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228</v>
      </c>
      <c r="B51" s="46"/>
      <c r="C51" s="22" t="s">
        <v>123</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229</v>
      </c>
      <c r="B52" s="46"/>
      <c r="C52" s="22" t="s">
        <v>160</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230</v>
      </c>
      <c r="B53" s="46"/>
      <c r="C53" s="22" t="s">
        <v>231</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230</v>
      </c>
      <c r="B54" s="46"/>
      <c r="C54" s="22" t="s">
        <v>232</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807A4B2D-59AC-41CC-AC31-C12E43FD8CB7}">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237BB0BD-ECB5-4922-9AD4-27FAE0508D00}">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U9" activeCellId="0" sqref="U9"/>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233</v>
      </c>
      <c r="B3" s="22"/>
      <c r="C3" s="22"/>
      <c r="D3" s="22"/>
      <c r="E3" s="29" t="s">
        <v>234</v>
      </c>
      <c r="G3" s="5" t="str">
        <f aca="false">IF(ISBLANK(E3), IncompleteText, OKText)</f>
        <v>OK</v>
      </c>
    </row>
    <row r="4" customFormat="false" ht="13.5" hidden="false" customHeight="false" outlineLevel="0" collapsed="false">
      <c r="A4" s="22" t="s">
        <v>235</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236</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237</v>
      </c>
      <c r="B6" s="22"/>
      <c r="C6" s="22"/>
      <c r="D6" s="22"/>
      <c r="E6" s="37" t="n">
        <f aca="false">SUMPRODUCT(B12:B29,C12:C29)</f>
        <v>480</v>
      </c>
    </row>
    <row r="8" customFormat="false" ht="13.5" hidden="false" customHeight="false" outlineLevel="0" collapsed="false">
      <c r="A8" s="2" t="s">
        <v>238</v>
      </c>
      <c r="B8" s="2"/>
      <c r="C8" s="2"/>
      <c r="D8" s="2"/>
      <c r="E8" s="2"/>
      <c r="F8" s="2"/>
      <c r="G8" s="2"/>
      <c r="H8" s="2"/>
      <c r="I8" s="2"/>
      <c r="J8" s="5" t="str">
        <f aca="false">IF(COUNTIF(J9:J29, "="&amp;IncompleteText), IncompleteText, IF(COUNTIF(J9:J29, "="&amp;ErrorText), ErrorText, OKText))</f>
        <v>OK</v>
      </c>
      <c r="K8" s="2" t="s">
        <v>239</v>
      </c>
      <c r="L8" s="2"/>
      <c r="M8" s="2"/>
      <c r="N8" s="2"/>
      <c r="O8" s="2"/>
      <c r="P8" s="2"/>
      <c r="Q8" s="5" t="str">
        <f aca="false">IF(COUNTIF(Q9:Q30, "="&amp;IncompleteText), IncompleteText, IF(COUNTIF(Q9:Q30, "="&amp;ErrorText), ErrorText, OKText))</f>
        <v>OK</v>
      </c>
      <c r="R8" s="2" t="s">
        <v>240</v>
      </c>
      <c r="S8" s="2"/>
      <c r="T8" s="2"/>
      <c r="U8" s="2"/>
      <c r="V8" s="2"/>
      <c r="W8" s="5" t="str">
        <f aca="false">IF(COUNTIF(W9:W21, "="&amp;IncompleteText), IncompleteText, IF(COUNTIF(W9:W21, "="&amp;ErrorText), ErrorText, OKText))</f>
        <v>BLANK</v>
      </c>
      <c r="X8" s="2" t="s">
        <v>186</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241</v>
      </c>
      <c r="B9" s="22"/>
      <c r="C9" s="22"/>
      <c r="D9" s="34" t="s">
        <v>242</v>
      </c>
      <c r="E9" s="34"/>
      <c r="J9" s="5" t="str">
        <f aca="false">IF(ISBLANK(D9), IncompleteText, OKText)</f>
        <v>OK</v>
      </c>
      <c r="K9" s="22" t="s">
        <v>243</v>
      </c>
      <c r="L9" s="22"/>
      <c r="M9" s="22"/>
      <c r="N9" s="22"/>
      <c r="O9" s="7" t="s">
        <v>244</v>
      </c>
      <c r="P9" s="7"/>
      <c r="Q9" s="5" t="str">
        <f aca="false">IF(ISBLANK(O9), IncompleteText, OKText)</f>
        <v>OK</v>
      </c>
      <c r="R9" s="22" t="s">
        <v>245</v>
      </c>
      <c r="S9" s="22"/>
      <c r="T9" s="22"/>
      <c r="U9" s="34"/>
      <c r="V9" s="34"/>
      <c r="W9" s="5" t="str">
        <f aca="false">IF(ISBLANK(U9), IncompleteText, OKText)</f>
        <v>BLANK</v>
      </c>
      <c r="X9" s="22" t="s">
        <v>246</v>
      </c>
      <c r="Y9" s="22"/>
      <c r="Z9" s="22"/>
      <c r="AA9" s="22"/>
      <c r="AB9" s="7" t="s">
        <v>247</v>
      </c>
      <c r="AC9" s="7"/>
      <c r="AD9" s="5" t="str">
        <f aca="false">IF(ISBLANK(AB9), IncompleteText, OKText)</f>
        <v>OK</v>
      </c>
      <c r="AE9" s="11"/>
      <c r="AF9" s="11"/>
      <c r="AG9" s="11"/>
      <c r="AH9" s="11"/>
      <c r="AI9" s="11"/>
      <c r="AJ9" s="11"/>
      <c r="AK9" s="11"/>
    </row>
    <row r="10" customFormat="false" ht="13.5" hidden="false" customHeight="true" outlineLevel="0" collapsed="false">
      <c r="A10" s="27" t="s">
        <v>248</v>
      </c>
      <c r="B10" s="33" t="s">
        <v>249</v>
      </c>
      <c r="C10" s="33" t="s">
        <v>250</v>
      </c>
      <c r="D10" s="33" t="s">
        <v>251</v>
      </c>
      <c r="E10" s="33" t="s">
        <v>252</v>
      </c>
      <c r="F10" s="27" t="s">
        <v>253</v>
      </c>
      <c r="G10" s="27"/>
      <c r="H10" s="33" t="s">
        <v>254</v>
      </c>
      <c r="I10" s="33"/>
      <c r="K10" s="22" t="s">
        <v>255</v>
      </c>
      <c r="L10" s="22"/>
      <c r="M10" s="22"/>
      <c r="N10" s="22"/>
      <c r="O10" s="7" t="s">
        <v>256</v>
      </c>
      <c r="P10" s="7"/>
      <c r="Q10" s="5" t="str">
        <f aca="false">IF(ISBLANK(O10), IncompleteText, OKText)</f>
        <v>OK</v>
      </c>
      <c r="R10" s="22" t="s">
        <v>257</v>
      </c>
      <c r="S10" s="22"/>
      <c r="T10" s="22"/>
      <c r="U10" s="37" t="e">
        <f aca="false">VLOOKUP(U9, ConnectorsTable, 5, FALSE())</f>
        <v>#N/A</v>
      </c>
      <c r="V10" s="1" t="s">
        <v>19</v>
      </c>
      <c r="W10" s="5" t="str">
        <f aca="false">IF(ISERROR(U10),IncompleteText,IF(E3="Series",IF(U10&gt;=U20,OKText,ErrorText),IF(E3="Parallel",IF(U10&gt;=U12,OKText,ErrorText),IncompleteText)))</f>
        <v>BLANK</v>
      </c>
      <c r="X10" s="22" t="s">
        <v>258</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259</v>
      </c>
      <c r="M11" s="7"/>
      <c r="N11" s="19" t="s">
        <v>32</v>
      </c>
      <c r="O11" s="7" t="s">
        <v>260</v>
      </c>
      <c r="P11" s="7"/>
      <c r="Q11" s="5" t="str">
        <f aca="false">IF(O10="Purchased", IF(OR(ISBLANK(L11), ISBLANK(O11)), IncompleteText, OKText), "")</f>
        <v>OK</v>
      </c>
      <c r="R11" s="22" t="s">
        <v>261</v>
      </c>
      <c r="S11" s="22"/>
      <c r="T11" s="22"/>
      <c r="U11" s="34"/>
      <c r="V11" s="34"/>
      <c r="W11" s="5" t="str">
        <f aca="false">IF(E3="Series","",IF(ISBLANK(U11), IncompleteText, OKText))</f>
        <v/>
      </c>
      <c r="X11" s="22" t="s">
        <v>262</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263</v>
      </c>
      <c r="L12" s="22"/>
      <c r="M12" s="22"/>
      <c r="N12" s="22"/>
      <c r="O12" s="29" t="n">
        <v>2500</v>
      </c>
      <c r="P12" s="1" t="s">
        <v>17</v>
      </c>
      <c r="Q12" s="5" t="str">
        <f aca="false">IF(ISBLANK(O12), IncompleteText, IF(O12&lt;E4, ErrorText, OKText))</f>
        <v>OK</v>
      </c>
      <c r="R12" s="22" t="s">
        <v>264</v>
      </c>
      <c r="S12" s="22"/>
      <c r="T12" s="22"/>
      <c r="U12" s="37" t="e">
        <f aca="false">VLOOKUP(U11, FusesTable, 6, FALSE())</f>
        <v>#N/A</v>
      </c>
      <c r="V12" s="51" t="s">
        <v>19</v>
      </c>
      <c r="X12" s="22" t="s">
        <v>265</v>
      </c>
      <c r="Y12" s="22"/>
      <c r="Z12" s="22"/>
      <c r="AA12" s="22"/>
      <c r="AB12" s="7" t="s">
        <v>247</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266</v>
      </c>
      <c r="L13" s="22"/>
      <c r="M13" s="22"/>
      <c r="N13" s="22"/>
      <c r="O13" s="29" t="n">
        <v>100</v>
      </c>
      <c r="P13" s="1" t="s">
        <v>17</v>
      </c>
      <c r="Q13" s="5" t="str">
        <f aca="false">IF(ISBLANK(O13), IncompleteText, IF(O13&lt;MAX(F12:G29), ErrorText, OKText))</f>
        <v>OK</v>
      </c>
      <c r="R13" s="2" t="s">
        <v>267</v>
      </c>
      <c r="S13" s="2"/>
      <c r="T13" s="2"/>
      <c r="U13" s="2"/>
      <c r="V13" s="2"/>
      <c r="X13" s="22" t="s">
        <v>258</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268</v>
      </c>
      <c r="L14" s="22"/>
      <c r="M14" s="22"/>
      <c r="N14" s="22"/>
      <c r="O14" s="7"/>
      <c r="P14" s="7"/>
      <c r="Q14" s="5" t="str">
        <f aca="false">IF($O$10="Team Built", IF(ISBLANK(O14), IncompleteText, OKText), "")</f>
        <v/>
      </c>
      <c r="R14" s="22" t="s">
        <v>269</v>
      </c>
      <c r="S14" s="22"/>
      <c r="T14" s="22"/>
      <c r="U14" s="34" t="s">
        <v>270</v>
      </c>
      <c r="V14" s="34"/>
      <c r="W14" s="5" t="str">
        <f aca="false">IF(ISBLANK(U14), IncompleteText, OKText)</f>
        <v>OK</v>
      </c>
      <c r="X14" s="22" t="s">
        <v>262</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271</v>
      </c>
      <c r="L15" s="22"/>
      <c r="M15" s="22"/>
      <c r="N15" s="22"/>
      <c r="O15" s="7"/>
      <c r="P15" s="7"/>
      <c r="Q15" s="5" t="str">
        <f aca="false">IF($O$10="Team Built", IF(ISBLANK(O15), IncompleteText, OKText), "")</f>
        <v/>
      </c>
      <c r="R15" s="22" t="s">
        <v>272</v>
      </c>
      <c r="S15" s="22"/>
      <c r="T15" s="22"/>
      <c r="U15" s="37" t="n">
        <f aca="false">VLOOKUP(U14, ContactorsTable, 4, FALSE())</f>
        <v>800</v>
      </c>
      <c r="V15" s="1" t="s">
        <v>17</v>
      </c>
      <c r="W15" s="5" t="str">
        <f aca="false">IF(ISERROR(U15), IncompleteText, IF(U15 &lt; MaxTSVoltage,  ErrorText, OKText))</f>
        <v>OK</v>
      </c>
      <c r="X15" s="22" t="s">
        <v>273</v>
      </c>
      <c r="Y15" s="22"/>
      <c r="Z15" s="22"/>
      <c r="AA15" s="22"/>
      <c r="AB15" s="7" t="s">
        <v>247</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274</v>
      </c>
      <c r="L16" s="52"/>
      <c r="M16" s="52"/>
      <c r="N16" s="52"/>
      <c r="O16" s="52"/>
      <c r="P16" s="52"/>
      <c r="R16" s="22" t="s">
        <v>275</v>
      </c>
      <c r="S16" s="22"/>
      <c r="T16" s="22"/>
      <c r="U16" s="37" t="n">
        <f aca="false">VLOOKUP(U14, ContactorsTable, 6, FALSE())</f>
        <v>900</v>
      </c>
      <c r="V16" s="1" t="s">
        <v>19</v>
      </c>
      <c r="X16" s="22" t="s">
        <v>258</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276</v>
      </c>
      <c r="L17" s="22"/>
      <c r="M17" s="22"/>
      <c r="N17" s="22"/>
      <c r="O17" s="29" t="n">
        <v>55</v>
      </c>
      <c r="P17" s="1" t="s">
        <v>277</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262</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278</v>
      </c>
      <c r="L18" s="53"/>
      <c r="M18" s="53"/>
      <c r="N18" s="53"/>
      <c r="O18" s="7" t="s">
        <v>279</v>
      </c>
      <c r="P18" s="7"/>
      <c r="Q18" s="5" t="str">
        <f aca="false">IF(ISBLANK(O18), IncompleteText, OKText)</f>
        <v>OK</v>
      </c>
      <c r="R18" s="2" t="s">
        <v>280</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281</v>
      </c>
      <c r="L19" s="22"/>
      <c r="M19" s="22"/>
      <c r="N19" s="22"/>
      <c r="O19" s="7" t="s">
        <v>10</v>
      </c>
      <c r="P19" s="7"/>
      <c r="Q19" s="5" t="str">
        <f aca="false">IF(ISBLANK(O19), IncompleteText, OKText)</f>
        <v>OK</v>
      </c>
      <c r="R19" s="22" t="s">
        <v>280</v>
      </c>
      <c r="S19" s="22"/>
      <c r="T19" s="22"/>
      <c r="U19" s="34" t="s">
        <v>282</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283</v>
      </c>
      <c r="L20" s="22"/>
      <c r="M20" s="22"/>
      <c r="N20" s="22"/>
      <c r="O20" s="34" t="s">
        <v>284</v>
      </c>
      <c r="P20" s="34"/>
      <c r="Q20" s="5" t="str">
        <f aca="false">IF(O19="Other", IF(ISBLANK(O20), IncompleteText, OKText), "")</f>
        <v>OK</v>
      </c>
      <c r="R20" s="22" t="s">
        <v>285</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286</v>
      </c>
      <c r="L21" s="22"/>
      <c r="M21" s="22"/>
      <c r="N21" s="22"/>
      <c r="O21" s="54" t="n">
        <f aca="false">VLOOKUP(O18, FusesTable, 4, FALSE())</f>
        <v>450</v>
      </c>
      <c r="P21" s="54"/>
      <c r="Q21" s="5" t="str">
        <f aca="false">IF(ISERROR(O21), IncompleteText, IF(AND(O21 &lt; MAX(F12:G29), O9 = "Centralized"),  ErrorText, OKText))</f>
        <v>OK</v>
      </c>
      <c r="R21" s="22" t="s">
        <v>287</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288</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289</v>
      </c>
      <c r="L23" s="22"/>
      <c r="M23" s="22"/>
      <c r="N23" s="22"/>
      <c r="O23" s="34" t="s">
        <v>290</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291</v>
      </c>
      <c r="L24" s="22"/>
      <c r="M24" s="22"/>
      <c r="N24" s="22"/>
      <c r="O24" s="29"/>
      <c r="P24" s="51" t="s">
        <v>292</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293</v>
      </c>
      <c r="L25" s="22"/>
      <c r="M25" s="22"/>
      <c r="N25" s="22"/>
      <c r="O25" s="29" t="n">
        <v>5</v>
      </c>
      <c r="P25" s="1" t="s">
        <v>294</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295</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296</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297</v>
      </c>
      <c r="L28" s="22"/>
      <c r="M28" s="22"/>
      <c r="N28" s="22"/>
      <c r="O28" s="29"/>
      <c r="P28" s="1" t="s">
        <v>298</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299</v>
      </c>
      <c r="L29" s="22"/>
      <c r="M29" s="22"/>
      <c r="N29" s="22"/>
      <c r="O29" s="29"/>
      <c r="P29" s="1" t="s">
        <v>292</v>
      </c>
      <c r="Q29" s="5" t="str">
        <f aca="false">IF(ISBLANK($O$26), "", IF(ISBLANK(O29), IncompleteText, OKText))</f>
        <v/>
      </c>
      <c r="AE29" s="11"/>
      <c r="AF29" s="11"/>
      <c r="AG29" s="11"/>
      <c r="AH29" s="11"/>
      <c r="AI29" s="11"/>
      <c r="AJ29" s="11"/>
      <c r="AK29" s="11"/>
    </row>
    <row r="30" customFormat="false" ht="16.4" hidden="false" customHeight="false" outlineLevel="0" collapsed="false">
      <c r="K30" s="22" t="s">
        <v>300</v>
      </c>
      <c r="L30" s="22"/>
      <c r="M30" s="22"/>
      <c r="N30" s="22"/>
      <c r="O30" s="37" t="n">
        <f aca="false">SUMIF(J12:J29, "=OK", D12:D29)*CellsPerTempSensor/TotalCells*100</f>
        <v>100</v>
      </c>
      <c r="P30" s="1" t="s">
        <v>301</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302</v>
      </c>
      <c r="B33" s="38"/>
      <c r="C33" s="38"/>
      <c r="D33" s="38"/>
      <c r="E33" s="38"/>
      <c r="F33" s="38"/>
      <c r="G33" s="38"/>
      <c r="H33" s="38"/>
      <c r="J33" s="57" t="s">
        <v>303</v>
      </c>
      <c r="K33" s="57"/>
      <c r="L33" s="57"/>
      <c r="M33" s="57"/>
      <c r="N33" s="57"/>
      <c r="O33" s="57"/>
      <c r="P33" s="57"/>
      <c r="Q33" s="57"/>
      <c r="S33" s="38" t="s">
        <v>304</v>
      </c>
      <c r="T33" s="38"/>
      <c r="U33" s="38"/>
      <c r="V33" s="38"/>
      <c r="W33" s="38"/>
      <c r="X33" s="38"/>
      <c r="Y33" s="38"/>
      <c r="Z33" s="38"/>
      <c r="AB33" s="38" t="s">
        <v>305</v>
      </c>
      <c r="AC33" s="38"/>
      <c r="AD33" s="38"/>
      <c r="AE33" s="38"/>
      <c r="AF33" s="38"/>
      <c r="AG33" s="38"/>
      <c r="AH33" s="38"/>
      <c r="AI33" s="38"/>
      <c r="AK33" s="57" t="s">
        <v>306</v>
      </c>
      <c r="AL33" s="57"/>
      <c r="AM33" s="57"/>
      <c r="AN33" s="57"/>
      <c r="AO33" s="57"/>
      <c r="AP33" s="57"/>
      <c r="AQ33" s="57"/>
      <c r="AR33" s="57"/>
      <c r="AT33" s="38" t="s">
        <v>307</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308</v>
      </c>
      <c r="B52" s="2"/>
      <c r="C52" s="2"/>
      <c r="D52" s="2"/>
      <c r="E52" s="2"/>
      <c r="F52" s="2"/>
      <c r="G52" s="2"/>
      <c r="H52" s="5" t="str">
        <f aca="false">IF(COUNTIF(H53:H55, "="&amp;IncompleteText), IncompleteText, IF(COUNTIF(H53:H55, "="&amp;ErrorText), ErrorText, OKText))</f>
        <v>OK</v>
      </c>
      <c r="J52" s="2" t="s">
        <v>309</v>
      </c>
      <c r="K52" s="2"/>
      <c r="L52" s="2"/>
      <c r="M52" s="2"/>
      <c r="N52" s="2"/>
      <c r="O52" s="2"/>
      <c r="P52" s="2"/>
      <c r="Q52" s="5" t="str">
        <f aca="false">IF(COUNTIF(Q53:Q54, "="&amp;IncompleteText), IncompleteText, IF(COUNTIF(Q53:Q54, "="&amp;ErrorText), ErrorText, OKText))</f>
        <v>OK</v>
      </c>
      <c r="S52" s="2" t="s">
        <v>310</v>
      </c>
      <c r="T52" s="2"/>
      <c r="U52" s="2"/>
      <c r="V52" s="2"/>
      <c r="W52" s="2"/>
      <c r="X52" s="2"/>
      <c r="Y52" s="2"/>
      <c r="Z52" s="5" t="str">
        <f aca="false">IF(COUNTIF(Z53:Z54, "="&amp;IncompleteText), IncompleteText, IF(COUNTIF(Z53:Z54, "="&amp;ErrorText), ErrorText, OKText))</f>
        <v>OK</v>
      </c>
      <c r="AB52" s="2" t="s">
        <v>311</v>
      </c>
      <c r="AC52" s="2"/>
      <c r="AD52" s="2"/>
      <c r="AE52" s="2"/>
      <c r="AF52" s="2"/>
      <c r="AG52" s="2"/>
      <c r="AH52" s="2"/>
      <c r="AI52" s="5" t="str">
        <f aca="false">IF(COUNTIF(AI53, "="&amp;IncompleteText), IncompleteText, IF(COUNTIF(AI53, "="&amp;ErrorText), ErrorText, OKText))</f>
        <v>OK</v>
      </c>
      <c r="AK52" s="2" t="s">
        <v>312</v>
      </c>
      <c r="AL52" s="2"/>
      <c r="AM52" s="2"/>
      <c r="AN52" s="2"/>
      <c r="AO52" s="2"/>
      <c r="AP52" s="2"/>
      <c r="AQ52" s="2"/>
      <c r="AR52" s="5" t="str">
        <f aca="false">IF(COUNTIF(AR53, "="&amp;IncompleteText), IncompleteText, IF(COUNTIF(AR53, "="&amp;ErrorText), ErrorText, OKText))</f>
        <v>OK</v>
      </c>
      <c r="AT52" s="2" t="s">
        <v>312</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313</v>
      </c>
      <c r="B53" s="20"/>
      <c r="C53" s="20"/>
      <c r="D53" s="20"/>
      <c r="E53" s="20"/>
      <c r="F53" s="20"/>
      <c r="G53" s="44" t="b">
        <f aca="false">TRUE()</f>
        <v>1</v>
      </c>
      <c r="H53" s="45" t="str">
        <f aca="false">IF(ISBLANK(G53),IncompleteText, IF(G53, OKText, ErrorText))</f>
        <v>OK</v>
      </c>
      <c r="J53" s="22" t="s">
        <v>314</v>
      </c>
      <c r="K53" s="22"/>
      <c r="L53" s="22"/>
      <c r="M53" s="22"/>
      <c r="N53" s="22"/>
      <c r="O53" s="22"/>
      <c r="P53" s="44" t="b">
        <f aca="false">TRUE()</f>
        <v>1</v>
      </c>
      <c r="Q53" s="45" t="str">
        <f aca="false">IF(ISBLANK(P53),IncompleteText, IF(P53, OKText, ErrorText))</f>
        <v>OK</v>
      </c>
      <c r="S53" s="22" t="s">
        <v>315</v>
      </c>
      <c r="T53" s="22"/>
      <c r="U53" s="22"/>
      <c r="V53" s="22"/>
      <c r="W53" s="22"/>
      <c r="X53" s="22"/>
      <c r="Y53" s="44" t="b">
        <f aca="false">TRUE()</f>
        <v>1</v>
      </c>
      <c r="Z53" s="45" t="str">
        <f aca="false">IF(ISBLANK(Y53),IncompleteText, IF(Y53, OKText, ErrorText))</f>
        <v>OK</v>
      </c>
      <c r="AB53" s="22" t="s">
        <v>316</v>
      </c>
      <c r="AC53" s="22"/>
      <c r="AD53" s="22"/>
      <c r="AE53" s="22"/>
      <c r="AF53" s="22"/>
      <c r="AG53" s="22"/>
      <c r="AH53" s="44" t="b">
        <f aca="false">TRUE()</f>
        <v>1</v>
      </c>
      <c r="AI53" s="45" t="str">
        <f aca="false">IF(ISBLANK(AH53),IncompleteText, IF(AH53, OKText, ErrorText))</f>
        <v>OK</v>
      </c>
      <c r="AK53" s="22" t="s">
        <v>317</v>
      </c>
      <c r="AL53" s="22"/>
      <c r="AM53" s="22"/>
      <c r="AN53" s="22"/>
      <c r="AO53" s="22"/>
      <c r="AP53" s="22"/>
      <c r="AQ53" s="44" t="b">
        <f aca="false">TRUE()</f>
        <v>1</v>
      </c>
      <c r="AR53" s="45" t="str">
        <f aca="false">IF(ISBLANK(AQ53),IncompleteText, IF(AQ53, OKText, ErrorText))</f>
        <v>OK</v>
      </c>
      <c r="AT53" s="22" t="s">
        <v>318</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319</v>
      </c>
      <c r="B54" s="20"/>
      <c r="C54" s="20"/>
      <c r="D54" s="20"/>
      <c r="E54" s="20"/>
      <c r="F54" s="20"/>
      <c r="G54" s="44" t="b">
        <f aca="false">TRUE()</f>
        <v>1</v>
      </c>
      <c r="H54" s="45" t="str">
        <f aca="false">IF(ISBLANK(G54),IncompleteText, IF(G54, OKText, ErrorText))</f>
        <v>OK</v>
      </c>
      <c r="J54" s="22" t="s">
        <v>320</v>
      </c>
      <c r="K54" s="22"/>
      <c r="L54" s="22"/>
      <c r="M54" s="22"/>
      <c r="N54" s="22"/>
      <c r="O54" s="22"/>
      <c r="P54" s="44" t="b">
        <f aca="false">TRUE()</f>
        <v>1</v>
      </c>
      <c r="Q54" s="45" t="str">
        <f aca="false">IF(ISBLANK(P54),IncompleteText, IF(P54, OKText, ErrorText))</f>
        <v>OK</v>
      </c>
      <c r="S54" s="22" t="s">
        <v>321</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322</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323</v>
      </c>
      <c r="AK55" s="11"/>
      <c r="AL55" s="11"/>
      <c r="AM55" s="11"/>
      <c r="AN55" s="11"/>
      <c r="AO55" s="11"/>
      <c r="AP55" s="11"/>
      <c r="AQ55" s="11"/>
      <c r="AR55" s="31" t="s">
        <v>324</v>
      </c>
      <c r="AT55" s="11"/>
      <c r="AU55" s="11"/>
      <c r="AV55" s="11"/>
      <c r="AW55" s="11"/>
      <c r="AX55" s="11"/>
      <c r="AY55" s="11"/>
      <c r="AZ55" s="11"/>
      <c r="BA55" s="31" t="s">
        <v>324</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325</v>
      </c>
      <c r="S56" s="11"/>
      <c r="T56" s="11"/>
      <c r="U56" s="11"/>
      <c r="V56" s="11"/>
      <c r="W56" s="11"/>
      <c r="X56" s="11"/>
      <c r="Y56" s="11"/>
      <c r="Z56" s="59" t="s">
        <v>326</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327</v>
      </c>
      <c r="B57" s="61"/>
      <c r="C57" s="61"/>
      <c r="D57" s="61"/>
      <c r="E57" s="61"/>
      <c r="F57" s="61"/>
      <c r="G57" s="61"/>
      <c r="H57" s="59" t="s">
        <v>215</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328</v>
      </c>
      <c r="B61" s="2"/>
      <c r="C61" s="2"/>
      <c r="D61" s="2"/>
      <c r="E61" s="2"/>
      <c r="F61" s="5" t="str">
        <f aca="false">IF(AND(B12=1), OKText, IF(COUNTIF(F62:F71, "="&amp;IncompleteText), IncompleteText, IF(COUNTIF(F62:F71, "="&amp;ErrorText), ErrorText, OKText)))</f>
        <v>OK</v>
      </c>
      <c r="G61" s="58" t="s">
        <v>329</v>
      </c>
      <c r="H61" s="58"/>
    </row>
    <row r="62" customFormat="false" ht="13.5" hidden="false" customHeight="true" outlineLevel="0" collapsed="false">
      <c r="A62" s="22" t="s">
        <v>330</v>
      </c>
      <c r="B62" s="22"/>
      <c r="C62" s="22"/>
      <c r="D62" s="7" t="s">
        <v>256</v>
      </c>
      <c r="E62" s="7"/>
      <c r="F62" s="5" t="str">
        <f aca="false">IF(B12 &lt;&gt; 1, IF(ISBLANK(D62),IncompleteText,OKText), "")</f>
        <v>OK</v>
      </c>
      <c r="G62" s="31" t="s">
        <v>331</v>
      </c>
      <c r="H62" s="31"/>
    </row>
    <row r="63" customFormat="false" ht="16.4" hidden="false" customHeight="false" outlineLevel="0" collapsed="false">
      <c r="A63" s="22" t="s">
        <v>269</v>
      </c>
      <c r="B63" s="22"/>
      <c r="C63" s="22"/>
      <c r="D63" s="7" t="s">
        <v>332</v>
      </c>
      <c r="E63" s="7"/>
      <c r="F63" s="45" t="str">
        <f aca="false">IF(D62 = "Purchased", IF(ISBLANK(D63), IncompleteText, OKText), "")</f>
        <v>OK</v>
      </c>
      <c r="G63" s="31"/>
      <c r="H63" s="31"/>
    </row>
    <row r="64" customFormat="false" ht="16.4" hidden="false" customHeight="false" outlineLevel="0" collapsed="false">
      <c r="A64" s="22" t="s">
        <v>333</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333</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334</v>
      </c>
      <c r="B67" s="2"/>
      <c r="C67" s="2"/>
      <c r="D67" s="2"/>
      <c r="E67" s="2"/>
    </row>
    <row r="68" customFormat="false" ht="16.4" hidden="false" customHeight="false" outlineLevel="0" collapsed="false">
      <c r="A68" s="22" t="s">
        <v>335</v>
      </c>
      <c r="B68" s="22"/>
      <c r="C68" s="22"/>
      <c r="D68" s="37" t="n">
        <f aca="false">COUNTIFS(C75:C90, "&lt;300", C75:C90, "&gt;30")</f>
        <v>0</v>
      </c>
      <c r="F68" s="5" t="str">
        <f aca="false">IF(D$62 = "Team Designed",IF(D68&gt;=4, OKText, ErrorText), "")</f>
        <v/>
      </c>
    </row>
    <row r="69" customFormat="false" ht="13.8" hidden="false" customHeight="false" outlineLevel="0" collapsed="false">
      <c r="A69" s="22" t="s">
        <v>336</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337</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338</v>
      </c>
      <c r="B71" s="22"/>
      <c r="C71" s="22"/>
      <c r="D71" s="37" t="n">
        <f aca="false">COUNTIFS(C75:C90, "&lt;0.15", C75:C90, "&gt;0.05")</f>
        <v>0</v>
      </c>
      <c r="F71" s="5" t="str">
        <f aca="false">IF(D$62 = "Team Designed",IF(D71&gt;=4, OKText, ErrorText), "")</f>
        <v/>
      </c>
    </row>
    <row r="72" customFormat="false" ht="13.8" hidden="false" customHeight="false" outlineLevel="0" collapsed="false">
      <c r="A72" s="1" t="s">
        <v>339</v>
      </c>
    </row>
    <row r="73" customFormat="false" ht="13.8" hidden="false" customHeight="false" outlineLevel="0" collapsed="false"/>
    <row r="74" customFormat="false" ht="31.3" hidden="false" customHeight="false" outlineLevel="0" collapsed="false">
      <c r="A74" s="51" t="s">
        <v>340</v>
      </c>
      <c r="B74" s="24" t="s">
        <v>341</v>
      </c>
      <c r="C74" s="24" t="s">
        <v>342</v>
      </c>
    </row>
    <row r="75" customFormat="false" ht="16.4" hidden="false" customHeight="false" outlineLevel="0" collapsed="false">
      <c r="A75" s="51" t="s">
        <v>343</v>
      </c>
      <c r="B75" s="29"/>
      <c r="C75" s="29"/>
    </row>
    <row r="76" customFormat="false" ht="16.4" hidden="false" customHeight="false" outlineLevel="0" collapsed="false">
      <c r="A76" s="51" t="s">
        <v>344</v>
      </c>
      <c r="B76" s="29"/>
      <c r="C76" s="29"/>
    </row>
    <row r="77" customFormat="false" ht="16.4" hidden="false" customHeight="false" outlineLevel="0" collapsed="false">
      <c r="A77" s="51" t="s">
        <v>345</v>
      </c>
      <c r="B77" s="29"/>
      <c r="C77" s="29"/>
    </row>
    <row r="78" customFormat="false" ht="16.4" hidden="false" customHeight="false" outlineLevel="0" collapsed="false">
      <c r="A78" s="51" t="s">
        <v>346</v>
      </c>
      <c r="B78" s="29"/>
      <c r="C78" s="29"/>
    </row>
    <row r="79" customFormat="false" ht="16.4" hidden="false" customHeight="false" outlineLevel="0" collapsed="false">
      <c r="A79" s="51" t="s">
        <v>347</v>
      </c>
      <c r="B79" s="29"/>
      <c r="C79" s="29"/>
    </row>
    <row r="80" customFormat="false" ht="16.4" hidden="false" customHeight="false" outlineLevel="0" collapsed="false">
      <c r="A80" s="51" t="s">
        <v>348</v>
      </c>
      <c r="B80" s="29"/>
      <c r="C80" s="29"/>
    </row>
    <row r="81" customFormat="false" ht="16.4" hidden="false" customHeight="false" outlineLevel="0" collapsed="false">
      <c r="A81" s="51" t="s">
        <v>349</v>
      </c>
      <c r="B81" s="29"/>
      <c r="C81" s="29"/>
    </row>
    <row r="82" customFormat="false" ht="16.4" hidden="false" customHeight="false" outlineLevel="0" collapsed="false">
      <c r="A82" s="51" t="s">
        <v>350</v>
      </c>
      <c r="B82" s="29"/>
      <c r="C82" s="29"/>
    </row>
    <row r="83" customFormat="false" ht="16.4" hidden="false" customHeight="false" outlineLevel="0" collapsed="false">
      <c r="A83" s="51" t="s">
        <v>351</v>
      </c>
      <c r="B83" s="29"/>
      <c r="C83" s="29"/>
    </row>
    <row r="84" customFormat="false" ht="16.4" hidden="false" customHeight="false" outlineLevel="0" collapsed="false">
      <c r="A84" s="51" t="s">
        <v>352</v>
      </c>
      <c r="B84" s="29"/>
      <c r="C84" s="29"/>
    </row>
    <row r="85" customFormat="false" ht="16.4" hidden="false" customHeight="false" outlineLevel="0" collapsed="false">
      <c r="A85" s="51" t="s">
        <v>353</v>
      </c>
      <c r="B85" s="29"/>
      <c r="C85" s="29"/>
    </row>
    <row r="86" customFormat="false" ht="16.4" hidden="false" customHeight="false" outlineLevel="0" collapsed="false">
      <c r="A86" s="51" t="s">
        <v>354</v>
      </c>
      <c r="B86" s="29"/>
      <c r="C86" s="29"/>
    </row>
    <row r="87" customFormat="false" ht="16.4" hidden="false" customHeight="false" outlineLevel="0" collapsed="false">
      <c r="A87" s="51" t="s">
        <v>355</v>
      </c>
      <c r="B87" s="29"/>
      <c r="C87" s="29"/>
    </row>
    <row r="88" customFormat="false" ht="16.4" hidden="false" customHeight="false" outlineLevel="0" collapsed="false">
      <c r="A88" s="51" t="s">
        <v>356</v>
      </c>
      <c r="B88" s="29"/>
      <c r="C88" s="29"/>
    </row>
    <row r="89" customFormat="false" ht="16.4" hidden="false" customHeight="false" outlineLevel="0" collapsed="false">
      <c r="A89" s="51" t="s">
        <v>357</v>
      </c>
      <c r="B89" s="29"/>
      <c r="C89" s="29"/>
    </row>
    <row r="90" customFormat="false" ht="16.4" hidden="false" customHeight="false" outlineLevel="0" collapsed="false">
      <c r="A90" s="51" t="s">
        <v>358</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10" activeCellId="0" sqref="J10"/>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118</v>
      </c>
      <c r="B2" s="2"/>
      <c r="C2" s="2"/>
      <c r="D2" s="2"/>
      <c r="E2" s="2"/>
      <c r="F2" s="5" t="str">
        <f aca="false">IF(COUNTIF(F3:F22, "="&amp;IncompleteText), IncompleteText, IF(COUNTIF(F3:F22, "="&amp;ErrorText), ErrorText, OKText))</f>
        <v>OK</v>
      </c>
      <c r="G2" s="2" t="s">
        <v>123</v>
      </c>
      <c r="H2" s="2"/>
      <c r="I2" s="2"/>
      <c r="J2" s="2"/>
      <c r="K2" s="2"/>
      <c r="L2" s="5" t="str">
        <f aca="false">IF(COUNTIF(L3:L16, "="&amp;IncompleteText), IncompleteText, IF(COUNTIF(L3:L16, "="&amp;ErrorText), ErrorText, OKText))</f>
        <v>OK</v>
      </c>
      <c r="M2" s="2" t="s">
        <v>126</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359</v>
      </c>
      <c r="B3" s="22"/>
      <c r="C3" s="22"/>
      <c r="D3" s="7" t="s">
        <v>360</v>
      </c>
      <c r="E3" s="7"/>
      <c r="F3" s="5" t="str">
        <f aca="false">IF(ISBLANK(D3), IncompleteText, OKText)</f>
        <v>OK</v>
      </c>
      <c r="G3" s="22" t="s">
        <v>359</v>
      </c>
      <c r="H3" s="22"/>
      <c r="I3" s="22"/>
      <c r="J3" s="7" t="s">
        <v>361</v>
      </c>
      <c r="K3" s="7"/>
      <c r="L3" s="5" t="str">
        <f aca="false">IF(ISBLANK(J3), IncompleteText, OKText)</f>
        <v>OK</v>
      </c>
      <c r="M3" s="22" t="s">
        <v>359</v>
      </c>
      <c r="N3" s="22"/>
      <c r="O3" s="22"/>
      <c r="P3" s="7" t="s">
        <v>362</v>
      </c>
      <c r="Q3" s="7"/>
      <c r="R3" s="5" t="str">
        <f aca="false">IF(ISBLANK(P3), IncompleteText, OKText)</f>
        <v>OK</v>
      </c>
      <c r="S3" s="63" t="s">
        <v>363</v>
      </c>
      <c r="T3" s="63"/>
    </row>
    <row r="4" customFormat="false" ht="13.5" hidden="false" customHeight="false" outlineLevel="0" collapsed="false">
      <c r="A4" s="22" t="s">
        <v>364</v>
      </c>
      <c r="B4" s="22"/>
      <c r="C4" s="22"/>
      <c r="D4" s="29" t="n">
        <v>2</v>
      </c>
      <c r="F4" s="5" t="str">
        <f aca="false">IF(ISBLANK(D4), IncompleteText, OKText)</f>
        <v>OK</v>
      </c>
      <c r="G4" s="22" t="s">
        <v>364</v>
      </c>
      <c r="H4" s="22"/>
      <c r="I4" s="22"/>
      <c r="J4" s="29" t="n">
        <v>4</v>
      </c>
      <c r="L4" s="5" t="str">
        <f aca="false">IF(ISBLANK(J4), IncompleteText, OKText)</f>
        <v>OK</v>
      </c>
      <c r="M4" s="22" t="s">
        <v>364</v>
      </c>
      <c r="N4" s="22"/>
      <c r="O4" s="22"/>
      <c r="P4" s="34" t="n">
        <v>1</v>
      </c>
      <c r="Q4" s="34"/>
      <c r="R4" s="5" t="str">
        <f aca="false">IF(ISBLANK(P4), IncompleteText, OKText)</f>
        <v>OK</v>
      </c>
      <c r="S4" s="63"/>
      <c r="T4" s="63"/>
    </row>
    <row r="5" customFormat="false" ht="13.5" hidden="false" customHeight="false" outlineLevel="0" collapsed="false">
      <c r="A5" s="22" t="s">
        <v>365</v>
      </c>
      <c r="B5" s="22"/>
      <c r="C5" s="22"/>
      <c r="D5" s="29" t="n">
        <v>1</v>
      </c>
      <c r="F5" s="5" t="str">
        <f aca="false">IF(ISBLANK(D5), IncompleteText, OKText)</f>
        <v>OK</v>
      </c>
      <c r="G5" s="22" t="s">
        <v>365</v>
      </c>
      <c r="H5" s="22"/>
      <c r="I5" s="22"/>
      <c r="J5" s="29" t="n">
        <v>1</v>
      </c>
      <c r="L5" s="5" t="str">
        <f aca="false">IF(ISBLANK(J5), IncompleteText, OKText)</f>
        <v>OK</v>
      </c>
      <c r="M5" s="22" t="s">
        <v>365</v>
      </c>
      <c r="N5" s="22"/>
      <c r="O5" s="22"/>
      <c r="P5" s="34" t="n">
        <v>10</v>
      </c>
      <c r="Q5" s="34"/>
      <c r="R5" s="5" t="str">
        <f aca="false">IF(ISBLANK(P5), IncompleteText, OKText)</f>
        <v>OK</v>
      </c>
      <c r="S5" s="63"/>
      <c r="T5" s="63"/>
    </row>
    <row r="6" customFormat="false" ht="13.5" hidden="false" customHeight="false" outlineLevel="0" collapsed="false">
      <c r="A6" s="22" t="s">
        <v>366</v>
      </c>
      <c r="B6" s="22"/>
      <c r="C6" s="22"/>
      <c r="D6" s="37" t="n">
        <f aca="false">VLOOKUP(D3, ResistorsTable, 5, )*D5/D4</f>
        <v>375</v>
      </c>
      <c r="E6" s="1" t="s">
        <v>367</v>
      </c>
      <c r="G6" s="22" t="s">
        <v>366</v>
      </c>
      <c r="H6" s="22"/>
      <c r="I6" s="22"/>
      <c r="J6" s="37" t="n">
        <f aca="false">VLOOKUP(J3, ResistorsTable, 5, )*J5/J4</f>
        <v>7500</v>
      </c>
      <c r="K6" s="1" t="s">
        <v>367</v>
      </c>
      <c r="M6" s="22" t="s">
        <v>366</v>
      </c>
      <c r="N6" s="22"/>
      <c r="O6" s="22"/>
      <c r="P6" s="37" t="n">
        <f aca="false">VLOOKUP(P3, ResistorsTable, 5, )*P5/P4</f>
        <v>15000</v>
      </c>
      <c r="Q6" s="1" t="s">
        <v>367</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368</v>
      </c>
      <c r="B7" s="22"/>
      <c r="C7" s="22"/>
      <c r="D7" s="37" t="n">
        <f aca="false">VLOOKUP(D3, ResistorsTable, 6, FALSE())*D4*D5</f>
        <v>40</v>
      </c>
      <c r="E7" s="1" t="s">
        <v>369</v>
      </c>
      <c r="G7" s="22" t="s">
        <v>368</v>
      </c>
      <c r="H7" s="22"/>
      <c r="I7" s="22"/>
      <c r="J7" s="37" t="n">
        <f aca="false">VLOOKUP(J3, ResistorsTable, 6, FALSE())*J4*J5</f>
        <v>36</v>
      </c>
      <c r="K7" s="1" t="s">
        <v>369</v>
      </c>
      <c r="M7" s="22" t="s">
        <v>368</v>
      </c>
      <c r="N7" s="22"/>
      <c r="O7" s="22"/>
      <c r="P7" s="37" t="n">
        <f aca="false">VLOOKUP(P3, ResistorsTable, 6, FALSE())*P5*P4</f>
        <v>30</v>
      </c>
      <c r="Q7" s="1" t="s">
        <v>369</v>
      </c>
      <c r="R7" s="5" t="str">
        <f aca="false">IF(P7&lt;MaxTSVoltage^2/P6, ErrorText, OKText)</f>
        <v>OK</v>
      </c>
      <c r="S7" s="63"/>
      <c r="T7" s="63"/>
    </row>
    <row r="8" customFormat="false" ht="13.5" hidden="false" customHeight="false" outlineLevel="0" collapsed="false">
      <c r="A8" s="22" t="s">
        <v>370</v>
      </c>
      <c r="B8" s="22"/>
      <c r="C8" s="22"/>
      <c r="D8" s="37" t="n">
        <f aca="false">VLOOKUP(D3, ResistorsTable, 7, FALSE())*D4*D5</f>
        <v>400</v>
      </c>
      <c r="E8" s="1" t="s">
        <v>369</v>
      </c>
      <c r="G8" s="22" t="s">
        <v>370</v>
      </c>
      <c r="H8" s="22"/>
      <c r="I8" s="22"/>
      <c r="J8" s="37" t="n">
        <f aca="false">VLOOKUP(J3, ResistorsTable, 7, FALSE())*J4*J5</f>
        <v>36</v>
      </c>
      <c r="K8" s="1" t="s">
        <v>369</v>
      </c>
      <c r="L8" s="5" t="str">
        <f aca="false">IF(J8&lt;MaxTSVoltage^2/DischargeRes, ErrorText, OKText)</f>
        <v>OK</v>
      </c>
      <c r="M8" s="22" t="s">
        <v>371</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371</v>
      </c>
      <c r="B9" s="22"/>
      <c r="C9" s="22"/>
      <c r="D9" s="37" t="n">
        <f aca="false">VLOOKUP(D3, ResistorsTable, 4, FALSE())*D5</f>
        <v>750</v>
      </c>
      <c r="E9" s="1" t="s">
        <v>17</v>
      </c>
      <c r="F9" s="5" t="str">
        <f aca="false">IF(D9&lt;MaxTSVoltage, ErrorText, OKText)</f>
        <v>OK</v>
      </c>
      <c r="G9" s="22" t="s">
        <v>371</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372</v>
      </c>
      <c r="B10" s="22"/>
      <c r="C10" s="22"/>
      <c r="D10" s="34" t="n">
        <v>0.28</v>
      </c>
      <c r="E10" s="1" t="s">
        <v>373</v>
      </c>
      <c r="F10" s="5" t="str">
        <f aca="false">IF(ISBLANK(BusCap), IncompleteText, OKText)</f>
        <v>OK</v>
      </c>
      <c r="G10" s="22" t="s">
        <v>374</v>
      </c>
      <c r="H10" s="22"/>
      <c r="I10" s="22"/>
      <c r="J10" s="37" t="n">
        <f aca="false">MaxTSVoltage^2/DischargeRes</f>
        <v>21.676032</v>
      </c>
      <c r="K10" s="1" t="s">
        <v>369</v>
      </c>
    </row>
    <row r="11" customFormat="false" ht="16.4" hidden="false" customHeight="false" outlineLevel="0" collapsed="false">
      <c r="A11" s="22" t="s">
        <v>375</v>
      </c>
      <c r="B11" s="22"/>
      <c r="C11" s="22"/>
      <c r="D11" s="7" t="s">
        <v>376</v>
      </c>
      <c r="E11" s="7"/>
      <c r="F11" s="5" t="str">
        <f aca="false">IF(ISBLANK(D11), IncompleteText, OKText)</f>
        <v>OK</v>
      </c>
      <c r="G11" s="22" t="s">
        <v>377</v>
      </c>
      <c r="H11" s="22"/>
      <c r="I11" s="22"/>
      <c r="J11" s="64" t="n">
        <f aca="false">MaxTSVoltage/DischargeRes</f>
        <v>0.05376</v>
      </c>
      <c r="K11" s="1" t="s">
        <v>19</v>
      </c>
    </row>
    <row r="12" customFormat="false" ht="16.4" hidden="false" customHeight="false" outlineLevel="0" collapsed="false">
      <c r="A12" s="22" t="s">
        <v>378</v>
      </c>
      <c r="B12" s="22"/>
      <c r="C12" s="22"/>
      <c r="D12" s="29" t="n">
        <v>2.1</v>
      </c>
      <c r="E12" s="51" t="s">
        <v>379</v>
      </c>
      <c r="F12" s="45" t="str">
        <f aca="false">IF(D11&lt;&gt;"Time", "", IF(ISBLANK(D12), IncompleteText, IF(D12 &lt; MAX(D17*2, D17+0.5), ErrorText, OKText)))</f>
        <v>OK</v>
      </c>
      <c r="G12" s="20" t="s">
        <v>380</v>
      </c>
      <c r="H12" s="20"/>
      <c r="I12" s="20"/>
      <c r="J12" s="37" t="n">
        <f aca="false">-LN(60/MaxTSVoltage)*DischargeRes*(BusCap/1000)</f>
        <v>4.00068512452362</v>
      </c>
      <c r="K12" s="1" t="s">
        <v>381</v>
      </c>
    </row>
    <row r="13" customFormat="false" ht="16.4" hidden="false" customHeight="false" outlineLevel="0" collapsed="false">
      <c r="A13" s="22" t="s">
        <v>382</v>
      </c>
      <c r="B13" s="22"/>
      <c r="C13" s="22"/>
      <c r="D13" s="29"/>
      <c r="E13" s="51" t="s">
        <v>17</v>
      </c>
      <c r="F13" s="45" t="str">
        <f aca="false">IF(D11&lt;&gt;"Delta Voltage", "", IF(ISBLANK(D13), IncompleteText, IF(D13 &gt; MaxTSVoltage*0.1, ErrorText, OKText)))</f>
        <v/>
      </c>
      <c r="G13" s="22" t="s">
        <v>383</v>
      </c>
      <c r="H13" s="22"/>
      <c r="I13" s="22"/>
      <c r="J13" s="7" t="s">
        <v>384</v>
      </c>
      <c r="K13" s="7"/>
      <c r="L13" s="5" t="str">
        <f aca="false">IF(ISBLANK(J13), IncompleteText, OKText)</f>
        <v>OK</v>
      </c>
    </row>
    <row r="14" customFormat="false" ht="16.4" hidden="false" customHeight="false" outlineLevel="0" collapsed="false">
      <c r="A14" s="22" t="s">
        <v>385</v>
      </c>
      <c r="B14" s="22"/>
      <c r="C14" s="22"/>
      <c r="D14" s="29"/>
      <c r="E14" s="51" t="s">
        <v>301</v>
      </c>
      <c r="F14" s="45" t="str">
        <f aca="false">IF(D11&lt;&gt;"Ratio", "", IF(ISBLANK(D14), IncompleteText, IF(D14 &lt; 90, ErrorText, OKText)))</f>
        <v/>
      </c>
      <c r="G14" s="22" t="s">
        <v>386</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374</v>
      </c>
      <c r="B15" s="22"/>
      <c r="C15" s="22"/>
      <c r="D15" s="37" t="n">
        <f aca="false">MaxTSVoltage^2/PrechargeRes</f>
        <v>433.52064</v>
      </c>
      <c r="E15" s="1" t="s">
        <v>369</v>
      </c>
      <c r="G15" s="22" t="s">
        <v>387</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377</v>
      </c>
      <c r="B16" s="22"/>
      <c r="C16" s="22"/>
      <c r="D16" s="64" t="n">
        <f aca="false">MaxTSVoltage/PrechargeRes</f>
        <v>1.0752</v>
      </c>
      <c r="E16" s="1" t="s">
        <v>19</v>
      </c>
      <c r="G16" s="22" t="s">
        <v>132</v>
      </c>
      <c r="H16" s="22"/>
      <c r="I16" s="22"/>
      <c r="J16" s="37" t="str">
        <f aca="false">VLOOKUP(J13, ContactorsTable, 7, FALSE())</f>
        <v>NC</v>
      </c>
      <c r="L16" s="5" t="str">
        <f aca="false">IF(J16&lt;&gt; "NC", ErrorText, OKText)</f>
        <v>OK</v>
      </c>
    </row>
    <row r="17" customFormat="false" ht="13.8" hidden="false" customHeight="false" outlineLevel="0" collapsed="false">
      <c r="A17" s="22" t="s">
        <v>388</v>
      </c>
      <c r="B17" s="22"/>
      <c r="C17" s="22"/>
      <c r="D17" s="64" t="n">
        <f aca="false">-LN(0.1)*(BusCap/1000)*PrechargeRes</f>
        <v>0.241771434764375</v>
      </c>
      <c r="E17" s="1" t="s">
        <v>379</v>
      </c>
      <c r="G17" s="62" t="s">
        <v>58</v>
      </c>
      <c r="H17" s="62"/>
    </row>
    <row r="18" customFormat="false" ht="13.8" hidden="false" customHeight="false" outlineLevel="0" collapsed="false">
      <c r="A18" s="65" t="s">
        <v>389</v>
      </c>
      <c r="B18" s="65"/>
      <c r="C18" s="65"/>
      <c r="D18" s="64" t="n">
        <f aca="false">MaxTSVoltage^2*(BusCap/1000)/2*(1-EXP(-D17*2/(PrechargeRes*(BusCap/1000))))</f>
        <v>22.532235264</v>
      </c>
      <c r="E18" s="1" t="s">
        <v>390</v>
      </c>
      <c r="G18" s="66" t="s">
        <v>228</v>
      </c>
      <c r="H18" s="66"/>
    </row>
    <row r="19" customFormat="false" ht="13.8" hidden="false" customHeight="false" outlineLevel="0" collapsed="false">
      <c r="A19" s="22" t="s">
        <v>391</v>
      </c>
      <c r="B19" s="22"/>
      <c r="C19" s="22"/>
      <c r="D19" s="67" t="n">
        <f aca="false">D18/D17</f>
        <v>93.1964327628673</v>
      </c>
      <c r="E19" s="1" t="s">
        <v>369</v>
      </c>
    </row>
    <row r="20" customFormat="false" ht="16.4" hidden="false" customHeight="false" outlineLevel="0" collapsed="false">
      <c r="A20" s="22" t="s">
        <v>383</v>
      </c>
      <c r="B20" s="22"/>
      <c r="C20" s="22"/>
      <c r="D20" s="7" t="s">
        <v>392</v>
      </c>
      <c r="E20" s="7"/>
      <c r="F20" s="5" t="str">
        <f aca="false">IF(ISBLANK(D20), IncompleteText, OKText)</f>
        <v>OK</v>
      </c>
    </row>
    <row r="21" customFormat="false" ht="13.5" hidden="false" customHeight="false" outlineLevel="0" collapsed="false">
      <c r="A21" s="22" t="s">
        <v>386</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387</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393</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R4" activeCellId="0" sqref="R4"/>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394</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395</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396</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397</v>
      </c>
      <c r="E5" s="7"/>
      <c r="F5" s="5" t="str">
        <f aca="false">IF(ISBLANK(D5), IncompleteText, OKText)</f>
        <v>OK</v>
      </c>
      <c r="H5" s="39"/>
      <c r="I5" s="39"/>
      <c r="J5" s="39"/>
      <c r="K5" s="39"/>
      <c r="L5" s="39"/>
      <c r="M5" s="39"/>
      <c r="N5" s="39"/>
    </row>
    <row r="6" customFormat="false" ht="13.5" hidden="false" customHeight="false" outlineLevel="0" collapsed="false">
      <c r="A6" s="22" t="s">
        <v>398</v>
      </c>
      <c r="B6" s="22"/>
      <c r="C6" s="22"/>
      <c r="D6" s="34" t="s">
        <v>399</v>
      </c>
      <c r="E6" s="49" t="s">
        <v>17</v>
      </c>
      <c r="F6" s="5" t="str">
        <f aca="false">IF(ISBLANK(D6), IncompleteText, OKText)</f>
        <v>OK</v>
      </c>
      <c r="H6" s="39"/>
      <c r="I6" s="39"/>
      <c r="J6" s="39"/>
      <c r="K6" s="39"/>
      <c r="L6" s="39"/>
      <c r="M6" s="39"/>
      <c r="N6" s="39"/>
    </row>
    <row r="7" customFormat="false" ht="13.5" hidden="false" customHeight="false" outlineLevel="0" collapsed="false">
      <c r="A7" s="22" t="s">
        <v>400</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401</v>
      </c>
      <c r="B8" s="22"/>
      <c r="C8" s="22"/>
      <c r="D8" s="34" t="s">
        <v>402</v>
      </c>
      <c r="E8" s="49" t="s">
        <v>17</v>
      </c>
      <c r="F8" s="5" t="str">
        <f aca="false">IF(ISBLANK(D8), IncompleteText, OKText)</f>
        <v>OK</v>
      </c>
      <c r="H8" s="39"/>
      <c r="I8" s="39"/>
      <c r="J8" s="39"/>
      <c r="K8" s="39"/>
      <c r="L8" s="39"/>
      <c r="M8" s="39"/>
      <c r="N8" s="39"/>
    </row>
    <row r="9" customFormat="false" ht="13.5" hidden="false" customHeight="false" outlineLevel="0" collapsed="false">
      <c r="A9" s="22" t="s">
        <v>403</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404</v>
      </c>
      <c r="B10" s="22"/>
      <c r="C10" s="22"/>
      <c r="D10" s="34" t="n">
        <v>6.6</v>
      </c>
      <c r="E10" s="49" t="s">
        <v>405</v>
      </c>
      <c r="F10" s="5" t="str">
        <f aca="false">IF(ISBLANK(D10), IncompleteText, OKText)</f>
        <v>OK</v>
      </c>
      <c r="H10" s="39"/>
      <c r="I10" s="39"/>
      <c r="J10" s="39"/>
      <c r="K10" s="39"/>
      <c r="L10" s="39"/>
      <c r="M10" s="39"/>
      <c r="N10" s="39"/>
    </row>
    <row r="11" customFormat="false" ht="16.4" hidden="false" customHeight="false" outlineLevel="0" collapsed="false">
      <c r="A11" s="22" t="s">
        <v>406</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407</v>
      </c>
      <c r="B13" s="38"/>
      <c r="C13" s="38"/>
      <c r="D13" s="38"/>
      <c r="E13" s="38"/>
      <c r="F13" s="38"/>
      <c r="G13" s="38"/>
      <c r="H13" s="38"/>
      <c r="J13" s="38" t="s">
        <v>408</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409</v>
      </c>
      <c r="B32" s="2"/>
      <c r="C32" s="2"/>
      <c r="D32" s="2"/>
      <c r="E32" s="2"/>
      <c r="F32" s="2"/>
      <c r="G32" s="2"/>
      <c r="H32" s="40" t="str">
        <f aca="false">IF(COUNTIF(H34:H39, "="&amp;IncompleteText), IncompleteText, IF(COUNTIF(H34:H39, "="&amp;ErrorText), ErrorText, OKText))</f>
        <v>OK</v>
      </c>
      <c r="J32" s="2" t="s">
        <v>410</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411</v>
      </c>
      <c r="D34" s="22"/>
      <c r="E34" s="22"/>
      <c r="F34" s="22"/>
      <c r="G34" s="44" t="b">
        <f aca="false">TRUE()</f>
        <v>1</v>
      </c>
      <c r="H34" s="5" t="str">
        <f aca="false">IF(ISBLANK(G34),IncompleteText, IF(G34, OKText, ErrorText))</f>
        <v>OK</v>
      </c>
      <c r="J34" s="46" t="s">
        <v>412</v>
      </c>
      <c r="K34" s="46"/>
      <c r="L34" s="22" t="s">
        <v>413</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150</v>
      </c>
      <c r="D35" s="22"/>
      <c r="E35" s="22"/>
      <c r="F35" s="22"/>
      <c r="G35" s="44" t="b">
        <f aca="false">TRUE()</f>
        <v>1</v>
      </c>
      <c r="H35" s="5" t="str">
        <f aca="false">IF(ISBLANK(G35),IncompleteText, IF(G35, OKText, ErrorText))</f>
        <v>OK</v>
      </c>
      <c r="J35" s="46" t="s">
        <v>412</v>
      </c>
      <c r="K35" s="46"/>
      <c r="L35" s="22" t="s">
        <v>414</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415</v>
      </c>
      <c r="D36" s="22"/>
      <c r="E36" s="22"/>
      <c r="F36" s="22"/>
      <c r="G36" s="44" t="b">
        <f aca="false">TRUE()</f>
        <v>1</v>
      </c>
      <c r="H36" s="5" t="str">
        <f aca="false">IF(ISBLANK(G36),IncompleteText, IF(G36, OKText, ErrorText))</f>
        <v>OK</v>
      </c>
      <c r="J36" s="46" t="s">
        <v>416</v>
      </c>
      <c r="K36" s="46"/>
      <c r="L36" s="22" t="s">
        <v>417</v>
      </c>
      <c r="M36" s="22"/>
      <c r="N36" s="22"/>
      <c r="O36" s="22"/>
      <c r="P36" s="44" t="b">
        <f aca="false">TRUE()</f>
        <v>1</v>
      </c>
      <c r="Q36" s="45" t="str">
        <f aca="false">IF(ISBLANK(P36),IncompleteText, IF(P36, OKText, ErrorText))</f>
        <v>OK</v>
      </c>
    </row>
    <row r="37" customFormat="false" ht="16.4" hidden="false" customHeight="false" outlineLevel="0" collapsed="false">
      <c r="A37" s="46" t="s">
        <v>418</v>
      </c>
      <c r="B37" s="46"/>
      <c r="C37" s="22" t="s">
        <v>98</v>
      </c>
      <c r="D37" s="22"/>
      <c r="E37" s="22"/>
      <c r="F37" s="22"/>
      <c r="G37" s="44" t="b">
        <f aca="false">TRUE()</f>
        <v>1</v>
      </c>
      <c r="H37" s="5" t="str">
        <f aca="false">IF(ISBLANK(G37),IncompleteText, IF(G37, OKText, ErrorText))</f>
        <v>OK</v>
      </c>
      <c r="J37" s="46" t="s">
        <v>418</v>
      </c>
      <c r="K37" s="46"/>
      <c r="L37" s="22" t="s">
        <v>214</v>
      </c>
      <c r="M37" s="22"/>
      <c r="N37" s="22"/>
      <c r="O37" s="22"/>
      <c r="P37" s="44" t="b">
        <f aca="false">TRUE()</f>
        <v>1</v>
      </c>
      <c r="Q37" s="45" t="str">
        <f aca="false">IF(ISBLANK(P37),IncompleteText, IF(P37, OKText, ErrorText))</f>
        <v>OK</v>
      </c>
    </row>
    <row r="38" customFormat="false" ht="16.4" hidden="false" customHeight="false" outlineLevel="0" collapsed="false">
      <c r="A38" s="46" t="s">
        <v>419</v>
      </c>
      <c r="B38" s="46"/>
      <c r="C38" s="22" t="s">
        <v>214</v>
      </c>
      <c r="D38" s="22"/>
      <c r="E38" s="22"/>
      <c r="F38" s="22"/>
      <c r="G38" s="44" t="b">
        <f aca="false">TRUE()</f>
        <v>1</v>
      </c>
      <c r="H38" s="45" t="str">
        <f aca="false">IF(ISBLANK(G38),IncompleteText, IF(G38, OKText, ErrorText))</f>
        <v>OK</v>
      </c>
      <c r="J38" s="20"/>
      <c r="K38" s="20"/>
      <c r="L38" s="22" t="s">
        <v>420</v>
      </c>
      <c r="M38" s="22"/>
      <c r="N38" s="22"/>
      <c r="O38" s="22"/>
      <c r="P38" s="44" t="b">
        <f aca="false">TRUE()</f>
        <v>1</v>
      </c>
      <c r="Q38" s="45" t="str">
        <f aca="false">IF(ISBLANK(P38),IncompleteText, IF(P38, OKText, ErrorText))</f>
        <v>OK</v>
      </c>
    </row>
    <row r="39" customFormat="false" ht="16.4" hidden="false" customHeight="false" outlineLevel="0" collapsed="false">
      <c r="A39" s="46" t="s">
        <v>421</v>
      </c>
      <c r="B39" s="46"/>
      <c r="C39" s="22" t="s">
        <v>218</v>
      </c>
      <c r="D39" s="22"/>
      <c r="E39" s="22"/>
      <c r="F39" s="22"/>
      <c r="G39" s="44" t="b">
        <f aca="false">TRUE()</f>
        <v>1</v>
      </c>
      <c r="H39" s="45" t="str">
        <f aca="false">IF(ISBLANK(G39),IncompleteText, IF(G39, OKText, ErrorText))</f>
        <v>OK</v>
      </c>
      <c r="J39" s="20"/>
      <c r="K39" s="20"/>
      <c r="L39" s="22" t="s">
        <v>422</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37" activePane="bottomLeft" state="frozen"/>
      <selection pane="topLeft" activeCell="A1" activeCellId="0" sqref="A1"/>
      <selection pane="bottomLeft" activeCell="L16" activeCellId="0" sqref="L16"/>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98</v>
      </c>
      <c r="B2" s="2"/>
      <c r="C2" s="2"/>
      <c r="D2" s="2"/>
      <c r="E2" s="2"/>
      <c r="F2" s="48" t="str">
        <f aca="false">IF(COUNTIF(F4:F5, "="&amp;IncompleteText), IncompleteText, IF(COUNTIF(F4:F5, "="&amp;ErrorText), ErrorText, OKText))</f>
        <v>OK</v>
      </c>
      <c r="H2" s="2" t="s">
        <v>423</v>
      </c>
      <c r="I2" s="2"/>
      <c r="J2" s="2"/>
      <c r="K2" s="2"/>
      <c r="L2" s="2"/>
      <c r="M2" s="48" t="str">
        <f aca="false">IF(COUNTIF(M4:M8, "="&amp;IncompleteText), IncompleteText, IF(COUNTIF(M4:M8, "="&amp;ErrorText), ErrorText, OKText))</f>
        <v>OK</v>
      </c>
    </row>
    <row r="3" customFormat="false" ht="13.8" hidden="false" customHeight="false" outlineLevel="0" collapsed="false">
      <c r="A3" s="70" t="s">
        <v>424</v>
      </c>
      <c r="B3" s="70"/>
      <c r="C3" s="70"/>
      <c r="D3" s="71" t="s">
        <v>226</v>
      </c>
      <c r="E3" s="71"/>
      <c r="F3" s="48"/>
      <c r="H3" s="72" t="s">
        <v>424</v>
      </c>
      <c r="I3" s="72"/>
      <c r="J3" s="72"/>
      <c r="K3" s="71" t="s">
        <v>425</v>
      </c>
      <c r="L3" s="71"/>
      <c r="M3" s="48"/>
    </row>
    <row r="4" customFormat="false" ht="13.8" hidden="false" customHeight="false" outlineLevel="0" collapsed="false">
      <c r="A4" s="20" t="s">
        <v>269</v>
      </c>
      <c r="B4" s="20"/>
      <c r="C4" s="20"/>
      <c r="D4" s="73" t="s">
        <v>426</v>
      </c>
      <c r="E4" s="73"/>
      <c r="F4" s="5" t="str">
        <f aca="false">IF(ISBLANK(D4), IncompleteText, OKText)</f>
        <v>OK</v>
      </c>
      <c r="H4" s="20" t="s">
        <v>427</v>
      </c>
      <c r="I4" s="20"/>
      <c r="J4" s="20"/>
      <c r="K4" s="29" t="s">
        <v>428</v>
      </c>
      <c r="L4" s="29"/>
      <c r="M4" s="5" t="str">
        <f aca="false">IF(ISBLANK(K4), IncompleteText, OKText)</f>
        <v>OK</v>
      </c>
    </row>
    <row r="5" customFormat="false" ht="16.4" hidden="false" customHeight="false" outlineLevel="0" collapsed="false">
      <c r="A5" s="20" t="s">
        <v>429</v>
      </c>
      <c r="B5" s="20"/>
      <c r="C5" s="20"/>
      <c r="D5" s="29" t="n">
        <v>270</v>
      </c>
      <c r="E5" s="1" t="s">
        <v>430</v>
      </c>
      <c r="F5" s="5" t="str">
        <f aca="false">IF(ISBLANK(D5), IncompleteText, IF(D5&lt;(MaxTSVoltage*0.5), ErrorText, OKText))</f>
        <v>OK</v>
      </c>
      <c r="H5" s="20" t="s">
        <v>431</v>
      </c>
      <c r="I5" s="20"/>
      <c r="J5" s="20"/>
      <c r="K5" s="29" t="s">
        <v>432</v>
      </c>
      <c r="L5" s="29"/>
      <c r="M5" s="5" t="str">
        <f aca="false">IF(ISBLANK(K5), IncompleteText, OKText)</f>
        <v>OK</v>
      </c>
    </row>
    <row r="6" customFormat="false" ht="13.5" hidden="false" customHeight="false" outlineLevel="0" collapsed="false">
      <c r="H6" s="20" t="s">
        <v>433</v>
      </c>
      <c r="I6" s="20"/>
      <c r="J6" s="20"/>
      <c r="K6" s="29" t="n">
        <v>2.3</v>
      </c>
      <c r="L6" s="1" t="s">
        <v>19</v>
      </c>
      <c r="M6" s="5" t="str">
        <f aca="false">IF(ISBLANK(K6),IncompleteText,IF(K6&gt;(5000/NominalTSVoltage),ErrorText,OKText))</f>
        <v>OK</v>
      </c>
    </row>
    <row r="7" customFormat="false" ht="13.5" hidden="false" customHeight="false" outlineLevel="0" collapsed="false">
      <c r="H7" s="20" t="s">
        <v>434</v>
      </c>
      <c r="I7" s="20"/>
      <c r="J7" s="20"/>
      <c r="K7" s="29" t="n">
        <v>2.592</v>
      </c>
      <c r="L7" s="1" t="s">
        <v>17</v>
      </c>
      <c r="M7" s="5" t="str">
        <f aca="false">IF(ISBLANK(K7), IncompleteText, OKText)</f>
        <v>OK</v>
      </c>
    </row>
    <row r="8" customFormat="false" ht="13.5" hidden="false" customHeight="false" outlineLevel="0" collapsed="false">
      <c r="H8" s="20" t="s">
        <v>435</v>
      </c>
      <c r="I8" s="20"/>
      <c r="J8" s="20"/>
      <c r="K8" s="29" t="n">
        <v>0.023</v>
      </c>
      <c r="L8" s="1" t="s">
        <v>19</v>
      </c>
      <c r="M8" s="5" t="str">
        <f aca="false">IF(ISBLANK(K8), IncompleteText, OKText)</f>
        <v>OK</v>
      </c>
    </row>
    <row r="10" customFormat="false" ht="13.5" hidden="false" customHeight="false" outlineLevel="0" collapsed="false">
      <c r="A10" s="38" t="s">
        <v>436</v>
      </c>
      <c r="B10" s="38"/>
      <c r="C10" s="38"/>
      <c r="D10" s="38"/>
      <c r="E10" s="38"/>
      <c r="F10" s="38"/>
      <c r="G10" s="38"/>
      <c r="H10" s="38"/>
      <c r="I10" s="38"/>
      <c r="J10" s="38"/>
      <c r="K10" s="38"/>
      <c r="M10" s="38" t="s">
        <v>437</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438</v>
      </c>
      <c r="B36" s="2"/>
      <c r="C36" s="2"/>
      <c r="D36" s="2"/>
      <c r="E36" s="2"/>
      <c r="F36" s="2"/>
      <c r="G36" s="2"/>
      <c r="H36" s="2"/>
      <c r="I36" s="2"/>
      <c r="J36" s="2"/>
      <c r="K36" s="40" t="str">
        <f aca="false">IF(COUNTIF(K38:K61, "="&amp;IncompleteText), IncompleteText, IF(COUNTIF(K38:K61, "="&amp;ErrorText), ErrorText, OKText))</f>
        <v>WARNING</v>
      </c>
      <c r="M36" s="2" t="s">
        <v>439</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440</v>
      </c>
      <c r="B38" s="46"/>
      <c r="C38" s="22" t="s">
        <v>441</v>
      </c>
      <c r="D38" s="22"/>
      <c r="E38" s="22"/>
      <c r="F38" s="22"/>
      <c r="G38" s="22"/>
      <c r="H38" s="22"/>
      <c r="I38" s="22"/>
      <c r="J38" s="44" t="b">
        <f aca="false">TRUE()</f>
        <v>1</v>
      </c>
      <c r="K38" s="5" t="str">
        <f aca="false">IF(ISBLANK(J38),IncompleteText, IF(J38, OKText, ErrorText))</f>
        <v>OK</v>
      </c>
      <c r="M38" s="22" t="s">
        <v>442</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440</v>
      </c>
      <c r="B39" s="46"/>
      <c r="C39" s="22" t="s">
        <v>443</v>
      </c>
      <c r="D39" s="22"/>
      <c r="E39" s="22"/>
      <c r="F39" s="22"/>
      <c r="G39" s="22"/>
      <c r="H39" s="22"/>
      <c r="I39" s="22"/>
      <c r="J39" s="44" t="b">
        <f aca="false">TRUE()</f>
        <v>1</v>
      </c>
      <c r="K39" s="5" t="str">
        <f aca="false">IF(ISBLANK(J39),IncompleteText, IF(J39, OKText, ErrorText))</f>
        <v>OK</v>
      </c>
      <c r="M39" s="22" t="s">
        <v>444</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445</v>
      </c>
      <c r="B40" s="46"/>
      <c r="C40" s="22" t="s">
        <v>446</v>
      </c>
      <c r="D40" s="22"/>
      <c r="E40" s="22"/>
      <c r="F40" s="22"/>
      <c r="G40" s="22"/>
      <c r="H40" s="22"/>
      <c r="I40" s="22"/>
      <c r="J40" s="44" t="b">
        <f aca="false">TRUE()</f>
        <v>1</v>
      </c>
      <c r="K40" s="5" t="str">
        <f aca="false">IF(ISBLANK(J40),IncompleteText, IF(J40, OKText, ErrorText))</f>
        <v>OK</v>
      </c>
      <c r="M40" s="22" t="s">
        <v>447</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445</v>
      </c>
      <c r="B41" s="46"/>
      <c r="C41" s="22" t="s">
        <v>448</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449</v>
      </c>
      <c r="B42" s="46"/>
      <c r="C42" s="22" t="s">
        <v>450</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425</v>
      </c>
      <c r="W42" s="31"/>
    </row>
    <row r="43" customFormat="false" ht="16.4" hidden="false" customHeight="false" outlineLevel="0" collapsed="false">
      <c r="A43" s="46" t="s">
        <v>451</v>
      </c>
      <c r="B43" s="46"/>
      <c r="C43" s="22" t="s">
        <v>452</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453</v>
      </c>
      <c r="B44" s="46"/>
      <c r="C44" s="22" t="s">
        <v>414</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226</v>
      </c>
      <c r="B45" s="46"/>
      <c r="C45" s="22" t="s">
        <v>98</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425</v>
      </c>
      <c r="B46" s="46"/>
      <c r="C46" s="22" t="s">
        <v>423</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454</v>
      </c>
      <c r="B47" s="46"/>
      <c r="C47" s="22" t="s">
        <v>455</v>
      </c>
      <c r="D47" s="22"/>
      <c r="E47" s="22"/>
      <c r="F47" s="22"/>
      <c r="G47" s="22"/>
      <c r="H47" s="22"/>
      <c r="I47" s="22"/>
      <c r="J47" s="44" t="b">
        <f aca="false">TRUE()</f>
        <v>1</v>
      </c>
      <c r="K47" s="5" t="str">
        <f aca="false">IF(ISBLANK(J47),IncompleteText, IF(J47, OKText, ErrorText))</f>
        <v>OK</v>
      </c>
      <c r="M47" s="38" t="s">
        <v>456</v>
      </c>
      <c r="N47" s="38"/>
      <c r="O47" s="38"/>
      <c r="P47" s="38"/>
      <c r="Q47" s="38"/>
      <c r="R47" s="38"/>
      <c r="S47" s="38"/>
      <c r="T47" s="38"/>
      <c r="U47" s="38"/>
      <c r="V47" s="38"/>
      <c r="W47" s="38"/>
    </row>
    <row r="48" customFormat="false" ht="16.4" hidden="false" customHeight="false" outlineLevel="0" collapsed="false">
      <c r="A48" s="46" t="s">
        <v>457</v>
      </c>
      <c r="B48" s="46"/>
      <c r="C48" s="22" t="s">
        <v>458</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c r="Y48" s="75"/>
    </row>
    <row r="49" customFormat="false" ht="16.4" hidden="false" customHeight="false" outlineLevel="0" collapsed="false">
      <c r="A49" s="46" t="s">
        <v>459</v>
      </c>
      <c r="B49" s="46"/>
      <c r="C49" s="22" t="s">
        <v>460</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461</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462</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415</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463</v>
      </c>
      <c r="B53" s="46"/>
      <c r="C53" s="22" t="s">
        <v>464</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463</v>
      </c>
      <c r="B54" s="46"/>
      <c r="C54" s="22" t="s">
        <v>465</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463</v>
      </c>
      <c r="B55" s="46"/>
      <c r="C55" s="22" t="s">
        <v>466</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467</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468</v>
      </c>
      <c r="B57" s="46"/>
      <c r="C57" s="22" t="s">
        <v>469</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470</v>
      </c>
      <c r="B58" s="46"/>
      <c r="C58" s="22" t="s">
        <v>471</v>
      </c>
      <c r="D58" s="22"/>
      <c r="E58" s="22"/>
      <c r="F58" s="22"/>
      <c r="G58" s="22"/>
      <c r="H58" s="22"/>
      <c r="I58" s="22"/>
      <c r="J58" s="76"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472</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473</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474</v>
      </c>
      <c r="B61" s="46"/>
      <c r="C61" s="22" t="s">
        <v>475</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7" t="s">
        <v>476</v>
      </c>
      <c r="B63" s="77"/>
      <c r="C63" s="77"/>
      <c r="D63" s="77"/>
      <c r="E63" s="77"/>
      <c r="F63" s="77"/>
      <c r="G63" s="77"/>
      <c r="H63" s="77"/>
      <c r="I63" s="77"/>
      <c r="J63" s="31" t="s">
        <v>477</v>
      </c>
      <c r="K63" s="31"/>
      <c r="M63" s="38"/>
      <c r="N63" s="38"/>
      <c r="O63" s="38"/>
      <c r="P63" s="38"/>
      <c r="Q63" s="38"/>
      <c r="R63" s="38"/>
      <c r="S63" s="38"/>
      <c r="T63" s="38"/>
      <c r="U63" s="38"/>
      <c r="V63" s="38"/>
      <c r="W63" s="38"/>
    </row>
    <row r="64" customFormat="false" ht="16.4" hidden="false" customHeight="false" outlineLevel="0" collapsed="false">
      <c r="A64" s="77"/>
      <c r="B64" s="77"/>
      <c r="C64" s="77"/>
      <c r="D64" s="77"/>
      <c r="E64" s="77"/>
      <c r="F64" s="77"/>
      <c r="G64" s="77"/>
      <c r="H64" s="77"/>
      <c r="I64" s="77"/>
      <c r="J64" s="31"/>
      <c r="K64" s="31"/>
      <c r="M64" s="38"/>
      <c r="N64" s="38"/>
      <c r="O64" s="38"/>
      <c r="P64" s="38"/>
      <c r="Q64" s="38"/>
      <c r="R64" s="38"/>
      <c r="S64" s="38"/>
      <c r="T64" s="38"/>
      <c r="U64" s="38"/>
      <c r="V64" s="38"/>
      <c r="W64" s="38"/>
    </row>
    <row r="65" customFormat="false" ht="16.4" hidden="false" customHeight="false" outlineLevel="0" collapsed="false">
      <c r="A65" s="77"/>
      <c r="B65" s="77"/>
      <c r="C65" s="77"/>
      <c r="D65" s="77"/>
      <c r="E65" s="77"/>
      <c r="F65" s="77"/>
      <c r="G65" s="77"/>
      <c r="H65" s="77"/>
      <c r="I65" s="77"/>
      <c r="J65" s="31"/>
      <c r="K65" s="31"/>
      <c r="M65" s="38"/>
      <c r="N65" s="38"/>
      <c r="O65" s="38"/>
      <c r="P65" s="38"/>
      <c r="Q65" s="38"/>
      <c r="R65" s="38"/>
      <c r="S65" s="38"/>
      <c r="T65" s="38"/>
      <c r="U65" s="38"/>
      <c r="V65" s="38"/>
      <c r="W65" s="38"/>
    </row>
    <row r="66" customFormat="false" ht="16.4" hidden="false" customHeight="false" outlineLevel="0" collapsed="false">
      <c r="A66" s="77"/>
      <c r="B66" s="77"/>
      <c r="C66" s="77"/>
      <c r="D66" s="77"/>
      <c r="E66" s="77"/>
      <c r="F66" s="77"/>
      <c r="G66" s="77"/>
      <c r="H66" s="77"/>
      <c r="I66" s="77"/>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478</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479</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480</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481</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7" t="s">
        <v>482</v>
      </c>
      <c r="N79" s="77"/>
      <c r="O79" s="77"/>
      <c r="P79" s="77"/>
      <c r="Q79" s="77"/>
      <c r="R79" s="77"/>
      <c r="S79" s="77"/>
      <c r="T79" s="77"/>
      <c r="U79" s="77"/>
      <c r="V79" s="31" t="s">
        <v>483</v>
      </c>
      <c r="W79" s="31"/>
    </row>
    <row r="80" customFormat="false" ht="16.4" hidden="false" customHeight="false" outlineLevel="0" collapsed="false">
      <c r="M80" s="77"/>
      <c r="N80" s="77"/>
      <c r="O80" s="77"/>
      <c r="P80" s="77"/>
      <c r="Q80" s="77"/>
      <c r="R80" s="77"/>
      <c r="S80" s="77"/>
      <c r="T80" s="77"/>
      <c r="U80" s="77"/>
      <c r="V80" s="31"/>
      <c r="W80" s="31"/>
    </row>
    <row r="81" customFormat="false" ht="16.4" hidden="false" customHeight="false" outlineLevel="0" collapsed="false">
      <c r="M81" s="77"/>
      <c r="N81" s="77"/>
      <c r="O81" s="77"/>
      <c r="P81" s="77"/>
      <c r="Q81" s="77"/>
      <c r="R81" s="77"/>
      <c r="S81" s="77"/>
      <c r="T81" s="77"/>
      <c r="U81" s="77"/>
      <c r="V81" s="31"/>
      <c r="W81" s="31"/>
    </row>
    <row r="82" customFormat="false" ht="16.4" hidden="false" customHeight="false" outlineLevel="0" collapsed="false">
      <c r="M82" s="77"/>
      <c r="N82" s="77"/>
      <c r="O82" s="77"/>
      <c r="P82" s="77"/>
      <c r="Q82" s="77"/>
      <c r="R82" s="77"/>
      <c r="S82" s="77"/>
      <c r="T82" s="77"/>
      <c r="U82" s="77"/>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K20" activeCellId="0" sqref="K20"/>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484</v>
      </c>
      <c r="B2" s="2"/>
      <c r="C2" s="2"/>
      <c r="D2" s="2"/>
      <c r="E2" s="2"/>
      <c r="F2" s="48" t="str">
        <f aca="false">IF(COUNTIF(F5:F10, "="&amp;IncompleteText), IncompleteText, IF(COUNTIF(F5:F10, "="&amp;ErrorText), ErrorText, OKText))</f>
        <v>OK</v>
      </c>
      <c r="H2" s="2" t="s">
        <v>485</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424</v>
      </c>
      <c r="B3" s="42"/>
      <c r="C3" s="71" t="s">
        <v>486</v>
      </c>
      <c r="D3" s="71"/>
      <c r="E3" s="71"/>
      <c r="F3" s="48"/>
      <c r="H3" s="2"/>
      <c r="I3" s="2"/>
      <c r="J3" s="2"/>
      <c r="K3" s="2"/>
      <c r="L3" s="2"/>
      <c r="M3" s="2"/>
      <c r="N3" s="2"/>
      <c r="O3" s="2"/>
      <c r="P3" s="2"/>
      <c r="Q3" s="2"/>
      <c r="R3" s="2"/>
      <c r="S3" s="48"/>
    </row>
    <row r="4" customFormat="false" ht="16.4" hidden="false" customHeight="true" outlineLevel="0" collapsed="false">
      <c r="A4" s="1" t="s">
        <v>487</v>
      </c>
      <c r="B4" s="47" t="s">
        <v>488</v>
      </c>
      <c r="C4" s="47"/>
      <c r="D4" s="47" t="s">
        <v>489</v>
      </c>
      <c r="E4" s="47"/>
      <c r="H4" s="33" t="s">
        <v>490</v>
      </c>
      <c r="I4" s="33"/>
      <c r="J4" s="25" t="s">
        <v>491</v>
      </c>
      <c r="K4" s="25"/>
      <c r="L4" s="78" t="s">
        <v>492</v>
      </c>
      <c r="M4" s="78" t="s">
        <v>493</v>
      </c>
      <c r="N4" s="25" t="s">
        <v>494</v>
      </c>
      <c r="O4" s="25" t="s">
        <v>495</v>
      </c>
      <c r="P4" s="25" t="s">
        <v>496</v>
      </c>
      <c r="Q4" s="25" t="s">
        <v>497</v>
      </c>
      <c r="R4" s="25" t="s">
        <v>10</v>
      </c>
      <c r="T4" s="79" t="s">
        <v>20</v>
      </c>
      <c r="U4" s="79"/>
      <c r="V4" s="79"/>
      <c r="W4" s="79"/>
      <c r="X4" s="79"/>
    </row>
    <row r="5" customFormat="false" ht="16.4" hidden="false" customHeight="false" outlineLevel="0" collapsed="false">
      <c r="A5" s="80" t="n">
        <v>0</v>
      </c>
      <c r="B5" s="34" t="n">
        <v>4.58</v>
      </c>
      <c r="C5" s="34"/>
      <c r="D5" s="34" t="n">
        <v>2.05</v>
      </c>
      <c r="E5" s="34"/>
      <c r="F5" s="5" t="str">
        <f aca="false">IF(OR(ISBLANK(B5),ISBLANK(D5)), IncompleteText, OKText)</f>
        <v>OK</v>
      </c>
      <c r="H5" s="33"/>
      <c r="I5" s="33"/>
      <c r="J5" s="25"/>
      <c r="K5" s="25"/>
      <c r="L5" s="78"/>
      <c r="M5" s="78"/>
      <c r="N5" s="25"/>
      <c r="O5" s="25"/>
      <c r="P5" s="25"/>
      <c r="Q5" s="25"/>
      <c r="R5" s="25"/>
      <c r="T5" s="79"/>
      <c r="U5" s="79"/>
      <c r="V5" s="79"/>
      <c r="W5" s="79"/>
      <c r="X5" s="79"/>
    </row>
    <row r="6" customFormat="false" ht="13.5" hidden="false" customHeight="false" outlineLevel="0" collapsed="false">
      <c r="A6" s="80" t="n">
        <v>0.2</v>
      </c>
      <c r="B6" s="34" t="n">
        <v>3.8</v>
      </c>
      <c r="C6" s="34"/>
      <c r="D6" s="34" t="n">
        <v>1.69</v>
      </c>
      <c r="E6" s="34"/>
      <c r="F6" s="5" t="str">
        <f aca="false">IF(OR(ISBLANK(B6),ISBLANK(D6)),IncompleteText,IF(OR(AND(_xlfn.XOR(B6&lt;D6,B5&lt;D5),B5&lt;&gt;D5),B6=D6),ErrorText,OKText))</f>
        <v>OK</v>
      </c>
      <c r="H6" s="46" t="s">
        <v>498</v>
      </c>
      <c r="I6" s="46"/>
      <c r="J6" s="7" t="s">
        <v>499</v>
      </c>
      <c r="K6" s="7"/>
      <c r="L6" s="29" t="s">
        <v>500</v>
      </c>
      <c r="M6" s="29" t="s">
        <v>501</v>
      </c>
      <c r="N6" s="29" t="s">
        <v>502</v>
      </c>
      <c r="O6" s="29" t="s">
        <v>502</v>
      </c>
      <c r="P6" s="29" t="s">
        <v>502</v>
      </c>
      <c r="Q6" s="29" t="s">
        <v>502</v>
      </c>
      <c r="R6" s="34"/>
      <c r="S6" s="5" t="str">
        <f aca="false">IF(COUNTBLANK(J6:L6)&gt;1, IncompleteText, OKText)</f>
        <v>OK</v>
      </c>
      <c r="T6" s="7"/>
      <c r="U6" s="7"/>
      <c r="V6" s="7"/>
      <c r="W6" s="7"/>
      <c r="X6" s="7"/>
    </row>
    <row r="7" customFormat="false" ht="13.5" hidden="false" customHeight="false" outlineLevel="0" collapsed="false">
      <c r="A7" s="80" t="n">
        <v>0.4</v>
      </c>
      <c r="B7" s="34" t="n">
        <v>2.92</v>
      </c>
      <c r="C7" s="34"/>
      <c r="D7" s="34" t="n">
        <v>1.35</v>
      </c>
      <c r="E7" s="34"/>
      <c r="F7" s="5" t="str">
        <f aca="false">IF(OR(ISBLANK(B7),ISBLANK(D7)), IncompleteText, IF(OR(_xlfn.XOR(B7&lt;D7,B6&lt;D6),B7=D7), ErrorText, OKText))</f>
        <v>OK</v>
      </c>
      <c r="H7" s="7" t="s">
        <v>499</v>
      </c>
      <c r="I7" s="7"/>
      <c r="J7" s="7" t="s">
        <v>503</v>
      </c>
      <c r="K7" s="7"/>
      <c r="L7" s="29" t="s">
        <v>504</v>
      </c>
      <c r="M7" s="29" t="s">
        <v>501</v>
      </c>
      <c r="N7" s="29" t="s">
        <v>501</v>
      </c>
      <c r="O7" s="29" t="s">
        <v>501</v>
      </c>
      <c r="P7" s="29" t="s">
        <v>501</v>
      </c>
      <c r="Q7" s="29" t="s">
        <v>501</v>
      </c>
      <c r="R7" s="34"/>
      <c r="S7" s="5" t="str">
        <f aca="false">IF(ISBLANK(J7), "", IF(ISBLANK(L7), IncompleteText, OKText))</f>
        <v>OK</v>
      </c>
      <c r="T7" s="7"/>
      <c r="U7" s="7"/>
      <c r="V7" s="7"/>
      <c r="W7" s="7"/>
      <c r="X7" s="7"/>
    </row>
    <row r="8" customFormat="false" ht="13.5" hidden="false" customHeight="false" outlineLevel="0" collapsed="false">
      <c r="A8" s="80" t="n">
        <v>0.6</v>
      </c>
      <c r="B8" s="34" t="n">
        <v>2.27</v>
      </c>
      <c r="C8" s="34"/>
      <c r="D8" s="34" t="n">
        <v>1.03</v>
      </c>
      <c r="E8" s="34"/>
      <c r="F8" s="5" t="str">
        <f aca="false">IF(OR(ISBLANK(B8),ISBLANK(D8)), IncompleteText, IF(OR(_xlfn.XOR(B8&lt;D8,B7&lt;D7),B8=D8), ErrorText, OKText))</f>
        <v>OK</v>
      </c>
      <c r="H8" s="7" t="s">
        <v>503</v>
      </c>
      <c r="I8" s="7"/>
      <c r="J8" s="7" t="s">
        <v>222</v>
      </c>
      <c r="K8" s="7"/>
      <c r="L8" s="29" t="s">
        <v>500</v>
      </c>
      <c r="M8" s="29" t="s">
        <v>501</v>
      </c>
      <c r="N8" s="29" t="s">
        <v>502</v>
      </c>
      <c r="O8" s="29" t="s">
        <v>502</v>
      </c>
      <c r="P8" s="29" t="s">
        <v>502</v>
      </c>
      <c r="Q8" s="29" t="s">
        <v>502</v>
      </c>
      <c r="R8" s="34"/>
      <c r="S8" s="5" t="str">
        <f aca="false">IF(ISBLANK(J8), "", IF(ISBLANK(L8), IncompleteText, OKText))</f>
        <v>OK</v>
      </c>
      <c r="T8" s="7"/>
      <c r="U8" s="7"/>
      <c r="V8" s="7"/>
      <c r="W8" s="7"/>
      <c r="X8" s="7"/>
    </row>
    <row r="9" customFormat="false" ht="13.5" hidden="false" customHeight="false" outlineLevel="0" collapsed="false">
      <c r="A9" s="80"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80"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505</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1"/>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220</v>
      </c>
      <c r="B2" s="2"/>
      <c r="C2" s="2"/>
      <c r="D2" s="2"/>
      <c r="E2" s="2"/>
      <c r="F2" s="5" t="str">
        <f aca="false">IF(COUNTIF(F3:F7, "="&amp;IncompleteText), IncompleteText, IF(COUNTIF(F3:F7, "="&amp;ErrorText), ErrorText, OKText))</f>
        <v>OK</v>
      </c>
      <c r="G2" s="2" t="s">
        <v>222</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506</v>
      </c>
      <c r="E3" s="7"/>
      <c r="F3" s="5" t="str">
        <f aca="false">IF(ISBLANK(D3), IncompleteText, OKText)</f>
        <v>OK</v>
      </c>
      <c r="G3" s="22" t="s">
        <v>30</v>
      </c>
      <c r="H3" s="22"/>
      <c r="I3" s="22"/>
      <c r="J3" s="7" t="s">
        <v>507</v>
      </c>
      <c r="K3" s="7"/>
      <c r="L3" s="5" t="str">
        <f aca="false">IF(ISBLANK(J3), IncompleteText, OKText)</f>
        <v>OK</v>
      </c>
    </row>
    <row r="4" customFormat="false" ht="13.8" hidden="false" customHeight="false" outlineLevel="0" collapsed="false">
      <c r="A4" s="20" t="s">
        <v>32</v>
      </c>
      <c r="B4" s="20"/>
      <c r="C4" s="20"/>
      <c r="D4" s="7" t="s">
        <v>508</v>
      </c>
      <c r="E4" s="7"/>
      <c r="F4" s="5" t="str">
        <f aca="false">IF(ISBLANK(D4), IncompleteText, OKText)</f>
        <v>OK</v>
      </c>
      <c r="G4" s="20" t="s">
        <v>32</v>
      </c>
      <c r="H4" s="20"/>
      <c r="I4" s="20"/>
      <c r="J4" s="7" t="s">
        <v>509</v>
      </c>
      <c r="K4" s="7"/>
      <c r="L4" s="5" t="str">
        <f aca="false">IF(ISBLANK(J4), IncompleteText, OKText)</f>
        <v>OK</v>
      </c>
    </row>
    <row r="5" customFormat="false" ht="16.4" hidden="false" customHeight="false" outlineLevel="0" collapsed="false">
      <c r="A5" s="22" t="s">
        <v>45</v>
      </c>
      <c r="B5" s="22"/>
      <c r="C5" s="22"/>
      <c r="D5" s="7" t="s">
        <v>510</v>
      </c>
      <c r="E5" s="7"/>
      <c r="F5" s="5" t="str">
        <f aca="false">IF(ISBLANK(D5), IncompleteText, OKText)</f>
        <v>OK</v>
      </c>
      <c r="G5" s="22" t="s">
        <v>45</v>
      </c>
      <c r="H5" s="22"/>
      <c r="I5" s="22"/>
      <c r="J5" s="7" t="s">
        <v>511</v>
      </c>
      <c r="K5" s="7"/>
      <c r="L5" s="5" t="str">
        <f aca="false">IF(ISBLANK(J5), IncompleteText, OKText)</f>
        <v>OK</v>
      </c>
    </row>
    <row r="6" customFormat="false" ht="13.5" hidden="false" customHeight="true" outlineLevel="0" collapsed="false">
      <c r="A6" s="82" t="s">
        <v>512</v>
      </c>
      <c r="B6" s="82"/>
      <c r="C6" s="82"/>
      <c r="D6" s="34" t="n">
        <v>10000</v>
      </c>
      <c r="E6" s="83" t="s">
        <v>17</v>
      </c>
      <c r="F6" s="84" t="str">
        <f aca="false">IF(ISBLANK(D6),IncompleteText,IF(D6&lt;MaxTSVoltage,ErrorText,OKText))</f>
        <v>OK</v>
      </c>
    </row>
    <row r="7" customFormat="false" ht="13.5" hidden="false" customHeight="false" outlineLevel="0" collapsed="false">
      <c r="A7" s="82"/>
      <c r="B7" s="82"/>
      <c r="C7" s="82"/>
      <c r="D7" s="34"/>
      <c r="E7" s="83"/>
      <c r="F7" s="84"/>
    </row>
    <row r="9" customFormat="false" ht="13.5" hidden="false" customHeight="true" outlineLevel="0" collapsed="false">
      <c r="A9" s="85" t="s">
        <v>513</v>
      </c>
      <c r="B9" s="85"/>
      <c r="C9" s="85"/>
      <c r="D9" s="85"/>
      <c r="E9" s="85"/>
      <c r="F9" s="85"/>
      <c r="G9" s="85"/>
      <c r="H9" s="85"/>
    </row>
    <row r="10" customFormat="false" ht="13.5" hidden="false" customHeight="false" outlineLevel="0" collapsed="false">
      <c r="A10" s="85"/>
      <c r="B10" s="85"/>
      <c r="C10" s="85"/>
      <c r="D10" s="85"/>
      <c r="E10" s="85"/>
      <c r="F10" s="85"/>
      <c r="G10" s="85"/>
      <c r="H10" s="85"/>
    </row>
    <row r="11" customFormat="false" ht="16.4" hidden="false" customHeight="false" outlineLevel="0" collapsed="false">
      <c r="A11" s="85"/>
      <c r="B11" s="85"/>
      <c r="C11" s="85"/>
      <c r="D11" s="85"/>
      <c r="E11" s="85"/>
      <c r="F11" s="85"/>
      <c r="G11" s="85"/>
      <c r="H11" s="85"/>
    </row>
    <row r="12" customFormat="false" ht="16.4" hidden="false" customHeight="false" outlineLevel="0" collapsed="false">
      <c r="A12" s="85"/>
      <c r="B12" s="85"/>
      <c r="C12" s="85"/>
      <c r="D12" s="85"/>
      <c r="E12" s="85"/>
      <c r="F12" s="85"/>
      <c r="G12" s="85"/>
      <c r="H12" s="85"/>
    </row>
    <row r="13" customFormat="false" ht="16.4" hidden="false" customHeight="false" outlineLevel="0" collapsed="false">
      <c r="A13" s="85"/>
      <c r="B13" s="85"/>
      <c r="C13" s="85"/>
      <c r="D13" s="85"/>
      <c r="E13" s="85"/>
      <c r="F13" s="85"/>
      <c r="G13" s="85"/>
      <c r="H13" s="85"/>
    </row>
    <row r="14" customFormat="false" ht="16.4" hidden="false" customHeight="false" outlineLevel="0" collapsed="false">
      <c r="A14" s="85"/>
      <c r="B14" s="85"/>
      <c r="C14" s="85"/>
      <c r="D14" s="85"/>
      <c r="E14" s="85"/>
      <c r="F14" s="85"/>
      <c r="G14" s="85"/>
      <c r="H14" s="85"/>
    </row>
    <row r="15" customFormat="false" ht="16.4" hidden="false" customHeight="false" outlineLevel="0" collapsed="false">
      <c r="A15" s="85"/>
      <c r="B15" s="85"/>
      <c r="C15" s="85"/>
      <c r="D15" s="85"/>
      <c r="E15" s="85"/>
      <c r="F15" s="85"/>
      <c r="G15" s="85"/>
      <c r="H15" s="85"/>
    </row>
    <row r="16" customFormat="false" ht="13.8" hidden="false" customHeight="false" outlineLevel="0" collapsed="false">
      <c r="A16" s="85"/>
      <c r="B16" s="85"/>
      <c r="C16" s="85"/>
      <c r="D16" s="85"/>
      <c r="E16" s="85"/>
      <c r="F16" s="85"/>
      <c r="G16" s="85"/>
      <c r="H16" s="85"/>
    </row>
    <row r="17" customFormat="false" ht="13.8" hidden="false" customHeight="false" outlineLevel="0" collapsed="false">
      <c r="A17" s="85"/>
      <c r="B17" s="85"/>
      <c r="C17" s="85"/>
      <c r="D17" s="85"/>
      <c r="E17" s="85"/>
      <c r="F17" s="85"/>
      <c r="G17" s="85"/>
      <c r="H17" s="85"/>
    </row>
    <row r="18" customFormat="false" ht="13.8" hidden="false" customHeight="false" outlineLevel="0" collapsed="false">
      <c r="A18" s="85"/>
      <c r="B18" s="85"/>
      <c r="C18" s="85"/>
      <c r="D18" s="85"/>
      <c r="E18" s="85"/>
      <c r="F18" s="85"/>
      <c r="G18" s="85"/>
      <c r="H18" s="85"/>
    </row>
    <row r="19" customFormat="false" ht="13.8" hidden="false" customHeight="false" outlineLevel="0" collapsed="false">
      <c r="A19" s="85"/>
      <c r="B19" s="85"/>
      <c r="C19" s="85"/>
      <c r="D19" s="85"/>
      <c r="E19" s="85"/>
      <c r="F19" s="85"/>
      <c r="G19" s="85"/>
      <c r="H19" s="85"/>
    </row>
    <row r="20" customFormat="false" ht="16.4" hidden="false" customHeight="false" outlineLevel="0" collapsed="false">
      <c r="A20" s="85"/>
      <c r="B20" s="85"/>
      <c r="C20" s="85"/>
      <c r="D20" s="85"/>
      <c r="E20" s="85"/>
      <c r="F20" s="85"/>
      <c r="G20" s="85"/>
      <c r="H20" s="85"/>
    </row>
    <row r="21" customFormat="false" ht="13.5" hidden="false" customHeight="false" outlineLevel="0" collapsed="false">
      <c r="A21" s="85"/>
      <c r="B21" s="85"/>
      <c r="C21" s="85"/>
      <c r="D21" s="85"/>
      <c r="E21" s="85"/>
      <c r="F21" s="85"/>
      <c r="G21" s="85"/>
      <c r="H21" s="85"/>
    </row>
    <row r="22" customFormat="false" ht="16.4" hidden="false" customHeight="false" outlineLevel="0" collapsed="false">
      <c r="A22" s="85"/>
      <c r="B22" s="85"/>
      <c r="C22" s="85"/>
      <c r="D22" s="85"/>
      <c r="E22" s="85"/>
      <c r="F22" s="85"/>
      <c r="G22" s="85"/>
      <c r="H22" s="85"/>
    </row>
    <row r="23" customFormat="false" ht="16.4" hidden="false" customHeight="false" outlineLevel="0" collapsed="false">
      <c r="A23" s="85"/>
      <c r="B23" s="85"/>
      <c r="C23" s="85"/>
      <c r="D23" s="85"/>
      <c r="E23" s="85"/>
      <c r="F23" s="85"/>
      <c r="G23" s="85"/>
      <c r="H23" s="85"/>
    </row>
    <row r="24" customFormat="false" ht="16.4" hidden="false" customHeight="false" outlineLevel="0" collapsed="false">
      <c r="A24" s="85"/>
      <c r="B24" s="85"/>
      <c r="C24" s="85"/>
      <c r="D24" s="85"/>
      <c r="E24" s="85"/>
      <c r="F24" s="85"/>
      <c r="G24" s="85"/>
      <c r="H24" s="85"/>
    </row>
    <row r="25" customFormat="false" ht="16.4" hidden="false" customHeight="false" outlineLevel="0" collapsed="false">
      <c r="A25" s="85"/>
      <c r="B25" s="85"/>
      <c r="C25" s="85"/>
      <c r="D25" s="85"/>
      <c r="E25" s="85"/>
      <c r="F25" s="85"/>
      <c r="G25" s="85"/>
      <c r="H25" s="85"/>
    </row>
    <row r="26" customFormat="false" ht="16.4" hidden="false" customHeight="false" outlineLevel="0" collapsed="false">
      <c r="A26" s="85"/>
      <c r="B26" s="85"/>
      <c r="C26" s="85"/>
      <c r="D26" s="85"/>
      <c r="E26" s="85"/>
      <c r="F26" s="85"/>
      <c r="G26" s="85"/>
      <c r="H26" s="85"/>
    </row>
    <row r="27" customFormat="false" ht="16.4" hidden="false" customHeight="false" outlineLevel="0" collapsed="false">
      <c r="A27" s="85"/>
      <c r="B27" s="85"/>
      <c r="C27" s="85"/>
      <c r="D27" s="85"/>
      <c r="E27" s="85"/>
      <c r="F27" s="85"/>
      <c r="G27" s="85"/>
      <c r="H27" s="85"/>
    </row>
    <row r="28" customFormat="false" ht="16.4" hidden="false" customHeight="false" outlineLevel="0" collapsed="false">
      <c r="A28" s="2" t="s">
        <v>514</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515</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11</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2024-03-05T19:58:25Z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