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ink/ink1.xml" ContentType="application/inkml+xml"/>
  <Override PartName="/xl/ink/ink2.xml" ContentType="application/inkml+xml"/>
  <Override PartName="/xl/drawings/drawing3.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5.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6.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13"/>
  <workbookPr codeName="ThisWorkbook"/>
  <mc:AlternateContent xmlns:mc="http://schemas.openxmlformats.org/markup-compatibility/2006">
    <mc:Choice Requires="x15">
      <x15ac:absPath xmlns:x15ac="http://schemas.microsoft.com/office/spreadsheetml/2010/11/ac" url="/Users/soniazhang/Downloads/"/>
    </mc:Choice>
  </mc:AlternateContent>
  <xr:revisionPtr revIDLastSave="0" documentId="8_{3E8EEDA9-7FE3-493A-A937-65F52E1AFAF4}" xr6:coauthVersionLast="47" xr6:coauthVersionMax="47" xr10:uidLastSave="{00000000-0000-0000-0000-000000000000}"/>
  <workbookProtection workbookAlgorithmName="SHA-512" workbookHashValue="gWdXypl4pwvsiA7EeuTqs3+43KDAGd/jlaJJtOqkYW8cK4pty6XmYeMV2VNsb9eq3kIWS0ffTO18khoBz4d6gQ==" workbookSaltValue="QORbMvnA3UoOCCest8JNJA==" workbookSpinCount="100000" lockStructure="1"/>
  <bookViews>
    <workbookView xWindow="13180" yWindow="0" windowWidth="15620" windowHeight="18000" firstSheet="3" activeTab="2"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7" i="1" l="1"/>
  <c r="K68" i="1"/>
  <c r="K69" i="1"/>
  <c r="K66" i="1"/>
  <c r="K65" i="1"/>
  <c r="K49" i="2"/>
  <c r="F62"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7" i="2"/>
  <c r="W76" i="2"/>
  <c r="W75" i="2"/>
  <c r="W74" i="2" l="1"/>
  <c r="R4" i="4"/>
  <c r="R5" i="4"/>
  <c r="W34" i="9"/>
  <c r="K34" i="9"/>
  <c r="W41" i="9"/>
  <c r="H55" i="3"/>
  <c r="I70" i="3" l="1"/>
  <c r="I69" i="3"/>
  <c r="H70" i="3"/>
  <c r="H69" i="3"/>
  <c r="F95" i="1" l="1"/>
  <c r="L95" i="1" s="1"/>
  <c r="W11" i="3" l="1"/>
  <c r="Q24" i="3"/>
  <c r="A65" i="1"/>
  <c r="R3" i="4" l="1"/>
  <c r="E4" i="3" a="1"/>
  <c r="E4" i="3" s="1"/>
  <c r="G4" i="3" s="1"/>
  <c r="E5" i="3" a="1"/>
  <c r="E5" i="3" s="1"/>
  <c r="J20" i="3"/>
  <c r="J21" i="3"/>
  <c r="J22" i="3"/>
  <c r="J23" i="3"/>
  <c r="J24" i="3"/>
  <c r="J25" i="3"/>
  <c r="J26" i="3"/>
  <c r="J27" i="3"/>
  <c r="J28" i="3"/>
  <c r="J29" i="3"/>
  <c r="J9" i="3"/>
  <c r="E6" i="3"/>
  <c r="Q12" i="3"/>
  <c r="F12" i="3"/>
  <c r="L15" i="10" l="1"/>
  <c r="H12" i="3"/>
  <c r="J12" i="3" s="1"/>
  <c r="H53" i="3"/>
  <c r="F63" i="3"/>
  <c r="F29" i="3"/>
  <c r="H29" i="3" s="1"/>
  <c r="F28" i="3"/>
  <c r="H28" i="3" s="1"/>
  <c r="F27" i="3"/>
  <c r="H27" i="3" s="1"/>
  <c r="F26" i="3"/>
  <c r="H26" i="3" s="1"/>
  <c r="F25" i="3"/>
  <c r="H25" i="3" s="1"/>
  <c r="F24" i="3"/>
  <c r="H24" i="3" s="1"/>
  <c r="F23" i="3"/>
  <c r="H23" i="3" s="1"/>
  <c r="F22" i="3"/>
  <c r="H22" i="3" s="1"/>
  <c r="F21" i="3"/>
  <c r="H21" i="3" s="1"/>
  <c r="F20" i="3"/>
  <c r="H20" i="3" s="1"/>
  <c r="F19" i="3"/>
  <c r="F18" i="3"/>
  <c r="F17" i="3"/>
  <c r="F16" i="3"/>
  <c r="F15" i="3"/>
  <c r="F14" i="3"/>
  <c r="F13" i="3"/>
  <c r="Q13" i="3" s="1"/>
  <c r="H18" i="3" l="1"/>
  <c r="J18" i="3"/>
  <c r="J13" i="3"/>
  <c r="H14" i="3"/>
  <c r="J14" i="3"/>
  <c r="H19" i="3"/>
  <c r="J19" i="3"/>
  <c r="H15" i="3"/>
  <c r="J15" i="3"/>
  <c r="H16" i="3"/>
  <c r="J16" i="3" s="1"/>
  <c r="H17" i="3"/>
  <c r="J17" i="3" s="1"/>
  <c r="H13" i="3"/>
  <c r="Q39" i="5"/>
  <c r="H39" i="5"/>
  <c r="O30" i="3" l="1"/>
  <c r="Q30" i="3" s="1"/>
  <c r="J8" i="3"/>
  <c r="D68" i="3"/>
  <c r="D69" i="3"/>
  <c r="D70" i="3"/>
  <c r="D71" i="3"/>
  <c r="F71" i="3" s="1"/>
  <c r="F11" i="4"/>
  <c r="Q18" i="3" l="1"/>
  <c r="Q23" i="3"/>
  <c r="F68" i="3" l="1"/>
  <c r="A103" i="1"/>
  <c r="A81" i="1"/>
  <c r="A63" i="1"/>
  <c r="A86" i="1"/>
  <c r="A97" i="1"/>
  <c r="A74" i="1"/>
  <c r="A83" i="1"/>
  <c r="A104" i="1"/>
  <c r="A82" i="1"/>
  <c r="A32" i="1"/>
  <c r="A91" i="1"/>
  <c r="A77" i="1"/>
  <c r="A37" i="1"/>
  <c r="A24" i="1"/>
  <c r="A98" i="1"/>
  <c r="A68" i="1"/>
  <c r="A102" i="1"/>
  <c r="A90" i="1"/>
  <c r="A21" i="1"/>
  <c r="A27" i="1"/>
  <c r="A51" i="1"/>
  <c r="A73" i="1"/>
  <c r="A69" i="1"/>
  <c r="A92" i="1"/>
  <c r="A70" i="1"/>
  <c r="A41" i="1"/>
  <c r="A40" i="1"/>
  <c r="A53" i="1"/>
  <c r="A59" i="1"/>
  <c r="A76" i="1"/>
  <c r="A46" i="1"/>
  <c r="A94" i="1"/>
  <c r="A99" i="1"/>
  <c r="A96" i="1"/>
  <c r="A36" i="1"/>
  <c r="A28" i="1"/>
  <c r="A88" i="1"/>
  <c r="A101" i="1"/>
  <c r="A49" i="1"/>
  <c r="A89" i="1"/>
  <c r="A29" i="1"/>
  <c r="A22" i="1"/>
  <c r="A52" i="1"/>
  <c r="A43" i="1"/>
  <c r="A35" i="1"/>
  <c r="A93" i="1"/>
  <c r="A78" i="1"/>
  <c r="A58" i="1"/>
  <c r="A57" i="1"/>
  <c r="A19" i="1"/>
  <c r="A23" i="1"/>
  <c r="A55" i="1"/>
  <c r="A84" i="1"/>
  <c r="A33" i="1"/>
  <c r="A95" i="1"/>
  <c r="A64" i="1"/>
  <c r="A100" i="1"/>
  <c r="A56" i="1"/>
  <c r="A20" i="1"/>
  <c r="A85" i="1"/>
  <c r="A30" i="1"/>
  <c r="A50" i="1"/>
  <c r="A42" i="1"/>
  <c r="A34" i="1"/>
  <c r="A39" i="1"/>
  <c r="A72" i="1"/>
  <c r="A79" i="1"/>
  <c r="A38" i="1"/>
  <c r="A54" i="1"/>
  <c r="A44" i="1"/>
  <c r="A48" i="1"/>
  <c r="A75" i="1"/>
  <c r="A62" i="1"/>
  <c r="A61" i="1"/>
  <c r="A87" i="1"/>
  <c r="A80" i="1"/>
  <c r="A60" i="1"/>
  <c r="A71" i="1"/>
  <c r="A47" i="1"/>
  <c r="A25" i="1"/>
  <c r="A26" i="1"/>
  <c r="A45" i="1"/>
  <c r="A31" i="1"/>
  <c r="A66" i="1"/>
  <c r="A67" i="1"/>
  <c r="J16" i="4" l="1"/>
  <c r="L16" i="4" s="1"/>
  <c r="U21" i="3"/>
  <c r="W21" i="3" s="1"/>
  <c r="P8" i="4"/>
  <c r="R8" i="4" s="1"/>
  <c r="P7" i="4"/>
  <c r="AB17" i="3"/>
  <c r="AB16" i="3"/>
  <c r="AB14" i="3"/>
  <c r="AB11" i="3"/>
  <c r="P6" i="4"/>
  <c r="R6" i="4" s="1"/>
  <c r="O21" i="3"/>
  <c r="Q21" i="3" s="1"/>
  <c r="U12" i="3"/>
  <c r="J7" i="4"/>
  <c r="J6" i="4"/>
  <c r="U20" i="3"/>
  <c r="D64" i="3"/>
  <c r="L16" i="10" l="1"/>
  <c r="R7" i="4"/>
  <c r="R2" i="4" s="1"/>
  <c r="F14" i="4"/>
  <c r="Q28" i="3" l="1"/>
  <c r="Q29" i="3"/>
  <c r="Q27" i="3"/>
  <c r="Q25" i="3"/>
  <c r="Q20" i="3"/>
  <c r="Q19" i="3"/>
  <c r="Q17" i="3"/>
  <c r="Q15" i="3"/>
  <c r="Q14" i="3"/>
  <c r="Q11" i="3"/>
  <c r="Q10" i="3"/>
  <c r="Q9" i="3"/>
  <c r="G3" i="3"/>
  <c r="W39" i="2" l="1"/>
  <c r="F6" i="7"/>
  <c r="S6" i="6"/>
  <c r="M6" i="2"/>
  <c r="F13" i="4"/>
  <c r="F2" i="1" l="1"/>
  <c r="L5" i="7" l="1"/>
  <c r="L4" i="7"/>
  <c r="L3" i="7"/>
  <c r="L2" i="7" s="1"/>
  <c r="F5" i="7"/>
  <c r="F4" i="7"/>
  <c r="F3" i="7"/>
  <c r="F2" i="7" s="1"/>
  <c r="H29" i="7"/>
  <c r="H28" i="7" s="1"/>
  <c r="B1" i="7"/>
  <c r="L9" i="10" l="1"/>
  <c r="K43" i="9" l="1"/>
  <c r="W38" i="9"/>
  <c r="W39" i="9"/>
  <c r="W40" i="9"/>
  <c r="W35" i="9"/>
  <c r="W36" i="9"/>
  <c r="W37" i="9"/>
  <c r="K61" i="2"/>
  <c r="K59" i="2"/>
  <c r="K60" i="2"/>
  <c r="K35" i="9" l="1"/>
  <c r="K36" i="9"/>
  <c r="K37" i="9"/>
  <c r="K38" i="9"/>
  <c r="K39" i="9"/>
  <c r="K40" i="9"/>
  <c r="K41" i="9"/>
  <c r="K42" i="9"/>
  <c r="K48" i="9"/>
  <c r="K49" i="9"/>
  <c r="K50" i="9"/>
  <c r="K51" i="9"/>
  <c r="K52" i="9"/>
  <c r="K53" i="9"/>
  <c r="K54" i="9"/>
  <c r="W33" i="9"/>
  <c r="W32" i="9"/>
  <c r="W31" i="9"/>
  <c r="W30" i="9"/>
  <c r="W28" i="9" s="1"/>
  <c r="K33" i="9"/>
  <c r="K32" i="9"/>
  <c r="K31" i="9"/>
  <c r="K30" i="9"/>
  <c r="BA53" i="3"/>
  <c r="BA52" i="3" s="1"/>
  <c r="AR53" i="3"/>
  <c r="AR52" i="3" s="1"/>
  <c r="AI53" i="3"/>
  <c r="AI52" i="3" s="1"/>
  <c r="K28" i="9" l="1"/>
  <c r="K46" i="9"/>
  <c r="S8" i="6"/>
  <c r="S2" i="6" s="1"/>
  <c r="S9" i="6"/>
  <c r="S10" i="6"/>
  <c r="S11" i="6"/>
  <c r="S7" i="6"/>
  <c r="H10" i="6"/>
  <c r="H11" i="6"/>
  <c r="F8" i="6"/>
  <c r="F9" i="6"/>
  <c r="F10" i="6"/>
  <c r="F7" i="6"/>
  <c r="F6" i="6"/>
  <c r="F5" i="6"/>
  <c r="F5" i="2"/>
  <c r="F4" i="2"/>
  <c r="M8" i="2"/>
  <c r="M7" i="2"/>
  <c r="M5" i="2"/>
  <c r="M4" i="2"/>
  <c r="W40" i="2"/>
  <c r="W38" i="2"/>
  <c r="K39" i="2"/>
  <c r="K40" i="2"/>
  <c r="K41" i="2"/>
  <c r="K42" i="2"/>
  <c r="K43" i="2"/>
  <c r="K44" i="2"/>
  <c r="K45" i="2"/>
  <c r="K46" i="2"/>
  <c r="K47" i="2"/>
  <c r="K48" i="2"/>
  <c r="K50" i="2"/>
  <c r="K51" i="2"/>
  <c r="K52" i="2"/>
  <c r="K53" i="2"/>
  <c r="K54" i="2"/>
  <c r="K55" i="2"/>
  <c r="K56" i="2"/>
  <c r="K57" i="2"/>
  <c r="K58"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B1" i="9" a="1"/>
  <c r="B1" i="9" l="1"/>
  <c r="H32" i="5"/>
  <c r="Q32" i="5"/>
  <c r="F2" i="5"/>
  <c r="F2" i="6"/>
  <c r="W36" i="2"/>
  <c r="M2" i="2"/>
  <c r="K36" i="2"/>
  <c r="F2" i="2"/>
  <c r="Z54" i="3"/>
  <c r="Z53" i="3"/>
  <c r="Z52" i="3" s="1"/>
  <c r="Q54" i="3"/>
  <c r="Q53" i="3"/>
  <c r="H54" i="3"/>
  <c r="H52" i="3" s="1"/>
  <c r="B1" i="2" a="1"/>
  <c r="B1" i="2" l="1"/>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K63" i="1"/>
  <c r="K39" i="1"/>
  <c r="N54" i="1"/>
  <c r="C1" i="1" a="1"/>
  <c r="C1" i="1" l="1"/>
  <c r="L2" i="10" s="1"/>
  <c r="AD17" i="3"/>
  <c r="AD16" i="3"/>
  <c r="AD10" i="3"/>
  <c r="AD13" i="3"/>
  <c r="F64" i="3"/>
  <c r="F65" i="3"/>
  <c r="Q8" i="3"/>
  <c r="F61" i="3" l="1"/>
  <c r="AD8" i="3"/>
  <c r="L9" i="4"/>
  <c r="L14" i="4"/>
  <c r="J11" i="4"/>
  <c r="L15" i="4" s="1"/>
  <c r="F21" i="4"/>
  <c r="J10" i="4"/>
  <c r="L8" i="4"/>
  <c r="J12" i="4"/>
  <c r="D15" i="4"/>
  <c r="D16" i="4"/>
  <c r="F22" i="4" s="1"/>
  <c r="W15" i="3"/>
  <c r="W8" i="3" s="1"/>
  <c r="D18" i="4"/>
  <c r="D19" i="4" s="1"/>
  <c r="B1" i="3" a="1"/>
  <c r="L2" i="4" l="1"/>
  <c r="B1" i="3"/>
  <c r="F2" i="4"/>
  <c r="L4" i="10" l="1"/>
  <c r="B1" i="6"/>
  <c r="L8" i="10" l="1"/>
  <c r="B1" i="4" a="1"/>
  <c r="B1" i="4" l="1"/>
  <c r="L5" i="10" s="1"/>
  <c r="L7" i="10" l="1"/>
  <c r="L3" i="10"/>
  <c r="B1" i="5" a="1"/>
  <c r="B1" i="5" l="1"/>
  <c r="L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tc={544B825C-37CF-45D5-B0F4-596D85937986}</author>
    <author>tc={180B41B2-72DA-4749-B5D3-CAF629118648}</author>
    <author>tc={82E292EA-CF25-4828-825B-49F433B5D490}</author>
    <author>tc={2A588B4A-F784-4CB7-9E7A-DC7CB6E4E8E5}</author>
  </authors>
  <commentList>
    <comment ref="C75" authorId="0" shapeId="0" xr:uid="{544B825C-37CF-45D5-B0F4-596D85937986}">
      <text>
        <t>[Threaded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
Reply:
    Corrected</t>
      </text>
    </comment>
    <comment ref="C78" authorId="1" shapeId="0" xr:uid="{180B41B2-72DA-4749-B5D3-CAF629118648}">
      <text>
        <t>[Threaded comment]
Your version of Excel allows you to read this threaded comment; however, any edits to it will get removed if the file is opened in a newer version of Excel. Learn more: https://go.microsoft.com/fwlink/?linkid=870924
Comment:
    Where is the mating connector for this PN?
Reply:
    Added (Amphenol UPCR012ALS2)</t>
      </text>
    </comment>
    <comment ref="E78" authorId="2" shapeId="0" xr:uid="{82E292EA-CF25-4828-825B-49F433B5D490}">
      <text>
        <t>[Threaded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
Reply:
    Corrected</t>
      </text>
    </comment>
    <comment ref="F78" authorId="3" shapeId="0" xr:uid="{2A588B4A-F784-4CB7-9E7A-DC7CB6E4E8E5}">
      <text>
        <t>[Threaded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
Reply:
    Corrected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tc={FDB95D21-CA66-4D10-9BEE-6BE06AAD7D4B}</author>
    <author>tc={90E429D8-DE1B-4F90-94F5-E09A6CC8F86F}</author>
    <author>tc={CB8BDC8F-C853-4CC9-94BB-03A9B834DB06}</author>
  </authors>
  <commentList>
    <comment ref="A2" authorId="0" shapeId="0" xr:uid="{FDB95D21-CA66-4D10-9BEE-6BE06AAD7D4B}">
      <text>
        <t>[Threaded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
Reply:
    Corrected- 22 awg for TSMP and EM positive sense leads</t>
      </text>
    </comment>
    <comment ref="M2" authorId="1" shapeId="0" xr:uid="{90E429D8-DE1B-4F90-94F5-E09A6CC8F86F}">
      <text>
        <t>[Threaded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
Reply:
    Corrected</t>
      </text>
    </comment>
    <comment ref="J51" authorId="2" shapeId="0" xr:uid="{CB8BDC8F-C853-4CC9-94BB-03A9B834DB06}">
      <text>
        <t>[Threaded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
Reply:
    Moved HVD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tc={9F78C09D-5497-4B6E-A5E9-ABA6150C8FA2}</author>
    <author>tc={39E74DD6-260B-4E51-96B8-CC54B577B786}</author>
    <author>tc={9891A3C7-4A47-45A2-BEC4-83677DF2FABC}</author>
    <author>tc={1E289076-805A-4B75-B572-75CAE61A5789}</author>
    <author>tc={AFC123A8-5645-4F93-A69C-0F68239752DD}</author>
    <author>tc={5D778989-94C2-4C6E-A557-9152C9BD905B}</author>
  </authors>
  <commentList>
    <comment ref="D9" authorId="0" shapeId="0" xr:uid="{9F78C09D-5497-4B6E-A5E9-ABA6150C8FA2}">
      <text>
        <t>[Threaded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
Reply:
    Corrected.</t>
      </text>
    </comment>
    <comment ref="U9" authorId="1" shapeId="0" xr:uid="{39E74DD6-260B-4E51-96B8-CC54B577B786}">
      <text>
        <t>[Threaded comment]
Your version of Excel allows you to read this threaded comment; however, any edits to it will get removed if the file is opened in a newer version of Excel. Learn more: https://go.microsoft.com/fwlink/?linkid=870924
Comment:
    incomplete
Reply:
    Added</t>
      </text>
    </comment>
    <comment ref="O13" authorId="2" shapeId="0" xr:uid="{9891A3C7-4A47-45A2-BEC4-83677DF2FABC}">
      <text>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
Reply:
    Corrected the isolation between segments. Each segment is on its own cell group. </t>
      </text>
    </comment>
    <comment ref="O17" authorId="3" shapeId="0" xr:uid="{1E289076-805A-4B75-B572-75CAE61A5789}">
      <text>
        <t>[Threaded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
Reply:
    Shortened wire from 60cm.</t>
      </text>
    </comment>
    <comment ref="A33" authorId="4" shapeId="0" xr:uid="{AFC123A8-5645-4F93-A69C-0F68239752DD}">
      <text>
        <t>[Threaded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
Reply:
    Updated to show how the cables run, the short connections run through a grommet in the wall while the long cable runs over the wall. The ring terminal is for connecting to the relays and HV connectors.</t>
      </text>
    </comment>
    <comment ref="AK33" authorId="5" shapeId="0" xr:uid="{5D778989-94C2-4C6E-A557-9152C9BD905B}">
      <text>
        <t>[Threaded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
Reply:
    All the walls and lid are covered in Nomex.</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tc={53B26EE5-BD3F-46A6-AC2E-343DFA9BF2C3}</author>
  </authors>
  <commentList>
    <comment ref="J12" authorId="0" shapeId="0" xr:uid="{53B26EE5-BD3F-46A6-AC2E-343DFA9BF2C3}">
      <text>
        <t>[Threaded comment]
Your version of Excel allows you to read this threaded comment; however, any edits to it will get removed if the file is opened in a newer version of Excel. Learn more: https://go.microsoft.com/fwlink/?linkid=870924
Comment:
    This does not meet EV.7.2.2.c
Reply:
    Added another parallel resistor to reduce discharge 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tc={F0F0F153-7543-4F30-91B3-69284C10FBE8}</author>
    <author>tc={8F7E58BE-04F3-4D65-A78A-2FC5D63A6ABE}</author>
  </authors>
  <commentList>
    <comment ref="A13" authorId="0" shapeId="0" xr:uid="{F0F0F153-7543-4F30-91B3-69284C10FBE8}">
      <text>
        <t>[Threaded comment]
Your version of Excel allows you to read this threaded comment; however, any edits to it will get removed if the file is opened in a newer version of Excel. Learn more: https://go.microsoft.com/fwlink/?linkid=870924
Comment:
    Schematic is too low resolution to read.
Reply:
    Corrected</t>
      </text>
    </comment>
    <comment ref="J13" authorId="1" shapeId="0" xr:uid="{8F7E58BE-04F3-4D65-A78A-2FC5D63A6ABE}">
      <text>
        <t>[Threaded comment]
Your version of Excel allows you to read this threaded comment; however, any edits to it will get removed if the file is opened in a newer version of Excel. Learn more: https://go.microsoft.com/fwlink/?linkid=870924
Comment:
    Schematic is too low resolution to read.
Reply:
    Corrected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tc={3EBDB676-7D2C-43EC-8DBD-1B58CD019224}</author>
  </authors>
  <commentList>
    <comment ref="M47" authorId="0" shapeId="0" xr:uid="{3EBDB676-7D2C-43EC-8DBD-1B58CD019224}">
      <text>
        <t>[Threaded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
Reply:
    Updated resistor with a higher voltage rating: PR02000201004FA100</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tc={A98F5AFF-7E67-4274-A5E0-A6E1E4BDE076}</author>
  </authors>
  <commentList>
    <comment ref="F9" authorId="0" shapeId="0" xr:uid="{A98F5AFF-7E67-4274-A5E0-A6E1E4BDE076}">
      <text>
        <t>[Threaded comment]
Your version of Excel allows you to read this threaded comment; however, any edits to it will get removed if the file is opened in a newer version of Excel. Learn more: https://go.microsoft.com/fwlink/?linkid=870924
Comment:
    APPS sensor signals cannot cross.
Reply:
    Corrected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tc={4026C89C-90F0-43A4-96C7-5CF3FE64B927}</author>
  </authors>
  <commentList>
    <comment ref="A9" authorId="0" shapeId="0" xr:uid="{4026C89C-90F0-43A4-96C7-5CF3FE64B927}">
      <text>
        <t>[Threaded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
Reply:
    We will be adding an easily accessible connector to the wall of the checkbox for downloads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<sst xmlns="http://schemas.openxmlformats.org/spreadsheetml/2006/main" count="809" uniqueCount="522">
  <si>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</si>
  <si>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</si>
  <si>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</si>
  <si>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</si>
  <si>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</si>
  <si>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</si>
  <si>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</si>
  <si>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</si>
  <si>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</si>
  <si>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</si>
  <si>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</si>
  <si>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</si>
  <si>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SC Formula Electric</t>
  </si>
  <si>
    <t>University</t>
  </si>
  <si>
    <t>University of Southern California</t>
  </si>
  <si>
    <t>Competition Year</t>
  </si>
  <si>
    <t>Max TS Voltage</t>
  </si>
  <si>
    <t>V</t>
  </si>
  <si>
    <t>Accumulator Fuse</t>
  </si>
  <si>
    <t>A</t>
  </si>
  <si>
    <t>Additional Comments</t>
  </si>
  <si>
    <t>Template Revision History</t>
  </si>
  <si>
    <t>Version</t>
  </si>
  <si>
    <t>Date</t>
  </si>
  <si>
    <t>Comment</t>
  </si>
  <si>
    <t>Updated for 2023 season.</t>
  </si>
  <si>
    <t>Updated for 2022 season.</t>
  </si>
  <si>
    <t>2.0</t>
  </si>
  <si>
    <t>Multiple updates and bug fixes.</t>
  </si>
  <si>
    <t>Battery Cell</t>
  </si>
  <si>
    <t>Make</t>
  </si>
  <si>
    <t xml:space="preserve">Murata </t>
  </si>
  <si>
    <t>Model</t>
  </si>
  <si>
    <t>VTC6 18650</t>
  </si>
  <si>
    <t>Nominal Capacity</t>
  </si>
  <si>
    <t>Ahr</t>
  </si>
  <si>
    <t>Maximum Voltage</t>
  </si>
  <si>
    <t>Nominal Voltage</t>
  </si>
  <si>
    <t>Minimum Voltage</t>
  </si>
  <si>
    <t>Max output current</t>
  </si>
  <si>
    <t>Max continuous current</t>
  </si>
  <si>
    <t>Max Cell temp</t>
  </si>
  <si>
    <t>C</t>
  </si>
  <si>
    <t>Cell Chemistry</t>
  </si>
  <si>
    <t>Li-Ion</t>
  </si>
  <si>
    <t>Datasheet</t>
  </si>
  <si>
    <t>https://www.imrbatteries.com/content/sony_us18650vtc6-2.pdf</t>
  </si>
  <si>
    <t>SDS</t>
  </si>
  <si>
    <t>https://www.murata.com/-/media/webrenewal/products/batteries/cylindrical/pdf-sds/us18650vtc6-sds.ashx?la=en-US&amp;cvid=20210215080000000000</t>
  </si>
  <si>
    <t xml:space="preserve">38% Lithium Nickel Cobalt Oxide / 18% Graphite </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</si>
  <si>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</si>
  <si>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</si>
  <si>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</si>
  <si>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</si>
  <si>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</si>
  <si>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</si>
  <si>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</si>
  <si>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</si>
  <si>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</si>
  <si>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</si>
  <si>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</si>
  <si>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</si>
  <si>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</si>
  <si>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</si>
  <si>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EV.6.2.1
EV.6.2.5
EV.7.3
EV.7.6.4
EV.7.3.2</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</si>
  <si>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</si>
  <si>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</si>
  <si>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Champlain cable</t>
  </si>
  <si>
    <t>EXRAD-HVX6X</t>
  </si>
  <si>
    <t>https://www.champcable.com/wp-content/uploads/2018/08/212.-SAE-EXRAD-150-HVFX-XLE-Shielded-Battery-Cable.pdf</t>
  </si>
  <si>
    <t>Fuseholder to AIRS</t>
  </si>
  <si>
    <t>AIRs to connector exiting accumulator</t>
  </si>
  <si>
    <t>Accumulator to HVD</t>
  </si>
  <si>
    <t>HVD to motor controller</t>
  </si>
  <si>
    <t>Motor controller to motor</t>
  </si>
  <si>
    <t>Pack to fuseholder</t>
  </si>
  <si>
    <t>Eaton</t>
  </si>
  <si>
    <t>BK/PCS</t>
  </si>
  <si>
    <t>https://www.eaton.com/content/dam/eaton/products/electronic-components/resources/data-sheet/eaton-pcs-fuse-holder-data-sheet.pdf</t>
  </si>
  <si>
    <t>Fuse holder for voltage sense overcurrent protection</t>
  </si>
  <si>
    <t>Fermerry</t>
  </si>
  <si>
    <t>22-AWG-Silicone Stranded Wire</t>
  </si>
  <si>
    <t>https://www.amazon.com/Fermerry-Silicone-Flexible-Electric-Stranded/dp/B089D29FHC/ref=sr_1_3_sspa?keywords=22%2Bawg%2Bstranded%2Belectrical%2Bwire&amp;qid=1704931209&amp;sr=8-3-spons&amp;sp_csd=d2lkZ2V0TmFtZT1zcF9hdGY&amp;th=1</t>
  </si>
  <si>
    <t>All low voltage wiring</t>
  </si>
  <si>
    <t>Fuses</t>
  </si>
  <si>
    <t>Voltage 
[V]</t>
  </si>
  <si>
    <t>AC/DC</t>
  </si>
  <si>
    <t>Current 
[A]</t>
  </si>
  <si>
    <t>Interrupt 
[A]</t>
  </si>
  <si>
    <t>Eaton - Electronic Division</t>
  </si>
  <si>
    <t>BK/PCC-3/4-R</t>
  </si>
  <si>
    <t>DC</t>
  </si>
  <si>
    <t>https://www.eaton.com/content/dam/eaton/products/electronic-components/resources/data-sheet/eaton-pc-tron-subminiature-radial-leaded-fuses-data-sheet.pdf</t>
  </si>
  <si>
    <t>Cell Tep Fusing, and general circuit card fusing</t>
  </si>
  <si>
    <t>EV.6.2.1
EV.7.6</t>
  </si>
  <si>
    <t>Mersen Semiconductor</t>
  </si>
  <si>
    <t>A50QS75-4Y</t>
  </si>
  <si>
    <t>https://www.grainger.com/ec/pdf/6XPF4_1.pdf</t>
  </si>
  <si>
    <t>Main Fuse in accumulator</t>
  </si>
  <si>
    <t>Bel Fuse Inc</t>
  </si>
  <si>
    <t>0ADAP6000-RE</t>
  </si>
  <si>
    <t>https://www.belfuse.com/resources/datasheets/circuitprotection/ds-cp-0adax-series.pdf</t>
  </si>
  <si>
    <t>IMD</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</si>
  <si>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</si>
  <si>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</si>
  <si>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</si>
  <si>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</si>
  <si>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</si>
  <si>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</si>
  <si>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Schurter</t>
  </si>
  <si>
    <t>8020.5011.G</t>
  </si>
  <si>
    <t>https://us.schurter.com/en/datasheet/typ_SHT_6.3x32.pdf</t>
  </si>
  <si>
    <t>SDC</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</si>
  <si>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</si>
  <si>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</si>
  <si>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</si>
  <si>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</si>
  <si>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</si>
  <si>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Ohmite</t>
  </si>
  <si>
    <t>B20J750E</t>
  </si>
  <si>
    <t>None</t>
  </si>
  <si>
    <t>https://www.ohmite.com/assets/docs/res_200.pdf?r=false</t>
  </si>
  <si>
    <t>Precharge</t>
  </si>
  <si>
    <t>EV.6.2.1
EV.6.6
EV.6.8.4</t>
  </si>
  <si>
    <t>TE</t>
  </si>
  <si>
    <t>ROX9J30K</t>
  </si>
  <si>
    <t>https://www.te.com/usa-en/product-6-2176416-7.datasheet.pdf</t>
  </si>
  <si>
    <t>Discharge</t>
  </si>
  <si>
    <t>RR03J1K5TB</t>
  </si>
  <si>
    <t>https://www.te.com/usa-en/product-8-1879354-9.datasheet.pdf</t>
  </si>
  <si>
    <t>TSMP</t>
  </si>
  <si>
    <t>15 in series</t>
  </si>
  <si>
    <t>Contactors/Relays</t>
  </si>
  <si>
    <t>Voltage
[V]</t>
  </si>
  <si>
    <t>Continuous Current 
[A]</t>
  </si>
  <si>
    <t>Max Interrupt Current
 [A]</t>
  </si>
  <si>
    <t>Normal State</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</si>
  <si>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</si>
  <si>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</si>
  <si>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</si>
  <si>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</si>
  <si>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</si>
  <si>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</si>
  <si>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EV.6.2.1
EV.6.4
EV.6.6</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</si>
  <si>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</si>
  <si>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</si>
  <si>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</si>
  <si>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</si>
  <si>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</si>
  <si>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</si>
  <si>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</si>
  <si>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</si>
  <si>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</si>
  <si>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</si>
  <si>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Connectors</t>
  </si>
  <si>
    <r>
      <t>Wire Size 
[mm</t>
    </r>
    <r>
      <rPr>
        <vertAlign val="superscript"/>
        <sz val="11"/>
        <color theme="1"/>
        <rFont val="Verdana"/>
        <family val="2"/>
        <scheme val="minor"/>
      </rPr>
      <t>2</t>
    </r>
    <r>
      <rPr>
        <sz val="11"/>
        <color theme="1"/>
        <rFont val="Verdana"/>
        <family val="2"/>
        <scheme val="minor"/>
      </rPr>
      <t>]</t>
    </r>
  </si>
  <si>
    <t>Amphenol</t>
  </si>
  <si>
    <t>MINIMSDF000R</t>
  </si>
  <si>
    <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</si>
  <si>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HVD</t>
  </si>
  <si>
    <t>EV.6.2.1
EV.6.10
EV.7.3.4</t>
  </si>
  <si>
    <t>Molex</t>
  </si>
  <si>
    <t>334724001</t>
  </si>
  <si>
    <t>https://www.molex.com/webdocs/datasheets/pdf/en-us/0334724001_CRIMP_HOUSINGS.pdf</t>
  </si>
  <si>
    <t>Energy Meter</t>
  </si>
  <si>
    <t>amperage based on terminal value</t>
  </si>
  <si>
    <t>Mueller</t>
  </si>
  <si>
    <t>BU-P72930-0</t>
  </si>
  <si>
    <t>https://www.mouser.com/datasheet/2/643/pi-CCS-JOHN-108-0903-001-1289719.pdf</t>
  </si>
  <si>
    <t>BLK</t>
  </si>
  <si>
    <t>BU-P72930-2</t>
  </si>
  <si>
    <t>RED</t>
  </si>
  <si>
    <t>UPCR012ALS2</t>
  </si>
  <si>
    <t>https://www.farnell.com/datasheets/2013715.pdf</t>
  </si>
  <si>
    <t>All HV plugs</t>
  </si>
  <si>
    <t>UPCR012ALS1</t>
  </si>
  <si>
    <t>All HV receptacles</t>
  </si>
  <si>
    <t>Between accumulator and Checkbox, Checkbox and motor controller</t>
  </si>
  <si>
    <t>TE Connectivity</t>
  </si>
  <si>
    <t>DTM06-12SA</t>
  </si>
  <si>
    <t>.35-25</t>
  </si>
  <si>
    <t>https://www.te.com/usa-en/product-DTM06-12SA.datasheet.pdf</t>
  </si>
  <si>
    <t>Check Box</t>
  </si>
  <si>
    <t>DTM04-12PA-L012</t>
  </si>
  <si>
    <t>https://www.te.com/usa-en/product-DTM04-12PA-L012.datasheet.pdf</t>
  </si>
  <si>
    <t>DT04-6P-CL09</t>
  </si>
  <si>
    <t>https://www.te.com/usa-en/product-DT04-6P-CL09.datasheet.pdf</t>
  </si>
  <si>
    <t>Accumulator LV power supply</t>
  </si>
  <si>
    <t>DT06-6S</t>
  </si>
  <si>
    <t>https://www.te.com/usa-en/product-DT06-6S.datasheet.pdf</t>
  </si>
  <si>
    <t>RL9080-101-F1OR</t>
  </si>
  <si>
    <t>https://www.mouser.com/datasheet/2/18/1/IDS_67_RADLOK-372465.pdf</t>
  </si>
  <si>
    <t>Maintenance Plugs</t>
  </si>
  <si>
    <t>Insulating Materials</t>
  </si>
  <si>
    <t>Thickness
[mm]</t>
  </si>
  <si>
    <t>Dielectric strength 
[V/mm]</t>
  </si>
  <si>
    <t>Voltage Rating 
[V]</t>
  </si>
  <si>
    <t>Flammability Rating</t>
  </si>
  <si>
    <t>DuPont</t>
  </si>
  <si>
    <t>845</t>
  </si>
  <si>
    <t>V-0</t>
  </si>
  <si>
    <t>https://www.dupont.com/content/dam/dupont/amer/us/en/safety/public/documents/en/DPT16_21668_Nomex_410_Tech_Data_Sheet_me03_REFERENCE.pdf</t>
  </si>
  <si>
    <t>Backup material</t>
  </si>
  <si>
    <t>Nomex 410</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</si>
  <si>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</si>
  <si>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</si>
  <si>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</si>
  <si>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</si>
  <si>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</si>
  <si>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</si>
  <si>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</si>
  <si>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</si>
  <si>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</si>
  <si>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</si>
  <si>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</si>
  <si>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</si>
  <si>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</si>
  <si>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</si>
  <si>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</si>
  <si>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</si>
  <si>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</si>
  <si>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</si>
  <si>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</si>
  <si>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</si>
  <si>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</si>
  <si>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</si>
  <si>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</si>
  <si>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</si>
  <si>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</si>
  <si>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</si>
  <si>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</si>
  <si>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</si>
  <si>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</si>
  <si>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</si>
  <si>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EV.6.5</t>
  </si>
  <si>
    <t>EV.6.6</t>
  </si>
  <si>
    <t>EV.4.2.3; EV.6.1.3</t>
  </si>
  <si>
    <t>EV.6.6.1.c</t>
  </si>
  <si>
    <t>Precharge is not fused</t>
  </si>
  <si>
    <t>Discharge is not fused</t>
  </si>
  <si>
    <t>Segment-to-Segment Connection</t>
  </si>
  <si>
    <t>Series</t>
  </si>
  <si>
    <t>Maximum TS Voltage</t>
  </si>
  <si>
    <t>Nominal TS Voltage</t>
  </si>
  <si>
    <t>Total Cells</t>
  </si>
  <si>
    <t>Segment Data</t>
  </si>
  <si>
    <t>BMS</t>
  </si>
  <si>
    <t>Cell Connection Order</t>
  </si>
  <si>
    <t>Parallel then Series</t>
  </si>
  <si>
    <t>BMS Type</t>
  </si>
  <si>
    <t>Centralized</t>
  </si>
  <si>
    <t>Connector</t>
  </si>
  <si>
    <t>Amphenol RL9080-101-F1OR</t>
  </si>
  <si>
    <t>Between cells and accum. container</t>
  </si>
  <si>
    <t>DuPont 845</t>
  </si>
  <si>
    <t>Segment</t>
  </si>
  <si>
    <t>Parallel cells</t>
  </si>
  <si>
    <t>Series cells</t>
  </si>
  <si>
    <t>Temp Sensors</t>
  </si>
  <si>
    <t>Accumulator Number</t>
  </si>
  <si>
    <t>Max Voltage [V]</t>
  </si>
  <si>
    <t>Segment Energy [MJ]</t>
  </si>
  <si>
    <t>BMS Source</t>
  </si>
  <si>
    <t>Purchased</t>
  </si>
  <si>
    <t>Ampacity</t>
  </si>
  <si>
    <t>Voltage Rating</t>
  </si>
  <si>
    <t>Orion</t>
  </si>
  <si>
    <t>BMS 2 96</t>
  </si>
  <si>
    <t>Segment Fuse</t>
  </si>
  <si>
    <t>Temperature Rating</t>
  </si>
  <si>
    <t>Galvanic Isolation TS to GLV</t>
  </si>
  <si>
    <t>Segment Fuse Ampacity</t>
  </si>
  <si>
    <t>On top of cells</t>
  </si>
  <si>
    <t>Galvanic Isolation between segments</t>
  </si>
  <si>
    <t>AIR</t>
  </si>
  <si>
    <t>Galvanic Isolation device</t>
  </si>
  <si>
    <t>Make/Model</t>
  </si>
  <si>
    <t>Gigavac GV241BAB</t>
  </si>
  <si>
    <t>Gavlanic Isolation device datasheet</t>
  </si>
  <si>
    <t>Contact Voltage Rating</t>
  </si>
  <si>
    <t xml:space="preserve"> Separating AIR and Fuse from cells</t>
  </si>
  <si>
    <t>Voltage Sense Leads</t>
  </si>
  <si>
    <t>Max switching current</t>
  </si>
  <si>
    <t>Max Sense Lead Length</t>
  </si>
  <si>
    <t>cm</t>
  </si>
  <si>
    <t>Sense Lead Overcurrent Protection Device</t>
  </si>
  <si>
    <t>Schurter 8020.5011.G</t>
  </si>
  <si>
    <t>Main Fuse</t>
  </si>
  <si>
    <t>Overcurrent Location</t>
  </si>
  <si>
    <t>Mersen Semiconductor A50QS75-4Y</t>
  </si>
  <si>
    <t>Overcurrent Other Location</t>
  </si>
  <si>
    <t>Internal to BMS(secondary) and outside of BMS (primary)</t>
  </si>
  <si>
    <t>Main fuse ampacity</t>
  </si>
  <si>
    <t>Overcurrent Voltage Rating</t>
  </si>
  <si>
    <t>Main fuse voltage</t>
  </si>
  <si>
    <t>Temperature Sensors</t>
  </si>
  <si>
    <t>Temp Sensor Location</t>
  </si>
  <si>
    <t>On cell terminal</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</si>
  <si>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</si>
  <si>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</si>
  <si>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</si>
  <si>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</si>
  <si>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</si>
  <si>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</si>
  <si>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</si>
  <si>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</si>
  <si>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</si>
  <si>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</si>
  <si>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</si>
  <si>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</si>
  <si>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</si>
  <si>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</si>
  <si>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</si>
  <si>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</si>
  <si>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</si>
  <si>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</si>
  <si>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</si>
  <si>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</si>
  <si>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</si>
  <si>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</si>
  <si>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</si>
  <si>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</si>
  <si>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</si>
  <si>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</si>
  <si>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</si>
  <si>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</si>
  <si>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</si>
  <si>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</si>
  <si>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</si>
  <si>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</si>
  <si>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</si>
  <si>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</si>
  <si>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</si>
  <si>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</si>
  <si>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Location and length of cables prevents mixing of connectors and ensures unique connections.</t>
  </si>
  <si>
    <t>Parallel Cell Fusing</t>
  </si>
  <si>
    <t>Rules Referenes</t>
  </si>
  <si>
    <t>Source</t>
  </si>
  <si>
    <t>EV.7.6.3
EV.7.6.5</t>
  </si>
  <si>
    <t>Energus Fusible Link</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</si>
  <si>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</si>
  <si>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</si>
  <si>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</si>
  <si>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</si>
  <si>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</si>
  <si>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</si>
  <si>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</si>
  <si>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</si>
  <si>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</si>
  <si>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</si>
  <si>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</si>
  <si>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</si>
  <si>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</si>
  <si>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</si>
  <si>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</si>
  <si>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</si>
  <si>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</si>
  <si>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</si>
  <si>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</si>
  <si>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</si>
  <si>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</si>
  <si>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</si>
  <si>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</si>
  <si>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</si>
  <si>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</si>
  <si>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</si>
  <si>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</si>
  <si>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Ohmite B20J750E</t>
  </si>
  <si>
    <t>TE ROX9J30K</t>
  </si>
  <si>
    <t>TE RR03J1K5TB</t>
  </si>
  <si>
    <t>EV.6.8.4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</si>
  <si>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</si>
  <si>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</si>
  <si>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</si>
  <si>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</si>
  <si>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</si>
  <si>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</si>
  <si>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</si>
  <si>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</si>
  <si>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</si>
  <si>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</si>
  <si>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</si>
  <si>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</si>
  <si>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</si>
  <si>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</si>
  <si>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</si>
  <si>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</si>
  <si>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</si>
  <si>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</si>
  <si>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</si>
  <si>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</si>
  <si>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Gigavac PNC113</t>
  </si>
  <si>
    <t>ending ratio</t>
  </si>
  <si>
    <t>Relay voltage rating</t>
  </si>
  <si>
    <t>Relay current rating</t>
  </si>
  <si>
    <t>time to 90%</t>
  </si>
  <si>
    <t>Precharge Res Energy to 90%</t>
  </si>
  <si>
    <t>J</t>
  </si>
  <si>
    <t>Average Power</t>
  </si>
  <si>
    <t>Gigavac P115-BDA</t>
  </si>
  <si>
    <t>Time to charge to 98% based on 5 tao = 1.05 s
Time to charge to 98% based on 98% of maximum voltage = 0.939 s</t>
  </si>
  <si>
    <t>Charger</t>
  </si>
  <si>
    <t>Brusa</t>
  </si>
  <si>
    <t>NLG514</t>
  </si>
  <si>
    <t>https://www.hec-drives.nl/BRUSA_DB_EN_NLG514.pdf</t>
  </si>
  <si>
    <t>Input Voltage</t>
  </si>
  <si>
    <t>Input Current</t>
  </si>
  <si>
    <t>Output Voltage</t>
  </si>
  <si>
    <t>300-720</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</si>
  <si>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</si>
  <si>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</si>
  <si>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</si>
  <si>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</si>
  <si>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</si>
  <si>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</si>
  <si>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</si>
  <si>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</si>
  <si>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</si>
  <si>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</si>
  <si>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</si>
  <si>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</si>
  <si>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</si>
  <si>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</si>
  <si>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</si>
  <si>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</si>
  <si>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</si>
  <si>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</si>
  <si>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</si>
  <si>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</si>
  <si>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</si>
  <si>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</si>
  <si>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</si>
  <si>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Bender IR155-3203</t>
  </si>
  <si>
    <t>Current Sensor Make/Model</t>
  </si>
  <si>
    <t>LEM 398-HOYS100-S/SP33-1106-ND</t>
  </si>
  <si>
    <t>Setpoint</t>
  </si>
  <si>
    <r>
      <t>k</t>
    </r>
    <r>
      <rPr>
        <sz val="11"/>
        <color theme="1"/>
        <rFont val="Calibri"/>
        <family val="2"/>
      </rPr>
      <t>Ω</t>
    </r>
  </si>
  <si>
    <t>Current Sensor Datasheet</t>
  </si>
  <si>
    <t>https://www.lem.com/sites/default/files/products_datasheets/has_50_600-s_e.pdf</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</si>
  <si>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</si>
  <si>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</si>
  <si>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</si>
  <si>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</si>
  <si>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</si>
  <si>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</si>
  <si>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</si>
  <si>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</si>
  <si>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</si>
  <si>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</si>
  <si>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</si>
  <si>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</si>
  <si>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</si>
  <si>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</si>
  <si>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</si>
  <si>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</si>
  <si>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</si>
  <si>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</si>
  <si>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</si>
  <si>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</si>
  <si>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</si>
  <si>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</si>
  <si>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</si>
  <si>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</si>
  <si>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</si>
  <si>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</si>
  <si>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EV.5.1.3</t>
  </si>
  <si>
    <t>Outboard Wheel Motor Interlocks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</si>
  <si>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</si>
  <si>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</si>
  <si>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</si>
  <si>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</si>
  <si>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</si>
  <si>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</si>
  <si>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</si>
  <si>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</si>
  <si>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</si>
  <si>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</si>
  <si>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</si>
  <si>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</si>
  <si>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</si>
  <si>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</si>
  <si>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</si>
  <si>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Not using outboard wheel motors</t>
  </si>
  <si>
    <t>EV.8.1
EV.8.2</t>
  </si>
  <si>
    <t>TSAL Schematic Shows</t>
  </si>
  <si>
    <t>TSAL controlled by &gt;60V present in TS</t>
  </si>
  <si>
    <t>TSAL powered by GLV</t>
  </si>
  <si>
    <t>TSAL flashes red when HV present and solid green when not</t>
  </si>
  <si>
    <t>We will be using smart LEDs that can be configured to flash for the red light.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</si>
  <si>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</si>
  <si>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</si>
  <si>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</si>
  <si>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</si>
  <si>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</si>
  <si>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</si>
  <si>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</si>
  <si>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</si>
  <si>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</si>
  <si>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</si>
  <si>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</si>
  <si>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</si>
  <si>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</si>
  <si>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</si>
  <si>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</si>
  <si>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</si>
  <si>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VCU</t>
  </si>
  <si>
    <t>Analog</t>
  </si>
  <si>
    <t>Yes</t>
  </si>
  <si>
    <t>No</t>
  </si>
  <si>
    <t>MC</t>
  </si>
  <si>
    <t>Digital</t>
  </si>
  <si>
    <t xml:space="preserve">APPS Part number: N24341600B </t>
  </si>
  <si>
    <t>Bamocar</t>
  </si>
  <si>
    <t>emrax</t>
  </si>
  <si>
    <t>PG D3 700/400</t>
  </si>
  <si>
    <t>228 HV</t>
  </si>
  <si>
    <t>https://www.unitek-industrie-elektronik.de/images/pdf/BAMOCAR%20Digital/BAMOCAR-PG-D3-700-400_EN.pdf</t>
  </si>
  <si>
    <t>https://emrax.com/wp-content/uploads/2017/01/emrax_228_technical_data_4.5.pdf</t>
  </si>
  <si>
    <t>Galvanic Isolation between TS and control</t>
  </si>
  <si>
    <t>Picture of Energy Meter download connector on car to prove compliance with EV.4.2.2</t>
  </si>
  <si>
    <t>Energy Meter Download Picture Shows</t>
  </si>
  <si>
    <t>Energy Meter Download Connector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</si>
</sst>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5">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s>
  <fills count="10">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
      <patternFill patternType="solid">
        <fgColor rgb="FFFFCC99"/>
        <bgColor rgb="FFFFD966"/>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xf numFmtId="0" fontId="12" fillId="9" borderId="1" applyProtection="0"/>
  </cellStyleXfs>
  <cellXfs count="146">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3" fillId="0" borderId="0" xfId="0" applyFont="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protection locked="0"/>
    </xf>
    <xf numFmtId="0" fontId="0" fillId="0" borderId="25" xfId="0" applyBorder="1" applyAlignment="1">
      <alignment horizontal="left"/>
    </xf>
    <xf numFmtId="0" fontId="2" fillId="0" borderId="15" xfId="3" applyFill="1" applyBorder="1" applyAlignment="1">
      <alignment horizontal="right"/>
    </xf>
    <xf numFmtId="14" fontId="2" fillId="0" borderId="15" xfId="3" applyNumberFormat="1" applyFill="1" applyBorder="1" applyAlignment="1">
      <alignment horizontal="center"/>
    </xf>
    <xf numFmtId="0" fontId="0" fillId="5" borderId="0" xfId="0" applyFill="1" applyProtection="1">
      <protection locked="0"/>
    </xf>
    <xf numFmtId="0" fontId="11" fillId="9" borderId="1" xfId="1" applyFont="1" applyFill="1" applyProtection="1">
      <protection locked="0"/>
    </xf>
    <xf numFmtId="0" fontId="11" fillId="9" borderId="22" xfId="1" applyFont="1" applyFill="1" applyBorder="1" applyProtection="1">
      <protection locked="0"/>
    </xf>
    <xf numFmtId="0" fontId="0" fillId="0" borderId="15" xfId="0"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8" fillId="2" borderId="1" xfId="5" applyFill="1" applyBorder="1" applyAlignment="1" applyProtection="1">
      <alignment horizontal="left"/>
      <protection locked="0"/>
    </xf>
    <xf numFmtId="0" fontId="0" fillId="0" borderId="8" xfId="0" applyBorder="1" applyAlignment="1">
      <alignment horizontal="center" wrapText="1"/>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center"/>
      <protection locked="0"/>
    </xf>
    <xf numFmtId="0" fontId="0" fillId="0" borderId="0" xfId="0" applyAlignment="1">
      <alignment horizontal="center"/>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0" fillId="0" borderId="0" xfId="0" applyAlignment="1">
      <alignment horizontal="center"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0" fillId="8" borderId="16" xfId="0" applyFill="1" applyBorder="1" applyAlignment="1">
      <alignment horizontal="center"/>
    </xf>
    <xf numFmtId="0" fontId="0" fillId="8" borderId="17" xfId="0"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0" xfId="0" applyFont="1" applyAlignment="1">
      <alignment horizontal="right"/>
    </xf>
    <xf numFmtId="0" fontId="14" fillId="0" borderId="5" xfId="0" applyFont="1" applyBorder="1" applyAlignment="1">
      <alignment horizontal="right"/>
    </xf>
    <xf numFmtId="0" fontId="1" fillId="0" borderId="0" xfId="0" applyFont="1" applyAlignment="1">
      <alignment horizontal="center"/>
    </xf>
    <xf numFmtId="0" fontId="4" fillId="3" borderId="1" xfId="2" applyAlignment="1">
      <alignment horizontal="left"/>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2" fillId="8" borderId="18" xfId="3" applyFill="1" applyBorder="1" applyAlignment="1">
      <alignment horizontal="center"/>
    </xf>
    <xf numFmtId="0" fontId="0" fillId="0" borderId="5" xfId="0"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3" fillId="2" borderId="1" xfId="1" applyAlignment="1" applyProtection="1">
      <protection locked="0"/>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0" fillId="0" borderId="7" xfId="0" applyBorder="1" applyAlignment="1">
      <alignment horizontal="center" wrapText="1"/>
    </xf>
    <xf numFmtId="0" fontId="0" fillId="0" borderId="8" xfId="0" applyBorder="1" applyAlignment="1">
      <alignment horizontal="center"/>
    </xf>
    <xf numFmtId="0" fontId="2" fillId="0" borderId="17" xfId="3" applyFill="1" applyBorder="1" applyAlignment="1">
      <alignment horizontal="center"/>
    </xf>
    <xf numFmtId="0" fontId="3" fillId="0" borderId="10" xfId="1" applyFill="1" applyBorder="1" applyAlignment="1" applyProtection="1">
      <alignment horizontal="center" vertical="center" wrapText="1"/>
    </xf>
    <xf numFmtId="0" fontId="3" fillId="0" borderId="9" xfId="1" applyFill="1" applyBorder="1" applyAlignment="1" applyProtection="1">
      <alignment horizontal="center" vertical="center" wrapText="1"/>
    </xf>
    <xf numFmtId="0" fontId="3" fillId="0" borderId="11" xfId="1" applyFill="1" applyBorder="1" applyAlignment="1" applyProtection="1">
      <alignment horizontal="center" vertical="center" wrapText="1"/>
    </xf>
    <xf numFmtId="0" fontId="3" fillId="0" borderId="6" xfId="1" applyFill="1" applyBorder="1" applyAlignment="1" applyProtection="1">
      <alignment horizontal="center" vertical="center" wrapText="1"/>
    </xf>
    <xf numFmtId="0" fontId="3" fillId="0" borderId="0" xfId="1" applyFill="1" applyBorder="1" applyAlignment="1" applyProtection="1">
      <alignment horizontal="center" vertical="center" wrapText="1"/>
    </xf>
    <xf numFmtId="0" fontId="3" fillId="0" borderId="5" xfId="1" applyFill="1" applyBorder="1" applyAlignment="1" applyProtection="1">
      <alignment horizontal="center" vertical="center" wrapText="1"/>
    </xf>
    <xf numFmtId="0" fontId="3" fillId="0" borderId="12" xfId="1" applyFill="1" applyBorder="1" applyAlignment="1" applyProtection="1">
      <alignment horizontal="center" vertical="center" wrapText="1"/>
    </xf>
    <xf numFmtId="0" fontId="3" fillId="0" borderId="8" xfId="1" applyFill="1" applyBorder="1" applyAlignment="1" applyProtection="1">
      <alignment horizontal="center" vertical="center" wrapText="1"/>
    </xf>
    <xf numFmtId="0" fontId="3" fillId="0" borderId="13" xfId="1" applyFill="1" applyBorder="1" applyAlignment="1" applyProtection="1">
      <alignment horizontal="center" vertical="center" wrapText="1"/>
    </xf>
    <xf numFmtId="0" fontId="0" fillId="0" borderId="0" xfId="0" applyAlignment="1">
      <alignment horizontal="right" wrapText="1"/>
    </xf>
    <xf numFmtId="0" fontId="3" fillId="2" borderId="23" xfId="1" applyBorder="1" applyAlignment="1" applyProtection="1">
      <alignment horizontal="center"/>
      <protection locked="0"/>
    </xf>
    <xf numFmtId="0" fontId="0" fillId="0" borderId="9" xfId="0" applyBorder="1" applyAlignment="1">
      <alignment horizontal="left"/>
    </xf>
    <xf numFmtId="0" fontId="0" fillId="7" borderId="0" xfId="0" applyFill="1" applyAlignment="1">
      <alignment horizontal="center"/>
    </xf>
  </cellXfs>
  <cellStyles count="8">
    <cellStyle name="40% - Accent1" xfId="3" builtinId="31"/>
    <cellStyle name="Calculation" xfId="2" builtinId="22"/>
    <cellStyle name="Excel Built-in Input" xfId="7" xr:uid="{6F77E463-5A9F-5840-AFA1-4AE43A44B165}"/>
    <cellStyle name="Hyperlink" xfId="5" builtinId="8"/>
    <cellStyle name="Input" xfId="1" builtinId="20"/>
    <cellStyle name="Normal" xfId="0" builtinId="0"/>
    <cellStyle name="Output" xfId="6" builtinId="21"/>
    <cellStyle name="Percent" xfId="4" builtinId="5"/>
  </cellStyles>
  <dxfs count="22">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1.png"/><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customXml" Target="../ink/ink2.xml"/><Relationship Id="rId5" Type="http://schemas.openxmlformats.org/officeDocument/2006/relationships/image" Target="../media/image6.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133684</xdr:colOff>
      <xdr:row>4</xdr:row>
      <xdr:rowOff>133684</xdr:rowOff>
    </xdr:from>
    <xdr:to>
      <xdr:col>10</xdr:col>
      <xdr:colOff>691539</xdr:colOff>
      <xdr:row>21</xdr:row>
      <xdr:rowOff>52146</xdr:rowOff>
    </xdr:to>
    <xdr:pic>
      <xdr:nvPicPr>
        <xdr:cNvPr id="2" name="Picture 1">
          <a:extLst>
            <a:ext uri="{FF2B5EF4-FFF2-40B4-BE49-F238E27FC236}">
              <a16:creationId xmlns:a16="http://schemas.microsoft.com/office/drawing/2014/main" id="{2DC200CD-2597-4C49-9F04-C76778467A63}"/>
            </a:ext>
          </a:extLst>
        </xdr:cNvPr>
        <xdr:cNvPicPr/>
      </xdr:nvPicPr>
      <xdr:blipFill>
        <a:blip xmlns:r="http://schemas.openxmlformats.org/officeDocument/2006/relationships" r:embed="rId1"/>
        <a:stretch/>
      </xdr:blipFill>
      <xdr:spPr>
        <a:xfrm>
          <a:off x="133684" y="819484"/>
          <a:ext cx="8882705" cy="2833112"/>
        </a:xfrm>
        <a:prstGeom prst="rect">
          <a:avLst/>
        </a:prstGeom>
        <a:ln w="0">
          <a:noFill/>
        </a:ln>
      </xdr:spPr>
    </xdr:pic>
    <xdr:clientData/>
  </xdr:twoCellAnchor>
  <xdr:oneCellAnchor>
    <xdr:from>
      <xdr:col>18</xdr:col>
      <xdr:colOff>362249</xdr:colOff>
      <xdr:row>10</xdr:row>
      <xdr:rowOff>63926</xdr:rowOff>
    </xdr:from>
    <xdr:ext cx="362248" cy="185820"/>
    <xdr:sp macro="" textlink="">
      <xdr:nvSpPr>
        <xdr:cNvPr id="6" name="TextBox 5">
          <a:extLst>
            <a:ext uri="{FF2B5EF4-FFF2-40B4-BE49-F238E27FC236}">
              <a16:creationId xmlns:a16="http://schemas.microsoft.com/office/drawing/2014/main" id="{B52DB3FD-112E-FB53-FACD-9544F253B3EB}"/>
            </a:ext>
          </a:extLst>
        </xdr:cNvPr>
        <xdr:cNvSpPr txBox="1"/>
      </xdr:nvSpPr>
      <xdr:spPr>
        <a:xfrm>
          <a:off x="14362081" y="1853859"/>
          <a:ext cx="362248" cy="185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600"/>
            <a:t>4 in</a:t>
          </a:r>
        </a:p>
      </xdr:txBody>
    </xdr:sp>
    <xdr:clientData/>
  </xdr:oneCellAnchor>
  <xdr:twoCellAnchor editAs="oneCell">
    <xdr:from>
      <xdr:col>13</xdr:col>
      <xdr:colOff>453572</xdr:colOff>
      <xdr:row>0</xdr:row>
      <xdr:rowOff>60476</xdr:rowOff>
    </xdr:from>
    <xdr:to>
      <xdr:col>22</xdr:col>
      <xdr:colOff>151190</xdr:colOff>
      <xdr:row>26</xdr:row>
      <xdr:rowOff>131096</xdr:rowOff>
    </xdr:to>
    <xdr:pic>
      <xdr:nvPicPr>
        <xdr:cNvPr id="7" name="Picture 6">
          <a:extLst>
            <a:ext uri="{FF2B5EF4-FFF2-40B4-BE49-F238E27FC236}">
              <a16:creationId xmlns:a16="http://schemas.microsoft.com/office/drawing/2014/main" id="{BB84CD3D-2714-D422-F1A2-C2D3A10F0E08}"/>
            </a:ext>
          </a:extLst>
        </xdr:cNvPr>
        <xdr:cNvPicPr>
          <a:picLocks noChangeAspect="1"/>
        </xdr:cNvPicPr>
      </xdr:nvPicPr>
      <xdr:blipFill>
        <a:blip xmlns:r="http://schemas.openxmlformats.org/officeDocument/2006/relationships" r:embed="rId2"/>
        <a:stretch>
          <a:fillRect/>
        </a:stretch>
      </xdr:blipFill>
      <xdr:spPr>
        <a:xfrm>
          <a:off x="10704286" y="60476"/>
          <a:ext cx="6773333" cy="4787763"/>
        </a:xfrm>
        <a:prstGeom prst="rect">
          <a:avLst/>
        </a:prstGeom>
      </xdr:spPr>
    </xdr:pic>
    <xdr:clientData/>
  </xdr:twoCellAnchor>
  <xdr:twoCellAnchor>
    <xdr:from>
      <xdr:col>3</xdr:col>
      <xdr:colOff>342900</xdr:colOff>
      <xdr:row>15</xdr:row>
      <xdr:rowOff>85725</xdr:rowOff>
    </xdr:from>
    <xdr:to>
      <xdr:col>5</xdr:col>
      <xdr:colOff>104775</xdr:colOff>
      <xdr:row>19</xdr:row>
      <xdr:rowOff>85725</xdr:rowOff>
    </xdr:to>
    <xdr:sp macro="" textlink="">
      <xdr:nvSpPr>
        <xdr:cNvPr id="26" name="TextBox 8">
          <a:extLst>
            <a:ext uri="{FF2B5EF4-FFF2-40B4-BE49-F238E27FC236}">
              <a16:creationId xmlns:a16="http://schemas.microsoft.com/office/drawing/2014/main" id="{23AB2407-56F5-4378-AA3D-6E27778A23F6}"/>
            </a:ext>
            <a:ext uri="{147F2762-F138-4A5C-976F-8EAC2B608ADB}">
              <a16:predDERef xmlns:a16="http://schemas.microsoft.com/office/drawing/2014/main" pred="{BB84CD3D-2714-D422-F1A2-C2D3A10F0E08}"/>
            </a:ext>
          </a:extLst>
        </xdr:cNvPr>
        <xdr:cNvSpPr txBox="1"/>
      </xdr:nvSpPr>
      <xdr:spPr>
        <a:xfrm flipH="1">
          <a:off x="2828925" y="2657475"/>
          <a:ext cx="1457325" cy="685800"/>
        </a:xfrm>
        <a:prstGeom prst="rect">
          <a:avLst/>
        </a:prstGeom>
        <a:solidFill>
          <a:schemeClr val="bg1"/>
        </a:solidFill>
        <a:ln w="9525" cmpd="sng">
          <a:solidFill>
            <a:schemeClr val="tx1"/>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Verdana" panose="020B0604030504040204" pitchFamily="34" charset="0"/>
              <a:ea typeface="Verdana" panose="020B0604030504040204" pitchFamily="34" charset="0"/>
            </a:rPr>
            <a:t>1 in between HV cable and and E-meter fuse</a:t>
          </a:r>
        </a:p>
      </xdr:txBody>
    </xdr:sp>
    <xdr:clientData/>
  </xdr:twoCellAnchor>
  <xdr:twoCellAnchor>
    <xdr:from>
      <xdr:col>5</xdr:col>
      <xdr:colOff>257175</xdr:colOff>
      <xdr:row>5</xdr:row>
      <xdr:rowOff>114300</xdr:rowOff>
    </xdr:from>
    <xdr:to>
      <xdr:col>7</xdr:col>
      <xdr:colOff>571500</xdr:colOff>
      <xdr:row>8</xdr:row>
      <xdr:rowOff>47625</xdr:rowOff>
    </xdr:to>
    <xdr:sp macro="" textlink="">
      <xdr:nvSpPr>
        <xdr:cNvPr id="23" name="TextBox 22">
          <a:extLst>
            <a:ext uri="{FF2B5EF4-FFF2-40B4-BE49-F238E27FC236}">
              <a16:creationId xmlns:a16="http://schemas.microsoft.com/office/drawing/2014/main" id="{3F742A22-18F6-434A-A33C-F6C94F31EE68}"/>
            </a:ext>
            <a:ext uri="{147F2762-F138-4A5C-976F-8EAC2B608ADB}">
              <a16:predDERef xmlns:a16="http://schemas.microsoft.com/office/drawing/2014/main" pred="{23AB2407-56F5-4378-AA3D-6E27778A23F6}"/>
            </a:ext>
          </a:extLst>
        </xdr:cNvPr>
        <xdr:cNvSpPr txBox="1"/>
      </xdr:nvSpPr>
      <xdr:spPr>
        <a:xfrm flipH="1">
          <a:off x="4438650" y="971550"/>
          <a:ext cx="1971675" cy="447675"/>
        </a:xfrm>
        <a:prstGeom prst="rect">
          <a:avLst/>
        </a:prstGeom>
        <a:solidFill>
          <a:schemeClr val="bg1"/>
        </a:solidFill>
        <a:ln w="9525" cmpd="sng">
          <a:solidFill>
            <a:schemeClr val="tx1"/>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Verdana" panose="020B0604030504040204" pitchFamily="34" charset="0"/>
              <a:ea typeface="Verdana" panose="020B0604030504040204" pitchFamily="34" charset="0"/>
            </a:rPr>
            <a:t>2 ins between HV cable and TSMP resistors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117232</xdr:colOff>
      <xdr:row>32</xdr:row>
      <xdr:rowOff>117230</xdr:rowOff>
    </xdr:from>
    <xdr:to>
      <xdr:col>2</xdr:col>
      <xdr:colOff>685172</xdr:colOff>
      <xdr:row>41</xdr:row>
      <xdr:rowOff>97692</xdr:rowOff>
    </xdr:to>
    <xdr:pic>
      <xdr:nvPicPr>
        <xdr:cNvPr id="4" name="Picture 3">
          <a:extLst>
            <a:ext uri="{FF2B5EF4-FFF2-40B4-BE49-F238E27FC236}">
              <a16:creationId xmlns:a16="http://schemas.microsoft.com/office/drawing/2014/main" id="{9BD965CD-AA01-DEDA-4D4F-584DFB3ED3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32" y="5734538"/>
          <a:ext cx="2033325" cy="1563077"/>
        </a:xfrm>
        <a:prstGeom prst="rect">
          <a:avLst/>
        </a:prstGeom>
      </xdr:spPr>
    </xdr:pic>
    <xdr:clientData/>
  </xdr:twoCellAnchor>
  <xdr:twoCellAnchor editAs="oneCell">
    <xdr:from>
      <xdr:col>9</xdr:col>
      <xdr:colOff>703384</xdr:colOff>
      <xdr:row>33</xdr:row>
      <xdr:rowOff>126999</xdr:rowOff>
    </xdr:from>
    <xdr:to>
      <xdr:col>15</xdr:col>
      <xdr:colOff>292396</xdr:colOff>
      <xdr:row>48</xdr:row>
      <xdr:rowOff>134209</xdr:rowOff>
    </xdr:to>
    <xdr:pic>
      <xdr:nvPicPr>
        <xdr:cNvPr id="15" name="Picture 14">
          <a:extLst>
            <a:ext uri="{FF2B5EF4-FFF2-40B4-BE49-F238E27FC236}">
              <a16:creationId xmlns:a16="http://schemas.microsoft.com/office/drawing/2014/main" id="{99CDF37D-93D1-D7A0-CCD2-47B571B4F7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44692" y="5920153"/>
          <a:ext cx="3994935" cy="2644902"/>
        </a:xfrm>
        <a:prstGeom prst="rect">
          <a:avLst/>
        </a:prstGeom>
      </xdr:spPr>
    </xdr:pic>
    <xdr:clientData/>
  </xdr:twoCellAnchor>
  <xdr:twoCellAnchor>
    <xdr:from>
      <xdr:col>14</xdr:col>
      <xdr:colOff>29307</xdr:colOff>
      <xdr:row>41</xdr:row>
      <xdr:rowOff>146538</xdr:rowOff>
    </xdr:from>
    <xdr:to>
      <xdr:col>16</xdr:col>
      <xdr:colOff>536017</xdr:colOff>
      <xdr:row>44</xdr:row>
      <xdr:rowOff>47328</xdr:rowOff>
    </xdr:to>
    <xdr:grpSp>
      <xdr:nvGrpSpPr>
        <xdr:cNvPr id="16" name="Group 15">
          <a:extLst>
            <a:ext uri="{FF2B5EF4-FFF2-40B4-BE49-F238E27FC236}">
              <a16:creationId xmlns:a16="http://schemas.microsoft.com/office/drawing/2014/main" id="{69169EF4-53AF-4AC9-82A6-A00AEEE937BF}"/>
            </a:ext>
          </a:extLst>
        </xdr:cNvPr>
        <xdr:cNvGrpSpPr/>
      </xdr:nvGrpSpPr>
      <xdr:grpSpPr>
        <a:xfrm>
          <a:off x="12278457" y="7195038"/>
          <a:ext cx="2164060" cy="415140"/>
          <a:chOff x="11482201" y="6840971"/>
          <a:chExt cx="2059533" cy="410841"/>
        </a:xfrm>
      </xdr:grpSpPr>
      <xdr:sp macro="" textlink="">
        <xdr:nvSpPr>
          <xdr:cNvPr id="17" name="TextBox 16">
            <a:extLst>
              <a:ext uri="{FF2B5EF4-FFF2-40B4-BE49-F238E27FC236}">
                <a16:creationId xmlns:a16="http://schemas.microsoft.com/office/drawing/2014/main" id="{6E57158C-B228-9569-0E27-BE7F08230689}"/>
              </a:ext>
            </a:extLst>
          </xdr:cNvPr>
          <xdr:cNvSpPr txBox="1"/>
        </xdr:nvSpPr>
        <xdr:spPr>
          <a:xfrm>
            <a:off x="12194070" y="7001312"/>
            <a:ext cx="1347664" cy="25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Two Tab Washer</a:t>
            </a:r>
          </a:p>
        </xdr:txBody>
      </xdr:sp>
      <xdr:cxnSp macro="">
        <xdr:nvCxnSpPr>
          <xdr:cNvPr id="18" name="Straight Arrow Connector 17">
            <a:extLst>
              <a:ext uri="{FF2B5EF4-FFF2-40B4-BE49-F238E27FC236}">
                <a16:creationId xmlns:a16="http://schemas.microsoft.com/office/drawing/2014/main" id="{534A1F75-0047-A227-CEB4-9A588211B987}"/>
              </a:ext>
            </a:extLst>
          </xdr:cNvPr>
          <xdr:cNvCxnSpPr>
            <a:stCxn id="17" idx="1"/>
          </xdr:cNvCxnSpPr>
        </xdr:nvCxnSpPr>
        <xdr:spPr>
          <a:xfrm flipH="1" flipV="1">
            <a:off x="11482201" y="6840971"/>
            <a:ext cx="711869" cy="2855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18</xdr:col>
      <xdr:colOff>156307</xdr:colOff>
      <xdr:row>33</xdr:row>
      <xdr:rowOff>126999</xdr:rowOff>
    </xdr:from>
    <xdr:to>
      <xdr:col>25</xdr:col>
      <xdr:colOff>1064787</xdr:colOff>
      <xdr:row>49</xdr:row>
      <xdr:rowOff>166076</xdr:rowOff>
    </xdr:to>
    <xdr:pic>
      <xdr:nvPicPr>
        <xdr:cNvPr id="20" name="Picture 19">
          <a:extLst>
            <a:ext uri="{FF2B5EF4-FFF2-40B4-BE49-F238E27FC236}">
              <a16:creationId xmlns:a16="http://schemas.microsoft.com/office/drawing/2014/main" id="{E2DEEF00-F53C-FEFA-6AFC-2E59952C69E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400" r="6486" b="14843"/>
        <a:stretch/>
      </xdr:blipFill>
      <xdr:spPr>
        <a:xfrm>
          <a:off x="14321692" y="5920153"/>
          <a:ext cx="6037326" cy="2852615"/>
        </a:xfrm>
        <a:prstGeom prst="rect">
          <a:avLst/>
        </a:prstGeom>
      </xdr:spPr>
    </xdr:pic>
    <xdr:clientData/>
  </xdr:twoCellAnchor>
  <xdr:twoCellAnchor>
    <xdr:from>
      <xdr:col>19</xdr:col>
      <xdr:colOff>586152</xdr:colOff>
      <xdr:row>36</xdr:row>
      <xdr:rowOff>146533</xdr:rowOff>
    </xdr:from>
    <xdr:to>
      <xdr:col>22</xdr:col>
      <xdr:colOff>166076</xdr:colOff>
      <xdr:row>39</xdr:row>
      <xdr:rowOff>166071</xdr:rowOff>
    </xdr:to>
    <xdr:grpSp>
      <xdr:nvGrpSpPr>
        <xdr:cNvPr id="21" name="Group 20">
          <a:extLst>
            <a:ext uri="{FF2B5EF4-FFF2-40B4-BE49-F238E27FC236}">
              <a16:creationId xmlns:a16="http://schemas.microsoft.com/office/drawing/2014/main" id="{4CB5E863-14EC-40A4-A9A8-B368A9522F28}"/>
            </a:ext>
          </a:extLst>
        </xdr:cNvPr>
        <xdr:cNvGrpSpPr/>
      </xdr:nvGrpSpPr>
      <xdr:grpSpPr>
        <a:xfrm>
          <a:off x="17454927" y="6337783"/>
          <a:ext cx="2065949" cy="533888"/>
          <a:chOff x="16166691" y="9472482"/>
          <a:chExt cx="2534349" cy="395480"/>
        </a:xfrm>
      </xdr:grpSpPr>
      <xdr:sp macro="" textlink="">
        <xdr:nvSpPr>
          <xdr:cNvPr id="22" name="TextBox 21">
            <a:extLst>
              <a:ext uri="{FF2B5EF4-FFF2-40B4-BE49-F238E27FC236}">
                <a16:creationId xmlns:a16="http://schemas.microsoft.com/office/drawing/2014/main" id="{80C34380-6F22-7408-E1A8-A5F1C8AAAA1E}"/>
              </a:ext>
            </a:extLst>
          </xdr:cNvPr>
          <xdr:cNvSpPr txBox="1"/>
        </xdr:nvSpPr>
        <xdr:spPr>
          <a:xfrm>
            <a:off x="16499630" y="9472482"/>
            <a:ext cx="1598321" cy="205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temperature sensor</a:t>
            </a:r>
          </a:p>
        </xdr:txBody>
      </xdr:sp>
      <xdr:cxnSp macro="">
        <xdr:nvCxnSpPr>
          <xdr:cNvPr id="23" name="Straight Arrow Connector 22">
            <a:extLst>
              <a:ext uri="{FF2B5EF4-FFF2-40B4-BE49-F238E27FC236}">
                <a16:creationId xmlns:a16="http://schemas.microsoft.com/office/drawing/2014/main" id="{AE8E7540-9BB2-9674-E422-3BA83DF86045}"/>
              </a:ext>
            </a:extLst>
          </xdr:cNvPr>
          <xdr:cNvCxnSpPr>
            <a:stCxn id="22" idx="1"/>
          </xdr:cNvCxnSpPr>
        </xdr:nvCxnSpPr>
        <xdr:spPr>
          <a:xfrm flipH="1">
            <a:off x="16166691" y="9577758"/>
            <a:ext cx="332939" cy="2805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653C16DB-282B-EA35-3ED5-CDF1BDE60D3A}"/>
              </a:ext>
            </a:extLst>
          </xdr:cNvPr>
          <xdr:cNvCxnSpPr>
            <a:stCxn id="22" idx="3"/>
          </xdr:cNvCxnSpPr>
        </xdr:nvCxnSpPr>
        <xdr:spPr>
          <a:xfrm>
            <a:off x="18097951" y="9575212"/>
            <a:ext cx="603089" cy="2927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504091</xdr:colOff>
      <xdr:row>32</xdr:row>
      <xdr:rowOff>44937</xdr:rowOff>
    </xdr:from>
    <xdr:to>
      <xdr:col>52</xdr:col>
      <xdr:colOff>53302</xdr:colOff>
      <xdr:row>50</xdr:row>
      <xdr:rowOff>142630</xdr:rowOff>
    </xdr:to>
    <xdr:pic>
      <xdr:nvPicPr>
        <xdr:cNvPr id="30" name="Picture 29">
          <a:extLst>
            <a:ext uri="{FF2B5EF4-FFF2-40B4-BE49-F238E27FC236}">
              <a16:creationId xmlns:a16="http://schemas.microsoft.com/office/drawing/2014/main" id="{3CA97284-172C-4295-9BF7-5F3AF901EA0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394" t="3550" r="3594" b="2012"/>
        <a:stretch/>
      </xdr:blipFill>
      <xdr:spPr>
        <a:xfrm>
          <a:off x="36445091" y="5662245"/>
          <a:ext cx="3945365" cy="3262923"/>
        </a:xfrm>
        <a:prstGeom prst="rect">
          <a:avLst/>
        </a:prstGeom>
      </xdr:spPr>
    </xdr:pic>
    <xdr:clientData/>
  </xdr:twoCellAnchor>
  <xdr:twoCellAnchor>
    <xdr:from>
      <xdr:col>45</xdr:col>
      <xdr:colOff>146539</xdr:colOff>
      <xdr:row>33</xdr:row>
      <xdr:rowOff>46089</xdr:rowOff>
    </xdr:from>
    <xdr:to>
      <xdr:col>46</xdr:col>
      <xdr:colOff>345180</xdr:colOff>
      <xdr:row>37</xdr:row>
      <xdr:rowOff>53703</xdr:rowOff>
    </xdr:to>
    <xdr:sp macro="" textlink="">
      <xdr:nvSpPr>
        <xdr:cNvPr id="31" name="TextBox 30">
          <a:extLst>
            <a:ext uri="{FF2B5EF4-FFF2-40B4-BE49-F238E27FC236}">
              <a16:creationId xmlns:a16="http://schemas.microsoft.com/office/drawing/2014/main" id="{AE35105C-FDDD-42F6-AE59-69947A6372A4}"/>
            </a:ext>
          </a:extLst>
        </xdr:cNvPr>
        <xdr:cNvSpPr txBox="1"/>
      </xdr:nvSpPr>
      <xdr:spPr>
        <a:xfrm>
          <a:off x="35354847" y="5839243"/>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 410</a:t>
          </a:r>
        </a:p>
        <a:p>
          <a:endParaRPr lang="en-US" sz="1100"/>
        </a:p>
      </xdr:txBody>
    </xdr:sp>
    <xdr:clientData/>
  </xdr:twoCellAnchor>
  <xdr:twoCellAnchor>
    <xdr:from>
      <xdr:col>46</xdr:col>
      <xdr:colOff>345180</xdr:colOff>
      <xdr:row>35</xdr:row>
      <xdr:rowOff>49896</xdr:rowOff>
    </xdr:from>
    <xdr:to>
      <xdr:col>47</xdr:col>
      <xdr:colOff>693616</xdr:colOff>
      <xdr:row>40</xdr:row>
      <xdr:rowOff>117231</xdr:rowOff>
    </xdr:to>
    <xdr:cxnSp macro="">
      <xdr:nvCxnSpPr>
        <xdr:cNvPr id="32" name="Straight Arrow Connector 31">
          <a:extLst>
            <a:ext uri="{FF2B5EF4-FFF2-40B4-BE49-F238E27FC236}">
              <a16:creationId xmlns:a16="http://schemas.microsoft.com/office/drawing/2014/main" id="{28C0FEC5-D258-4813-903D-00767C4F16A1}"/>
            </a:ext>
          </a:extLst>
        </xdr:cNvPr>
        <xdr:cNvCxnSpPr>
          <a:stCxn id="31" idx="3"/>
        </xdr:cNvCxnSpPr>
      </xdr:nvCxnSpPr>
      <xdr:spPr>
        <a:xfrm>
          <a:off x="36286180" y="6194742"/>
          <a:ext cx="1081128" cy="946566"/>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36</xdr:col>
      <xdr:colOff>171939</xdr:colOff>
      <xdr:row>32</xdr:row>
      <xdr:rowOff>139874</xdr:rowOff>
    </xdr:from>
    <xdr:to>
      <xdr:col>37</xdr:col>
      <xdr:colOff>370580</xdr:colOff>
      <xdr:row>38</xdr:row>
      <xdr:rowOff>64714</xdr:rowOff>
    </xdr:to>
    <xdr:sp macro="" textlink="">
      <xdr:nvSpPr>
        <xdr:cNvPr id="35" name="TextBox 34">
          <a:extLst>
            <a:ext uri="{FF2B5EF4-FFF2-40B4-BE49-F238E27FC236}">
              <a16:creationId xmlns:a16="http://schemas.microsoft.com/office/drawing/2014/main" id="{8599317A-8C46-4B6E-8982-B4802368BD7F}"/>
            </a:ext>
          </a:extLst>
        </xdr:cNvPr>
        <xdr:cNvSpPr txBox="1"/>
      </xdr:nvSpPr>
      <xdr:spPr>
        <a:xfrm>
          <a:off x="30053340" y="5818473"/>
          <a:ext cx="975202" cy="99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a:t>
          </a:r>
          <a:r>
            <a:rPr lang="en-US" sz="1100" baseline="0"/>
            <a:t> 410- all walls (including lid)</a:t>
          </a:r>
          <a:endParaRPr lang="en-US" sz="1100"/>
        </a:p>
      </xdr:txBody>
    </xdr:sp>
    <xdr:clientData/>
  </xdr:twoCellAnchor>
  <xdr:twoCellAnchor editAs="oneCell">
    <xdr:from>
      <xdr:col>38</xdr:col>
      <xdr:colOff>169334</xdr:colOff>
      <xdr:row>32</xdr:row>
      <xdr:rowOff>51837</xdr:rowOff>
    </xdr:from>
    <xdr:to>
      <xdr:col>43</xdr:col>
      <xdr:colOff>388776</xdr:colOff>
      <xdr:row>50</xdr:row>
      <xdr:rowOff>145600</xdr:rowOff>
    </xdr:to>
    <xdr:pic>
      <xdr:nvPicPr>
        <xdr:cNvPr id="5" name="Picture 4">
          <a:extLst>
            <a:ext uri="{FF2B5EF4-FFF2-40B4-BE49-F238E27FC236}">
              <a16:creationId xmlns:a16="http://schemas.microsoft.com/office/drawing/2014/main" id="{9E60400F-0A59-31C2-7657-33ABF0804A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566556" y="5907948"/>
          <a:ext cx="4099998" cy="3395763"/>
        </a:xfrm>
        <a:prstGeom prst="rect">
          <a:avLst/>
        </a:prstGeom>
      </xdr:spPr>
    </xdr:pic>
    <xdr:clientData/>
  </xdr:twoCellAnchor>
  <xdr:twoCellAnchor editAs="oneCell">
    <xdr:from>
      <xdr:col>28</xdr:col>
      <xdr:colOff>482601</xdr:colOff>
      <xdr:row>31</xdr:row>
      <xdr:rowOff>127000</xdr:rowOff>
    </xdr:from>
    <xdr:to>
      <xdr:col>33</xdr:col>
      <xdr:colOff>660401</xdr:colOff>
      <xdr:row>50</xdr:row>
      <xdr:rowOff>158121</xdr:rowOff>
    </xdr:to>
    <xdr:pic>
      <xdr:nvPicPr>
        <xdr:cNvPr id="9" name="Picture 8">
          <a:extLst>
            <a:ext uri="{FF2B5EF4-FFF2-40B4-BE49-F238E27FC236}">
              <a16:creationId xmlns:a16="http://schemas.microsoft.com/office/drawing/2014/main" id="{40C140C2-E79D-37B5-D95B-C480C03BDD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52201" y="5664200"/>
          <a:ext cx="4114800" cy="3409321"/>
        </a:xfrm>
        <a:prstGeom prst="rect">
          <a:avLst/>
        </a:prstGeom>
      </xdr:spPr>
    </xdr:pic>
    <xdr:clientData/>
  </xdr:twoCellAnchor>
  <xdr:twoCellAnchor editAs="oneCell">
    <xdr:from>
      <xdr:col>0</xdr:col>
      <xdr:colOff>406400</xdr:colOff>
      <xdr:row>43</xdr:row>
      <xdr:rowOff>56082</xdr:rowOff>
    </xdr:from>
    <xdr:to>
      <xdr:col>2</xdr:col>
      <xdr:colOff>482600</xdr:colOff>
      <xdr:row>50</xdr:row>
      <xdr:rowOff>42937</xdr:rowOff>
    </xdr:to>
    <xdr:pic>
      <xdr:nvPicPr>
        <xdr:cNvPr id="13" name="Picture 12">
          <a:extLst>
            <a:ext uri="{FF2B5EF4-FFF2-40B4-BE49-F238E27FC236}">
              <a16:creationId xmlns:a16="http://schemas.microsoft.com/office/drawing/2014/main" id="{A5C7C187-D17A-13A3-571F-80E663CE6BB1}"/>
            </a:ext>
          </a:extLst>
        </xdr:cNvPr>
        <xdr:cNvPicPr>
          <a:picLocks noChangeAspect="1"/>
        </xdr:cNvPicPr>
      </xdr:nvPicPr>
      <xdr:blipFill>
        <a:blip xmlns:r="http://schemas.openxmlformats.org/officeDocument/2006/relationships" r:embed="rId8"/>
        <a:stretch>
          <a:fillRect/>
        </a:stretch>
      </xdr:blipFill>
      <xdr:spPr>
        <a:xfrm>
          <a:off x="406400" y="7726882"/>
          <a:ext cx="1651000" cy="1231455"/>
        </a:xfrm>
        <a:prstGeom prst="rect">
          <a:avLst/>
        </a:prstGeom>
      </xdr:spPr>
    </xdr:pic>
    <xdr:clientData/>
  </xdr:twoCellAnchor>
  <xdr:twoCellAnchor editAs="oneCell">
    <xdr:from>
      <xdr:col>3</xdr:col>
      <xdr:colOff>282222</xdr:colOff>
      <xdr:row>32</xdr:row>
      <xdr:rowOff>0</xdr:rowOff>
    </xdr:from>
    <xdr:to>
      <xdr:col>7</xdr:col>
      <xdr:colOff>1136664</xdr:colOff>
      <xdr:row>50</xdr:row>
      <xdr:rowOff>93763</xdr:rowOff>
    </xdr:to>
    <xdr:pic>
      <xdr:nvPicPr>
        <xdr:cNvPr id="6" name="Picture 13">
          <a:extLst>
            <a:ext uri="{FF2B5EF4-FFF2-40B4-BE49-F238E27FC236}">
              <a16:creationId xmlns:a16="http://schemas.microsoft.com/office/drawing/2014/main" id="{6FDA82A7-E4F5-D740-9781-CD92C5F615F1}"/>
            </a:ext>
            <a:ext uri="{147F2762-F138-4A5C-976F-8EAC2B608ADB}">
              <a16:predDERef xmlns:a16="http://schemas.microsoft.com/office/drawing/2014/main" pred="{A5C7C187-D17A-13A3-571F-80E663CE6BB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10555" y="5856111"/>
          <a:ext cx="4099998" cy="3395763"/>
        </a:xfrm>
        <a:prstGeom prst="rect">
          <a:avLst/>
        </a:prstGeom>
      </xdr:spPr>
    </xdr:pic>
    <xdr:clientData/>
  </xdr:twoCellAnchor>
  <xdr:twoCellAnchor>
    <xdr:from>
      <xdr:col>2</xdr:col>
      <xdr:colOff>451556</xdr:colOff>
      <xdr:row>39</xdr:row>
      <xdr:rowOff>42334</xdr:rowOff>
    </xdr:from>
    <xdr:to>
      <xdr:col>4</xdr:col>
      <xdr:colOff>208845</xdr:colOff>
      <xdr:row>44</xdr:row>
      <xdr:rowOff>52103</xdr:rowOff>
    </xdr:to>
    <xdr:cxnSp macro="">
      <xdr:nvCxnSpPr>
        <xdr:cNvPr id="19" name="Straight Arrow Connector 18">
          <a:extLst>
            <a:ext uri="{FF2B5EF4-FFF2-40B4-BE49-F238E27FC236}">
              <a16:creationId xmlns:a16="http://schemas.microsoft.com/office/drawing/2014/main" id="{E13D5224-B4E3-F741-89A1-7438F26C9E30}"/>
            </a:ext>
          </a:extLst>
        </xdr:cNvPr>
        <xdr:cNvCxnSpPr/>
      </xdr:nvCxnSpPr>
      <xdr:spPr>
        <a:xfrm flipV="1">
          <a:off x="2003778" y="7182556"/>
          <a:ext cx="1309511" cy="926991"/>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504825</xdr:colOff>
      <xdr:row>37</xdr:row>
      <xdr:rowOff>9525</xdr:rowOff>
    </xdr:from>
    <xdr:to>
      <xdr:col>5</xdr:col>
      <xdr:colOff>390525</xdr:colOff>
      <xdr:row>39</xdr:row>
      <xdr:rowOff>152400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 name="">
              <a:extLst>
                <a:ext uri="{FF2B5EF4-FFF2-40B4-BE49-F238E27FC236}">
                  <a16:creationId xmlns:a16="http://schemas.microsoft.com/office/drawing/2014/main" id="{6C9D9ADB-95A8-4057-B76A-1CD0C511F245}"/>
                </a:ext>
                <a:ext uri="{147F2762-F138-4A5C-976F-8EAC2B608ADB}">
                  <a16:predDERef xmlns:a16="http://schemas.microsoft.com/office/drawing/2014/main" pred="{E13D5224-B4E3-F741-89A1-7438F26C9E30}"/>
                </a:ext>
              </a:extLst>
            </xdr14:cNvPr>
            <xdr14:cNvContentPartPr/>
          </xdr14:nvContentPartPr>
          <xdr14:nvPr macro=""/>
          <xdr14:xfrm>
            <a:off x="3819525" y="6372225"/>
            <a:ext cx="866775" cy="485775"/>
          </xdr14:xfrm>
        </xdr:contentPart>
      </mc:Choice>
      <mc:Fallback xmlns="">
        <xdr:pic>
          <xdr:nvPicPr>
            <xdr:cNvPr id="10" name="">
              <a:extLst>
                <a:ext uri="{FF2B5EF4-FFF2-40B4-BE49-F238E27FC236}">
                  <a16:creationId xmlns:a16="http://schemas.microsoft.com/office/drawing/2014/main" id="{6C9D9ADB-95A8-4057-B76A-1CD0C511F245}"/>
                </a:ext>
                <a:ext uri="{147F2762-F138-4A5C-976F-8EAC2B608ADB}">
                  <a16:predDERef xmlns:a16="http://schemas.microsoft.com/office/drawing/2014/main" pred="{E13D5224-B4E3-F741-89A1-7438F26C9E30}"/>
                </a:ext>
              </a:extLst>
            </xdr:cNvPr>
            <xdr:cNvPicPr/>
          </xdr:nvPicPr>
          <xdr:blipFill>
            <a:blip xmlns:r="http://schemas.openxmlformats.org/officeDocument/2006/relationships" r:embed="rId10"/>
            <a:stretch>
              <a:fillRect/>
            </a:stretch>
          </xdr:blipFill>
          <xdr:spPr>
            <a:xfrm>
              <a:off x="3801902" y="6354736"/>
              <a:ext cx="902381" cy="521111"/>
            </a:xfrm>
            <a:prstGeom prst="rect">
              <a:avLst/>
            </a:prstGeom>
          </xdr:spPr>
        </xdr:pic>
      </mc:Fallback>
    </mc:AlternateContent>
    <xdr:clientData/>
  </xdr:twoCellAnchor>
  <xdr:twoCellAnchor editAs="oneCell">
    <xdr:from>
      <xdr:col>5</xdr:col>
      <xdr:colOff>466725</xdr:colOff>
      <xdr:row>36</xdr:row>
      <xdr:rowOff>152400</xdr:rowOff>
    </xdr:from>
    <xdr:to>
      <xdr:col>7</xdr:col>
      <xdr:colOff>133350</xdr:colOff>
      <xdr:row>45</xdr:row>
      <xdr:rowOff>142875</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1" name="">
              <a:extLst>
                <a:ext uri="{FF2B5EF4-FFF2-40B4-BE49-F238E27FC236}">
                  <a16:creationId xmlns:a16="http://schemas.microsoft.com/office/drawing/2014/main" id="{3775E784-9880-4DAF-B118-8824B29427E3}"/>
                </a:ext>
                <a:ext uri="{147F2762-F138-4A5C-976F-8EAC2B608ADB}">
                  <a16:predDERef xmlns:a16="http://schemas.microsoft.com/office/drawing/2014/main" pred="{6C9D9ADB-95A8-4057-B76A-1CD0C511F245}"/>
                </a:ext>
              </a:extLst>
            </xdr14:cNvPr>
            <xdr14:cNvContentPartPr/>
          </xdr14:nvContentPartPr>
          <xdr14:nvPr macro=""/>
          <xdr14:xfrm>
            <a:off x="4762500" y="6343650"/>
            <a:ext cx="1323975" cy="1533525"/>
          </xdr14:xfrm>
        </xdr:contentPart>
      </mc:Choice>
      <mc:Fallback xmlns="">
        <xdr:pic>
          <xdr:nvPicPr>
            <xdr:cNvPr id="11" name="">
              <a:extLst>
                <a:ext uri="{FF2B5EF4-FFF2-40B4-BE49-F238E27FC236}">
                  <a16:creationId xmlns:a16="http://schemas.microsoft.com/office/drawing/2014/main" id="{3775E784-9880-4DAF-B118-8824B29427E3}"/>
                </a:ext>
                <a:ext uri="{147F2762-F138-4A5C-976F-8EAC2B608ADB}">
                  <a16:predDERef xmlns:a16="http://schemas.microsoft.com/office/drawing/2014/main" pred="{6C9D9ADB-95A8-4057-B76A-1CD0C511F245}"/>
                </a:ext>
              </a:extLst>
            </xdr:cNvPr>
            <xdr:cNvPicPr/>
          </xdr:nvPicPr>
          <xdr:blipFill>
            <a:blip xmlns:r="http://schemas.openxmlformats.org/officeDocument/2006/relationships" r:embed="rId12"/>
            <a:stretch>
              <a:fillRect/>
            </a:stretch>
          </xdr:blipFill>
          <xdr:spPr>
            <a:xfrm>
              <a:off x="4744443" y="6325680"/>
              <a:ext cx="1359729" cy="1569105"/>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xdr:colOff>
      <xdr:row>40</xdr:row>
      <xdr:rowOff>22860</xdr:rowOff>
    </xdr:from>
    <xdr:to>
      <xdr:col>9</xdr:col>
      <xdr:colOff>47104</xdr:colOff>
      <xdr:row>55</xdr:row>
      <xdr:rowOff>118110</xdr:rowOff>
    </xdr:to>
    <xdr:pic>
      <xdr:nvPicPr>
        <xdr:cNvPr id="2" name="Picture 1">
          <a:extLst>
            <a:ext uri="{FF2B5EF4-FFF2-40B4-BE49-F238E27FC236}">
              <a16:creationId xmlns:a16="http://schemas.microsoft.com/office/drawing/2014/main" id="{9591B7DB-AD43-4DF4-90B2-B8E052F86C24}"/>
            </a:ext>
          </a:extLst>
        </xdr:cNvPr>
        <xdr:cNvPicPr>
          <a:picLocks noChangeAspect="1"/>
        </xdr:cNvPicPr>
      </xdr:nvPicPr>
      <xdr:blipFill>
        <a:blip xmlns:r="http://schemas.openxmlformats.org/officeDocument/2006/relationships" r:embed="rId1"/>
        <a:stretch>
          <a:fillRect/>
        </a:stretch>
      </xdr:blipFill>
      <xdr:spPr>
        <a:xfrm>
          <a:off x="53340" y="7033260"/>
          <a:ext cx="6592684" cy="2724150"/>
        </a:xfrm>
        <a:prstGeom prst="rect">
          <a:avLst/>
        </a:prstGeom>
      </xdr:spPr>
    </xdr:pic>
    <xdr:clientData/>
  </xdr:twoCellAnchor>
  <xdr:twoCellAnchor editAs="oneCell">
    <xdr:from>
      <xdr:col>7</xdr:col>
      <xdr:colOff>228600</xdr:colOff>
      <xdr:row>23</xdr:row>
      <xdr:rowOff>83820</xdr:rowOff>
    </xdr:from>
    <xdr:to>
      <xdr:col>11</xdr:col>
      <xdr:colOff>117035</xdr:colOff>
      <xdr:row>39</xdr:row>
      <xdr:rowOff>62655</xdr:rowOff>
    </xdr:to>
    <xdr:pic>
      <xdr:nvPicPr>
        <xdr:cNvPr id="3" name="Picture 2">
          <a:extLst>
            <a:ext uri="{FF2B5EF4-FFF2-40B4-BE49-F238E27FC236}">
              <a16:creationId xmlns:a16="http://schemas.microsoft.com/office/drawing/2014/main" id="{2BB1AAD8-7AF3-4DFE-99FE-2EA81AD5A7FD}"/>
            </a:ext>
          </a:extLst>
        </xdr:cNvPr>
        <xdr:cNvPicPr>
          <a:picLocks noChangeAspect="1"/>
        </xdr:cNvPicPr>
      </xdr:nvPicPr>
      <xdr:blipFill>
        <a:blip xmlns:r="http://schemas.openxmlformats.org/officeDocument/2006/relationships" r:embed="rId2"/>
        <a:stretch>
          <a:fillRect/>
        </a:stretch>
      </xdr:blipFill>
      <xdr:spPr>
        <a:xfrm>
          <a:off x="5364480" y="4114800"/>
          <a:ext cx="2814515" cy="27829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6</xdr:col>
      <xdr:colOff>482130</xdr:colOff>
      <xdr:row>31</xdr:row>
      <xdr:rowOff>46580</xdr:rowOff>
    </xdr:to>
    <xdr:pic>
      <xdr:nvPicPr>
        <xdr:cNvPr id="2" name="Picture 2">
          <a:extLst>
            <a:ext uri="{FF2B5EF4-FFF2-40B4-BE49-F238E27FC236}">
              <a16:creationId xmlns:a16="http://schemas.microsoft.com/office/drawing/2014/main" id="{861BC075-D46A-D84B-B2A8-E1B7EEBB2990}"/>
            </a:ext>
          </a:extLst>
        </xdr:cNvPr>
        <xdr:cNvPicPr/>
      </xdr:nvPicPr>
      <xdr:blipFill>
        <a:blip xmlns:r="http://schemas.openxmlformats.org/officeDocument/2006/relationships" r:embed="rId1"/>
        <a:stretch/>
      </xdr:blipFill>
      <xdr:spPr>
        <a:xfrm>
          <a:off x="0" y="2406316"/>
          <a:ext cx="5294762" cy="3856580"/>
        </a:xfrm>
        <a:prstGeom prst="rect">
          <a:avLst/>
        </a:prstGeom>
        <a:ln w="0">
          <a:noFill/>
        </a:ln>
      </xdr:spPr>
    </xdr:pic>
    <xdr:clientData/>
  </xdr:twoCellAnchor>
  <xdr:twoCellAnchor editAs="oneCell">
    <xdr:from>
      <xdr:col>9</xdr:col>
      <xdr:colOff>601579</xdr:colOff>
      <xdr:row>13</xdr:row>
      <xdr:rowOff>66842</xdr:rowOff>
    </xdr:from>
    <xdr:to>
      <xdr:col>16</xdr:col>
      <xdr:colOff>445287</xdr:colOff>
      <xdr:row>31</xdr:row>
      <xdr:rowOff>15388</xdr:rowOff>
    </xdr:to>
    <xdr:pic>
      <xdr:nvPicPr>
        <xdr:cNvPr id="3" name="Picture 3">
          <a:extLst>
            <a:ext uri="{FF2B5EF4-FFF2-40B4-BE49-F238E27FC236}">
              <a16:creationId xmlns:a16="http://schemas.microsoft.com/office/drawing/2014/main" id="{2F3BF880-B95E-474B-AD02-677324870F50}"/>
            </a:ext>
          </a:extLst>
        </xdr:cNvPr>
        <xdr:cNvPicPr/>
      </xdr:nvPicPr>
      <xdr:blipFill>
        <a:blip xmlns:r="http://schemas.openxmlformats.org/officeDocument/2006/relationships" r:embed="rId2"/>
        <a:stretch/>
      </xdr:blipFill>
      <xdr:spPr>
        <a:xfrm>
          <a:off x="7820526" y="2673684"/>
          <a:ext cx="5458445" cy="35580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272147</xdr:colOff>
      <xdr:row>66</xdr:row>
      <xdr:rowOff>141513</xdr:rowOff>
    </xdr:from>
    <xdr:to>
      <xdr:col>10</xdr:col>
      <xdr:colOff>576942</xdr:colOff>
      <xdr:row>96</xdr:row>
      <xdr:rowOff>157593</xdr:rowOff>
    </xdr:to>
    <xdr:pic>
      <xdr:nvPicPr>
        <xdr:cNvPr id="5" name="Picture 4">
          <a:extLst>
            <a:ext uri="{FF2B5EF4-FFF2-40B4-BE49-F238E27FC236}">
              <a16:creationId xmlns:a16="http://schemas.microsoft.com/office/drawing/2014/main" id="{4AF47D81-2172-6188-1B10-EC3E71428ADA}"/>
            </a:ext>
          </a:extLst>
        </xdr:cNvPr>
        <xdr:cNvPicPr>
          <a:picLocks noChangeAspect="1"/>
        </xdr:cNvPicPr>
      </xdr:nvPicPr>
      <xdr:blipFill>
        <a:blip xmlns:r="http://schemas.openxmlformats.org/officeDocument/2006/relationships" r:embed="rId1"/>
        <a:stretch>
          <a:fillRect/>
        </a:stretch>
      </xdr:blipFill>
      <xdr:spPr>
        <a:xfrm>
          <a:off x="272147" y="11647713"/>
          <a:ext cx="7598224" cy="5241223"/>
        </a:xfrm>
        <a:prstGeom prst="rect">
          <a:avLst/>
        </a:prstGeom>
      </xdr:spPr>
    </xdr:pic>
    <xdr:clientData/>
  </xdr:twoCellAnchor>
  <xdr:twoCellAnchor editAs="oneCell">
    <xdr:from>
      <xdr:col>13</xdr:col>
      <xdr:colOff>337458</xdr:colOff>
      <xdr:row>9</xdr:row>
      <xdr:rowOff>11814</xdr:rowOff>
    </xdr:from>
    <xdr:to>
      <xdr:col>21</xdr:col>
      <xdr:colOff>326572</xdr:colOff>
      <xdr:row>34</xdr:row>
      <xdr:rowOff>65927</xdr:rowOff>
    </xdr:to>
    <xdr:pic>
      <xdr:nvPicPr>
        <xdr:cNvPr id="10" name="Picture 9">
          <a:extLst>
            <a:ext uri="{FF2B5EF4-FFF2-40B4-BE49-F238E27FC236}">
              <a16:creationId xmlns:a16="http://schemas.microsoft.com/office/drawing/2014/main" id="{11766162-4B46-4F39-BCA1-77072E6B09E4}"/>
            </a:ext>
          </a:extLst>
        </xdr:cNvPr>
        <xdr:cNvPicPr>
          <a:picLocks noChangeAspect="1"/>
        </xdr:cNvPicPr>
      </xdr:nvPicPr>
      <xdr:blipFill>
        <a:blip xmlns:r="http://schemas.openxmlformats.org/officeDocument/2006/relationships" r:embed="rId2"/>
        <a:stretch>
          <a:fillRect/>
        </a:stretch>
      </xdr:blipFill>
      <xdr:spPr>
        <a:xfrm>
          <a:off x="9818915" y="1590243"/>
          <a:ext cx="5823857" cy="4408398"/>
        </a:xfrm>
        <a:prstGeom prst="rect">
          <a:avLst/>
        </a:prstGeom>
      </xdr:spPr>
    </xdr:pic>
    <xdr:clientData/>
  </xdr:twoCellAnchor>
  <xdr:twoCellAnchor editAs="oneCell">
    <xdr:from>
      <xdr:col>0</xdr:col>
      <xdr:colOff>191861</xdr:colOff>
      <xdr:row>94</xdr:row>
      <xdr:rowOff>110532</xdr:rowOff>
    </xdr:from>
    <xdr:to>
      <xdr:col>12</xdr:col>
      <xdr:colOff>47175</xdr:colOff>
      <xdr:row>116</xdr:row>
      <xdr:rowOff>128921</xdr:rowOff>
    </xdr:to>
    <xdr:pic>
      <xdr:nvPicPr>
        <xdr:cNvPr id="8" name="Picture 2">
          <a:extLst>
            <a:ext uri="{FF2B5EF4-FFF2-40B4-BE49-F238E27FC236}">
              <a16:creationId xmlns:a16="http://schemas.microsoft.com/office/drawing/2014/main" id="{A2D6C92D-CC7F-D3F6-F11F-95CCD31A8813}"/>
            </a:ext>
            <a:ext uri="{147F2762-F138-4A5C-976F-8EAC2B608ADB}">
              <a16:predDERef xmlns:a16="http://schemas.microsoft.com/office/drawing/2014/main" pred="{11766162-4B46-4F39-BCA1-77072E6B09E4}"/>
            </a:ext>
          </a:extLst>
        </xdr:cNvPr>
        <xdr:cNvPicPr>
          <a:picLocks noChangeAspect="1"/>
        </xdr:cNvPicPr>
      </xdr:nvPicPr>
      <xdr:blipFill>
        <a:blip xmlns:r="http://schemas.openxmlformats.org/officeDocument/2006/relationships" r:embed="rId3"/>
        <a:stretch>
          <a:fillRect/>
        </a:stretch>
      </xdr:blipFill>
      <xdr:spPr>
        <a:xfrm>
          <a:off x="191861" y="16245882"/>
          <a:ext cx="9799414" cy="3790289"/>
        </a:xfrm>
        <a:prstGeom prst="rect">
          <a:avLst/>
        </a:prstGeom>
      </xdr:spPr>
    </xdr:pic>
    <xdr:clientData/>
  </xdr:twoCellAnchor>
  <xdr:twoCellAnchor editAs="oneCell">
    <xdr:from>
      <xdr:col>0</xdr:col>
      <xdr:colOff>83506</xdr:colOff>
      <xdr:row>11</xdr:row>
      <xdr:rowOff>20877</xdr:rowOff>
    </xdr:from>
    <xdr:to>
      <xdr:col>10</xdr:col>
      <xdr:colOff>699369</xdr:colOff>
      <xdr:row>31</xdr:row>
      <xdr:rowOff>49681</xdr:rowOff>
    </xdr:to>
    <xdr:pic>
      <xdr:nvPicPr>
        <xdr:cNvPr id="9" name="Picture 8">
          <a:extLst>
            <a:ext uri="{FF2B5EF4-FFF2-40B4-BE49-F238E27FC236}">
              <a16:creationId xmlns:a16="http://schemas.microsoft.com/office/drawing/2014/main" id="{AF4DF7F1-3B00-570D-000A-BCD5107310B1}"/>
            </a:ext>
          </a:extLst>
        </xdr:cNvPr>
        <xdr:cNvPicPr>
          <a:picLocks noChangeAspect="1"/>
        </xdr:cNvPicPr>
      </xdr:nvPicPr>
      <xdr:blipFill>
        <a:blip xmlns:r="http://schemas.openxmlformats.org/officeDocument/2006/relationships" r:embed="rId4"/>
        <a:stretch>
          <a:fillRect/>
        </a:stretch>
      </xdr:blipFill>
      <xdr:spPr>
        <a:xfrm>
          <a:off x="83506" y="1983288"/>
          <a:ext cx="7922712" cy="3577845"/>
        </a:xfrm>
        <a:prstGeom prst="rect">
          <a:avLst/>
        </a:prstGeom>
      </xdr:spPr>
    </xdr:pic>
    <xdr:clientData/>
  </xdr:twoCellAnchor>
  <xdr:twoCellAnchor editAs="oneCell">
    <xdr:from>
      <xdr:col>12</xdr:col>
      <xdr:colOff>0</xdr:colOff>
      <xdr:row>46</xdr:row>
      <xdr:rowOff>0</xdr:rowOff>
    </xdr:from>
    <xdr:to>
      <xdr:col>22</xdr:col>
      <xdr:colOff>77117</xdr:colOff>
      <xdr:row>73</xdr:row>
      <xdr:rowOff>101641</xdr:rowOff>
    </xdr:to>
    <xdr:pic>
      <xdr:nvPicPr>
        <xdr:cNvPr id="2" name="Image 1">
          <a:extLst>
            <a:ext uri="{FF2B5EF4-FFF2-40B4-BE49-F238E27FC236}">
              <a16:creationId xmlns:a16="http://schemas.microsoft.com/office/drawing/2014/main" id="{3B949A4E-2FCE-E241-AD0F-18C87CC5ECAC}"/>
            </a:ext>
          </a:extLst>
        </xdr:cNvPr>
        <xdr:cNvPicPr/>
      </xdr:nvPicPr>
      <xdr:blipFill>
        <a:blip xmlns:r="http://schemas.openxmlformats.org/officeDocument/2006/relationships" r:embed="rId5"/>
        <a:stretch/>
      </xdr:blipFill>
      <xdr:spPr>
        <a:xfrm>
          <a:off x="9257944" y="8201589"/>
          <a:ext cx="7792070" cy="490865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45721</xdr:colOff>
      <xdr:row>8</xdr:row>
      <xdr:rowOff>152400</xdr:rowOff>
    </xdr:from>
    <xdr:to>
      <xdr:col>6</xdr:col>
      <xdr:colOff>228395</xdr:colOff>
      <xdr:row>25</xdr:row>
      <xdr:rowOff>60477</xdr:rowOff>
    </xdr:to>
    <xdr:pic>
      <xdr:nvPicPr>
        <xdr:cNvPr id="3" name="Picture 2">
          <a:extLst>
            <a:ext uri="{FF2B5EF4-FFF2-40B4-BE49-F238E27FC236}">
              <a16:creationId xmlns:a16="http://schemas.microsoft.com/office/drawing/2014/main" id="{20405EA7-3679-6CA9-82E6-33EFA930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1" y="1554480"/>
          <a:ext cx="3840274" cy="2887497"/>
        </a:xfrm>
        <a:prstGeom prst="rect">
          <a:avLst/>
        </a:prstGeom>
      </xdr:spPr>
    </xdr:pic>
    <xdr:clientData/>
  </xdr:twoCellAnchor>
  <xdr:twoCellAnchor>
    <xdr:from>
      <xdr:col>4</xdr:col>
      <xdr:colOff>251460</xdr:colOff>
      <xdr:row>13</xdr:row>
      <xdr:rowOff>63607</xdr:rowOff>
    </xdr:from>
    <xdr:to>
      <xdr:col>6</xdr:col>
      <xdr:colOff>248286</xdr:colOff>
      <xdr:row>15</xdr:row>
      <xdr:rowOff>73661</xdr:rowOff>
    </xdr:to>
    <xdr:cxnSp macro="">
      <xdr:nvCxnSpPr>
        <xdr:cNvPr id="4" name="Straight Arrow Connector 3">
          <a:extLst>
            <a:ext uri="{FF2B5EF4-FFF2-40B4-BE49-F238E27FC236}">
              <a16:creationId xmlns:a16="http://schemas.microsoft.com/office/drawing/2014/main" id="{17526873-3A2F-4B57-A641-862846B87162}"/>
            </a:ext>
          </a:extLst>
        </xdr:cNvPr>
        <xdr:cNvCxnSpPr/>
      </xdr:nvCxnSpPr>
      <xdr:spPr>
        <a:xfrm flipH="1">
          <a:off x="3177540" y="2341987"/>
          <a:ext cx="1459866" cy="360574"/>
        </a:xfrm>
        <a:prstGeom prst="straightConnector1">
          <a:avLst/>
        </a:prstGeom>
        <a:ln w="38100">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214420</xdr:colOff>
      <xdr:row>10</xdr:row>
      <xdr:rowOff>60960</xdr:rowOff>
    </xdr:from>
    <xdr:to>
      <xdr:col>8</xdr:col>
      <xdr:colOff>122344</xdr:colOff>
      <xdr:row>18</xdr:row>
      <xdr:rowOff>63500</xdr:rowOff>
    </xdr:to>
    <xdr:sp macro="" textlink="">
      <xdr:nvSpPr>
        <xdr:cNvPr id="5" name="TextBox 4">
          <a:extLst>
            <a:ext uri="{FF2B5EF4-FFF2-40B4-BE49-F238E27FC236}">
              <a16:creationId xmlns:a16="http://schemas.microsoft.com/office/drawing/2014/main" id="{39250377-AD64-4524-8170-D62671B1B4D5}"/>
            </a:ext>
          </a:extLst>
        </xdr:cNvPr>
        <xdr:cNvSpPr txBox="1"/>
      </xdr:nvSpPr>
      <xdr:spPr>
        <a:xfrm>
          <a:off x="4862620" y="1838960"/>
          <a:ext cx="1457324" cy="1424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in Checkbox above accumulator container, with an</a:t>
          </a:r>
          <a:r>
            <a:rPr lang="en-US" sz="1100" baseline="0"/>
            <a:t> external connector for access</a:t>
          </a:r>
          <a:endParaRPr lang="en-US" sz="1100"/>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14T22:08:39.058"/>
    </inkml:context>
    <inkml:brush xml:id="br0">
      <inkml:brushProperty name="width" value="0.1" units="cm"/>
      <inkml:brushProperty name="height" value="0.1" units="cm"/>
      <inkml:brushProperty name="color" value="#F6630D"/>
    </inkml:brush>
  </inkml:definitions>
  <inkml:trace contextRef="#ctx0" brushRef="#br0">8599 6826 16383 0 0,'0'5'0'0'0,"4"1"0"0"0,11 4 0 0 0,12 5 0 0 0,10 0 0 0 0,3 2 0 0 0,5 2 0 0 0,2-1 0 0 0,-1-5 0 0 0,0 1 0 0 0,-3-3 0 0 0,-5-2 0 0 0,-4-4 0 0 0,-3-2 0 0 0,-3-6 0 0 0,-1-3 0 0 0,-5-4 0 0 0,-3-1 0 0 0,1-4 0 0 0,1-2 0 0 0,-3-4 0 0 0,1-3 0 0 0,-4-1 0 0 0,0-1 0 0 0,-2-1 0 0 0,-4 0 0 0 0,-2 0 0 0 0,-4 0 0 0 0,-1 0 0 0 0,-2 0 0 0 0,0 0 0 0 0,-6 5 0 0 0,0 2 0 0 0,-5 4 0 0 0,0 0 0 0 0,-3 3 0 0 0,1 4 0 0 0</inkml:trace>
  <inkml:trace contextRef="#ctx0" brushRef="#br0" timeOffset="-2.14748E7">9499 6403 16383 0 0,'4'0'0'0'0,"7"0"0"0"0,5 0 0 0 0,4 0 0 0 0,5 0 0 0 0,1 4 0 0 0,1 2 0 0 0,5 0 0 0 0,2-1 0 0 0,-1-2 0 0 0,-2-1 0 0 0,0-1 0 0 0,-3 0 0 0 0,0-1 0 0 0,-1-1 0 0 0,-1-3 0 0 0,1-3 0 0 0,-1 1 0 0 0,-5-3 0 0 0,0 0 0 0 0,-1 1 0 0 0,-3-2 0 0 0,1 0 0 0 0,-4-2 0 0 0,1-4 0 0 0,-3-4 0 0 0,-2-2 0 0 0,-4-3 0 0 0,-3-1 0 0 0,-1-1 0 0 0,-2 0 0 0 0,0 0 0 0 0,-1 0 0 0 0,-4 4 0 0 0,-2 2 0 0 0,1 5 0 0 0</inkml:trace>
  <inkml:trace contextRef="#ctx0" brushRef="#br0" timeOffset="-2.14748E7">10372 5953 16383 0 0,'4'0'0'0'0,"7"5"0"0"0,5 1 0 0 0,5-1 0 0 0,-2 4 0 0 0,6 1 0 0 0,2-3 0 0 0,2 4 0 0 0,0-2 0 0 0,0-1 0 0 0,-1-2 0 0 0,-5 1 0 0 0,-2 1 0 0 0,0-1 0 0 0,1-3 0 0 0,1-1 0 0 0,1 3 0 0 0,6 1 0 0 0,2 3 0 0 0,0 1 0 0 0,-1-3 0 0 0,-5-6 0 0 0,-8-8 0 0 0,-2-8 0 0 0,-4-6 0 0 0,-3-4 0 0 0,0 2 0 0 0,-1 0 0 0 0,-1 0 0 0 0,1-1 0 0 0,1-2 0 0 0,-2 0 0 0 0,-2-1 0 0 0,-2 0 0 0 0,-1-1 0 0 0,-2 0 0 0 0,0 1 0 0 0,-4-1 0 0 0,-3 1 0 0 0,-3 4 0 0 0,-1 1 0 0 0,-3 5 0 0 0,1 0 0 0 0,3 3 0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3-14T22:08:39.059"/>
    </inkml:context>
    <inkml:brush xml:id="br0">
      <inkml:brushProperty name="width" value="0.1" units="cm"/>
      <inkml:brushProperty name="height" value="0.1" units="cm"/>
      <inkml:brushProperty name="color" value="#F6630D"/>
    </inkml:brush>
  </inkml:definitions>
  <inkml:trace contextRef="#ctx0" brushRef="#br0">11218 5556 16383 0 0,'5'5'0'0'0,"10"5"0"0"0,16 11 0 0 0,21 15 0 0 0,19 14 0 0 0,21 13 0 0 0,17 14 0 0 0,7 7 0 0 0,-1 2 0 0 0,-4 1 0 0 0,-10-6 0 0 0,-15-12 0 0 0,-16-13 0 0 0,-16-12 0 0 0,-18-9 0 0 0,-9-10 0 0 0,-11-5 0 0 0,-2-6 0 0 0,5 0 0 0 0,8 1 0 0 0,8 3 0 0 0,13 7 0 0 0,10 4 0 0 0,10 6 0 0 0,2 2 0 0 0,-2 3 0 0 0,-8-5 0 0 0,-5-4 0 0 0,-8-2 0 0 0,-6-3 0 0 0,-7-5 0 0 0,0-1 0 0 0,-1 0 0 0 0,-1 1 0 0 0,-3-3 0 0 0,0 0 0 0 0,-2 1 0 0 0,-1-2 0 0 0,1 0 0 0 0,-1 2 0 0 0,0-2 0 0 0,-4 0 0 0 0,-2-3 0 0 0,0 1 0 0 0,-2 3 0 0 0,-1-3 0 0 0,-3 2 0 0 0,-4 2 0 0 0,1-3 0 0 0,4 1 0 0 0,2-2 0 0 0,4 0 0 0 0,3 3 0 0 0,6 2 0 0 0,2 3 0 0 0,5 1 0 0 0,1 2 0 0 0,-2 0 0 0 0,-2 1 0 0 0,-3 0 0 0 0,-2-4 0 0 0,-1-3 0 0 0,-1 6 0 0 0,-1 2 0 0 0,0 1 0 0 0,0 0 0 0 0,0-5 0 0 0,4-2 0 0 0,3 0 0 0 0,-1 1 0 0 0,-1 0 0 0 0,-2-3 0 0 0,-5-1 0 0 0,-2 1 0 0 0,-1 2 0 0 0,6 6 0 0 0,6 3 0 0 0,3 4 0 0 0,-1 2 0 0 0,-1-1 0 0 0,-2 2 0 0 0,2-1 0 0 0,0 2 0 0 0,3-1 0 0 0,5 3 0 0 0,-1-2 0 0 0,-3-3 0 0 0,-3-3 0 0 0,-3-3 0 0 0,-7-1 0 0 0,-3-7 0 0 0,-6-1 0 0 0,-5-1 0 0 0,0-3 0 0 0,-2-1 0 0 0,-3 3 0 0 0,3-3 0 0 0,-1 0 0 0 0,4-2 0 0 0,-2 1 0 0 0,3-2 0 0 0,0 1 0 0 0,1-2 0 0 0,-2 2 0 0 0,3-1 0 0 0,-3 0 0 0 0,-2 4 0 0 0,1-1 0 0 0,3-4 0 0 0,0 1 0 0 0,-3-2 0 0 0</inkml:trace>
  <inkml:trace contextRef="#ctx0" brushRef="#br0" timeOffset="-2.14748E7">14552 8705 16383 0 0,'0'-5'0'0'0,"-4"-1"0"0"0,-2-4 0 0 0,-5 0 0 0 0,-4-4 0 0 0,-4-3 0 0 0,-4-4 0 0 0,-2 3 0 0 0,3-2 0 0 0,1 4 0 0 0,-1 5 0 0 0,-1 3 0 0 0,-1 3 0 0 0,-1 4 0 0 0,0 0 0 0 0,-1 2 0 0 0,-1 4 0 0 0,0 2 0 0 0,1-1 0 0 0,3 4 0 0 0,3-1 0 0 0,-1 4 0 0 0,-1 3 0 0 0,-1 0 0 0 0,-2 0 0 0 0,0 4 0 0 0,-1 1 0 0 0,4 3 0 0 0,1-4 0 0 0,5 1 0 0 0,4 0 0 0 0,5 1 0 0 0,3 2 0 0 0,3 0 0 0 0,1 2 0 0 0,5-4 0 0 0,2-2 0 0 0,4-3 0 0 0,0-1 0 0 0,3-3 0 0 0,-1 1 0 0 0,2-2 0 0 0,-2-3 0 0 0</inkml:trace>
  <inkml:trace contextRef="#ctx0" brushRef="#br0" timeOffset="-2.14748E7">13679 9128 16383 0 0,'0'-4'0'0'0,"-5"-7"0"0"0,-5-10 0 0 0,-6-5 0 0 0,0-4 0 0 0,-3 4 0 0 0,-1 6 0 0 0,2 2 0 0 0,0 4 0 0 0,-2 4 0 0 0,-2 5 0 0 0,-1 2 0 0 0,-2 7 0 0 0,-1 2 0 0 0,-1 0 0 0 0,5 4 0 0 0,1 0 0 0 0,0 3 0 0 0,-1-1 0 0 0,3 2 0 0 0,1-1 0 0 0,-2 1 0 0 0,-2-1 0 0 0,-1 1 0 0 0,-1-1 0 0 0,3 1 0 0 0,0-1 0 0 0,0 1 0 0 0,4 3 0 0 0,-1-2 0 0 0,4 2 0 0 0,3 2 0 0 0,4 2 0 0 0,4 2 0 0 0,6-2 0 0 0,2-1 0 0 0,6 1 0 0 0,0 1 0 0 0,4-3 0 0 0,-2 0 0 0 0,-3-4 0 0 0</inkml:trace>
  <inkml:trace contextRef="#ctx0" brushRef="#br0" timeOffset="-2.14748E7">12832 9551 16383 0 0,'0'-4'0'0'0,"-4"-2"0"0"0,-7-4 0 0 0,-5-5 0 0 0,-5-5 0 0 0,-3 2 0 0 0,3-1 0 0 0,0 2 0 0 0,-1 5 0 0 0,3 0 0 0 0,1 1 0 0 0,-1 4 0 0 0,-3 2 0 0 0,-1-3 0 0 0,3 5 0 0 0,1 4 0 0 0,-2 0 0 0 0,4 5 0 0 0,-1 7 0 0 0,-1 0 0 0 0,2 2 0 0 0,0 0 0 0 0,3 1 0 0 0,-1-2 0 0 0,-2 1 0 0 0,-4-2 0 0 0,3 1 0 0 0,0-2 0 0 0,-2 2 0 0 0,-2-1 0 0 0,3 1 0 0 0,5 3 0 0 0,4 2 0 0 0,4 4 0 0 0,4 2 0 0 0,1 1 0 0 0,6-4 0 0 0,2-1 0 0 0,-1 0 0 0 0,0 1 0 0 0,2-2 0 0 0,1-2 0 0 0,-2-2 0 0 0</inkml:trace>
</inkml:ink>
</file>

<file path=xl/persons/person.xml><?xml version="1.0" encoding="utf-8"?>
<personList xmlns="http://schemas.microsoft.com/office/spreadsheetml/2018/threadedcomments" xmlns:x="http://schemas.openxmlformats.org/spreadsheetml/2006/main">
  <person displayName="Sonia Zhang" id="{04915C94-8988-4B0F-95D2-A8CA285A2D90}" userId="S::skzhang@usc.edu::10a71716-c1e1-4c59-8a36-b49891b5960b" providerId="AD"/>
  <person displayName="Arda Caliskan" id="{57E28D60-8E28-4C2D-9F6C-368D36F888F1}" userId="S::acaliska@usc.edu::4518fff3-873b-4208-acd7-ecb1b5f05ccf" providerId="AD"/>
  <person displayName="Daniel Bocci" id="{D3A7A72A-2CCE-4B98-9287-E64EF1DA71E4}" userId="S::BocciDanielJ@JohnDeere.com::345b2583-da99-40b0-83d0-24e0faafb761" providerId="AD"/>
</personList>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75" dT="2024-02-29T19:18:28.01" personId="{D3A7A72A-2CCE-4B98-9287-E64EF1DA71E4}" id="{544B825C-37CF-45D5-B0F4-596D85937986}">
    <text>This is not a shrouded banana jack and will not be acceptable.</text>
  </threadedComment>
  <threadedComment ref="C75" dT="2024-03-14T21:49:30.89" personId="{04915C94-8988-4B0F-95D2-A8CA285A2D90}" id="{83F99330-FCC8-44F0-9766-99DB2BBD62DF}" parentId="{544B825C-37CF-45D5-B0F4-596D85937986}">
    <text>Corrected</text>
  </threadedComment>
  <threadedComment ref="C78" dT="2024-02-29T19:20:04.84" personId="{D3A7A72A-2CCE-4B98-9287-E64EF1DA71E4}" id="{180B41B2-72DA-4749-B5D3-CAF629118648}">
    <text>Where is the mating connector for this PN?</text>
  </threadedComment>
  <threadedComment ref="C78" dT="2024-03-14T21:49:37.75" personId="{04915C94-8988-4B0F-95D2-A8CA285A2D90}" id="{A05FF9D4-C592-41A5-849A-46A0645B12F2}" parentId="{180B41B2-72DA-4749-B5D3-CAF629118648}">
    <text>Added (Amphenol UPCR012ALS2)</text>
  </threadedComment>
  <threadedComment ref="E78" dT="2024-02-29T19:19:33.78" personId="{D3A7A72A-2CCE-4B98-9287-E64EF1DA71E4}" id="{82E292EA-CF25-4828-825B-49F433B5D490}">
    <text>This connector is only rated for 400A with 12mm pin, but your PN is the 9.1mm pin.</text>
  </threadedComment>
  <threadedComment ref="E78" dT="2024-03-14T21:49:48.05" personId="{04915C94-8988-4B0F-95D2-A8CA285A2D90}" id="{54D71DD2-0069-49C2-A8FB-6BF85E125428}" parentId="{82E292EA-CF25-4828-825B-49F433B5D490}">
    <text>Corrected</text>
  </threadedComment>
  <threadedComment ref="F78" dT="2024-02-29T19:20:19.94" personId="{D3A7A72A-2CCE-4B98-9287-E64EF1DA71E4}" id="{2A588B4A-F784-4CB7-9E7A-DC7CB6E4E8E5}">
    <text>This seems like very small wire to use for such a high current rating.</text>
  </threadedComment>
  <threadedComment ref="F78" dT="2024-03-14T21:50:01.32" personId="{04915C94-8988-4B0F-95D2-A8CA285A2D90}" id="{79E370A1-4A20-41C5-A9F2-AEB30D3FA8AE}" parentId="{2A588B4A-F784-4CB7-9E7A-DC7CB6E4E8E5}">
    <text>Corrected</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4-02-29T19:24:49.32" personId="{D3A7A72A-2CCE-4B98-9287-E64EF1DA71E4}" id="{FDB95D21-CA66-4D10-9BEE-6BE06AAD7D4B}">
    <text>What gauge wire is being used for TSMP and EM positive sense lead?
Please callout the length of the wire between the 6 AWG and overcurrent device (fuse/resistor) for TSMP and energy meter sense branch circuits.</text>
  </threadedComment>
  <threadedComment ref="A2" dT="2024-03-14T21:50:08.85" personId="{04915C94-8988-4B0F-95D2-A8CA285A2D90}" id="{B5BD37B2-44B9-4D3D-B85B-075BB81A549B}" parentId="{FDB95D21-CA66-4D10-9BEE-6BE06AAD7D4B}">
    <text>Corrected- 22 awg for TSMP and EM positive sense leads</text>
  </threadedComment>
  <threadedComment ref="M2" dT="2024-02-29T19:23:21.98" personId="{D3A7A72A-2CCE-4B98-9287-E64EF1DA71E4}" id="{90E429D8-DE1B-4F90-94F5-E09A6CC8F86F}">
    <text>I don't see 14 or 20AWG wire in the datasheets.
Please callout length of unfused portions of branch circuits (distance from start of branch to overcurrent device).</text>
  </threadedComment>
  <threadedComment ref="M2" dT="2024-03-14T21:50:16.46" personId="{04915C94-8988-4B0F-95D2-A8CA285A2D90}" id="{52424633-C7C0-45F0-8F3A-AE0F2C3E5E49}" parentId="{90E429D8-DE1B-4F90-94F5-E09A6CC8F86F}">
    <text>Corrected</text>
  </threadedComment>
  <threadedComment ref="J51" dT="2024-02-29T19:22:13.58" personId="{D3A7A72A-2CCE-4B98-9287-E64EF1DA71E4}" id="{CB8BDC8F-C853-4CC9-94BB-03A9B834DB06}">
    <text>How will the discharge circuit work with the HVD removed?</text>
  </threadedComment>
  <threadedComment ref="J51" dT="2024-03-14T21:50:31.07" personId="{04915C94-8988-4B0F-95D2-A8CA285A2D90}" id="{B9784F47-69EC-478B-83EA-1527BD37A74B}" parentId="{CB8BDC8F-C853-4CC9-94BB-03A9B834DB06}">
    <text>Moved HVD</text>
  </threadedComment>
</ThreadedComments>
</file>

<file path=xl/threadedComments/threadedComment3.xml><?xml version="1.0" encoding="utf-8"?>
<ThreadedComments xmlns="http://schemas.microsoft.com/office/spreadsheetml/2018/threadedcomments" xmlns:x="http://schemas.openxmlformats.org/spreadsheetml/2006/main">
  <threadedComment ref="D9" dT="2024-02-29T19:26:27.49" personId="{D3A7A72A-2CCE-4B98-9287-E64EF1DA71E4}" id="{9F78C09D-5497-4B6E-A5E9-ABA6150C8FA2}">
    <text>How have you connected the cells in this fashion.  Enepaq modules have the cells in parallel, so I would expect your connection method to be parallel then series unless you are modifying the enepaq module.</text>
  </threadedComment>
  <threadedComment ref="D9" dT="2024-03-14T21:51:42.14" personId="{57E28D60-8E28-4C2D-9F6C-368D36F888F1}" id="{F6CDF1AD-F8CD-466F-AB71-87633001CF44}" parentId="{9F78C09D-5497-4B6E-A5E9-ABA6150C8FA2}">
    <text>Corrected.</text>
  </threadedComment>
  <threadedComment ref="U9" dT="2024-02-29T19:28:12.36" personId="{D3A7A72A-2CCE-4B98-9287-E64EF1DA71E4}" id="{39E74DD6-260B-4E51-96B8-CC54B577B786}">
    <text>incomplete</text>
  </threadedComment>
  <threadedComment ref="U9" dT="2024-03-14T21:50:27.75" personId="{57E28D60-8E28-4C2D-9F6C-368D36F888F1}" id="{BA502262-FC1D-405B-9E83-B7778CFD07BF}" parentId="{39E74DD6-260B-4E51-96B8-CC54B577B786}">
    <text>Added</text>
  </threadedComment>
  <threadedComment ref="O13" dT="2024-02-29T19:27:14.58" personId="{D3A7A72A-2CCE-4B98-9287-E64EF1DA71E4}" id="{9891A3C7-4A47-45A2-BEC4-83677DF2FABC}">
    <text>The Orion BMS only has this level of isolation between cell groups in different connectors.  Is each segment on a different connector and your BMS has 8 connectors for cell voltages?</text>
  </threadedComment>
  <threadedComment ref="O13" dT="2024-03-14T22:05:28.63" personId="{04915C94-8988-4B0F-95D2-A8CA285A2D90}" id="{A76F19E2-BEF4-46AC-BD80-CA544EEF6EF0}" parentId="{9891A3C7-4A47-45A2-BEC4-83677DF2FABC}">
    <text xml:space="preserve">Corrected the isolation between segments. Each segment is on its own cell group. </text>
  </threadedComment>
  <threadedComment ref="O17" dT="2024-02-29T19:27:49.06" personId="{D3A7A72A-2CCE-4B98-9287-E64EF1DA71E4}" id="{1E289076-805A-4B75-B572-75CAE61A5789}">
    <text>You may want to plan your design with a little bit of margin from the spec.  i.e. if you cut the wire 1 mm to long you will be in violation of the rules.</text>
  </threadedComment>
  <threadedComment ref="O17" dT="2024-03-14T21:51:22.41" personId="{57E28D60-8E28-4C2D-9F6C-368D36F888F1}" id="{7E3C2CD3-205C-4DBB-ACCA-A2E931A4B1C2}" parentId="{1E289076-805A-4B75-B572-75CAE61A5789}">
    <text>Shortened wire from 60cm.</text>
  </threadedComment>
  <threadedComment ref="A33" dT="2024-02-29T19:29:55.03" personId="{D3A7A72A-2CCE-4B98-9287-E64EF1DA71E4}" id="{AFC123A8-5645-4F93-A69C-0F68239752DD}">
    <text>It is unclear how the cables run. Do they run over the walls?  
The figure in the upper left shows the cables have a ring terminal on one end but the figure out the right seems to show RADLOK connectors on both ends.
No RADLOK connectors seen on the datasheets page.</text>
  </threadedComment>
  <threadedComment ref="A33" dT="2024-03-14T22:04:17.55" personId="{57E28D60-8E28-4C2D-9F6C-368D36F888F1}" id="{11FC0119-0496-4EA7-8E41-CA54B910CBF2}" parentId="{AFC123A8-5645-4F93-A69C-0F68239752DD}">
    <text>Updated to show how the cables run, the short connections run through a grommet in the wall while the long cable runs over the wall. The ring terminal is for connecting to the relays and HV connectors.</text>
  </threadedComment>
  <threadedComment ref="AK33" dT="2024-02-29T19:31:28.73" personId="{D3A7A72A-2CCE-4B98-9287-E64EF1DA71E4}" id="{5D778989-94C2-4C6E-A557-9152C9BD905B}">
    <text>Some walls are green, some are red.  Are only the red walls covered in Nomex?</text>
  </threadedComment>
  <threadedComment ref="AK33" dT="2024-03-14T21:52:23.88" personId="{57E28D60-8E28-4C2D-9F6C-368D36F888F1}" id="{624531BF-35E8-497B-B57B-55EEE2227595}" parentId="{5D778989-94C2-4C6E-A557-9152C9BD905B}">
    <text>All the walls and lid are covered in Nomex.</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4-02-29T19:32:55.29" personId="{D3A7A72A-2CCE-4B98-9287-E64EF1DA71E4}" id="{53B26EE5-BD3F-46A6-AC2E-343DFA9BF2C3}">
    <text>This does not meet EV.7.2.2.c</text>
  </threadedComment>
  <threadedComment ref="J12" dT="2024-03-14T21:52:59.17" personId="{57E28D60-8E28-4C2D-9F6C-368D36F888F1}" id="{0C4B3E1C-67D4-4739-951B-3B5303CF4287}" parentId="{53B26EE5-BD3F-46A6-AC2E-343DFA9BF2C3}">
    <text>Added another parallel resistor to reduce discharge 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A13" dT="2024-02-29T19:34:07.56" personId="{D3A7A72A-2CCE-4B98-9287-E64EF1DA71E4}" id="{F0F0F153-7543-4F30-91B3-69284C10FBE8}">
    <text>Schematic is too low resolution to read.</text>
  </threadedComment>
  <threadedComment ref="A13" dT="2024-03-14T22:02:25.86" personId="{04915C94-8988-4B0F-95D2-A8CA285A2D90}" id="{1E6347AE-6D3D-4128-ABA4-3080EB4A75D6}" parentId="{F0F0F153-7543-4F30-91B3-69284C10FBE8}">
    <text>Corrected</text>
  </threadedComment>
  <threadedComment ref="J13" dT="2024-02-29T19:35:07.73" personId="{D3A7A72A-2CCE-4B98-9287-E64EF1DA71E4}" id="{8F7E58BE-04F3-4D65-A78A-2FC5D63A6ABE}">
    <text>Schematic is too low resolution to read.</text>
  </threadedComment>
  <threadedComment ref="J13" dT="2024-03-14T22:02:29.06" personId="{04915C94-8988-4B0F-95D2-A8CA285A2D90}" id="{A0C3418D-BB0D-4077-980E-D0C8DA2256C0}" parentId="{8F7E58BE-04F3-4D65-A78A-2FC5D63A6ABE}">
    <text>Corrected</text>
  </threadedComment>
</ThreadedComments>
</file>

<file path=xl/threadedComments/threadedComment6.xml><?xml version="1.0" encoding="utf-8"?>
<ThreadedComments xmlns="http://schemas.microsoft.com/office/spreadsheetml/2018/threadedcomments" xmlns:x="http://schemas.openxmlformats.org/spreadsheetml/2006/main">
  <threadedComment ref="M47" dT="2024-02-29T19:47:30.48" personId="{D3A7A72A-2CCE-4B98-9287-E64EF1DA71E4}" id="{3EBDB676-7D2C-43EC-8DBD-1B58CD019224}">
    <text>R4 is only rated for 200V working voltage, but will have ~325V across it.
It looks to me like this circuit will probably turn on at around 70V, not the required 60V in the rules.</text>
  </threadedComment>
  <threadedComment ref="M47" dT="2024-03-14T21:56:12.45" personId="{57E28D60-8E28-4C2D-9F6C-368D36F888F1}" id="{8C6B8A79-E8B3-44B7-8E6A-CEA658709F31}" parentId="{3EBDB676-7D2C-43EC-8DBD-1B58CD019224}">
    <text>Updated resistor with a higher voltage rating: PR02000201004FA100</text>
  </threadedComment>
</ThreadedComments>
</file>

<file path=xl/threadedComments/threadedComment7.xml><?xml version="1.0" encoding="utf-8"?>
<ThreadedComments xmlns="http://schemas.microsoft.com/office/spreadsheetml/2018/threadedcomments" xmlns:x="http://schemas.openxmlformats.org/spreadsheetml/2006/main">
  <threadedComment ref="F9" dT="2024-02-29T19:47:51.02" personId="{D3A7A72A-2CCE-4B98-9287-E64EF1DA71E4}" id="{A98F5AFF-7E67-4274-A5E0-A6E1E4BDE076}">
    <text>APPS sensor signals cannot cross.</text>
  </threadedComment>
  <threadedComment ref="F9" dT="2024-03-14T22:02:37.34" personId="{04915C94-8988-4B0F-95D2-A8CA285A2D90}" id="{23359A3B-EF2D-4859-A5EA-F0D29FEACDF7}" parentId="{A98F5AFF-7E67-4274-A5E0-A6E1E4BDE076}">
    <text>Corrected</text>
  </threadedComment>
</ThreadedComments>
</file>

<file path=xl/threadedComments/threadedComment8.xml><?xml version="1.0" encoding="utf-8"?>
<ThreadedComments xmlns="http://schemas.microsoft.com/office/spreadsheetml/2018/threadedcomments" xmlns:x="http://schemas.openxmlformats.org/spreadsheetml/2006/main">
  <threadedComment ref="A9" dT="2024-02-29T19:48:38.59" personId="{D3A7A72A-2CCE-4B98-9287-E64EF1DA71E4}" id="{4026C89C-90F0-43A4-96C7-5CF3FE64B927}">
    <text>The energy meter download connector will need to be accessed multiple times during competition.  It cannot be inside a TS enclosure.</text>
  </threadedComment>
  <threadedComment ref="A9" dT="2024-03-14T22:03:09.08" personId="{04915C94-8988-4B0F-95D2-A8CA285A2D90}" id="{2C002FB8-6D27-4FA3-BF28-2E6A99DA0DC2}" parentId="{4026C89C-90F0-43A4-96C7-5CF3FE64B927}">
    <text>We will be adding an easily accessible connector to the wall of the checkbox for downloads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www.te.com/commerce/DocumentDelivery/DDEController?Action=srchrtrv&amp;DocNm=1462043-2&amp;DocType=Customer+Drawing&amp;DocLang=English" TargetMode="External"/><Relationship Id="rId26" Type="http://schemas.openxmlformats.org/officeDocument/2006/relationships/hyperlink" Target="https://www.te.com/usa-en/product-6-2176416-7.datasheet.pdf" TargetMode="External"/><Relationship Id="rId39" Type="http://schemas.openxmlformats.org/officeDocument/2006/relationships/vmlDrawing" Target="../drawings/vmlDrawing1.vml"/><Relationship Id="rId21" Type="http://schemas.openxmlformats.org/officeDocument/2006/relationships/hyperlink" Target="https://www.sensata.com/sites/default/files/a/sensata-gigavac-pnc113-series-minitactor-contactors-datasheet.pdf" TargetMode="External"/><Relationship Id="rId34" Type="http://schemas.openxmlformats.org/officeDocument/2006/relationships/hyperlink" Targe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TargetMode="External"/><Relationship Id="rId7" Type="http://schemas.openxmlformats.org/officeDocument/2006/relationships/hyperlink" Target="https://www.champcable.com/wp-content/uploads/2018/08/212.-SAE-EXRAD-150-HVFX-XLE-Shielded-Battery-Cable.pdf" TargetMode="External"/><Relationship Id="rId2" Type="http://schemas.openxmlformats.org/officeDocument/2006/relationships/hyperlink" Target="https://www.champcable.com/wp-content/uploads/2018/08/212.-SAE-EXRAD-150-HVFX-XLE-Shielded-Battery-Cable.pdf" TargetMode="External"/><Relationship Id="rId16" Type="http://schemas.openxmlformats.org/officeDocument/2006/relationships/hyperlink" Target="https://www.te.com/commerce/DocumentDelivery/DDEController?Action=srchrtrv&amp;DocNm=1773195&amp;DocType=DS&amp;DocLang=English" TargetMode="External"/><Relationship Id="rId20" Type="http://schemas.openxmlformats.org/officeDocument/2006/relationships/hyperlink" Target="https://www.sensata.com/sites/default/files/a/sensata-gigavac-gv24-sereies-800v-contactors-datasheet.pdf" TargetMode="External"/><Relationship Id="rId29" Type="http://schemas.openxmlformats.org/officeDocument/2006/relationships/hyperlink" Target="https://www.te.com/usa-en/product-DT04-6P-CL09.datasheet.pdf" TargetMode="External"/><Relationship Id="rId41" Type="http://schemas.microsoft.com/office/2017/10/relationships/threadedComment" Target="../threadedComments/threadedComment1.xml"/><Relationship Id="rId1" Type="http://schemas.openxmlformats.org/officeDocument/2006/relationships/hyperlink" Target="https://www.energusps.com/page/technology" TargetMode="External"/><Relationship Id="rId6"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belfuse.com/resources/datasheets/circuitprotection/ds-cp-0adax-series.pdf" TargetMode="External"/><Relationship Id="rId24" Type="http://schemas.openxmlformats.org/officeDocument/2006/relationships/hyperlink" Target="https://www.dupont.com/content/dam/dupont/amer/us/en/safety/public/documents/en/DPT16_21668_Nomex_410_Tech_Data_Sheet_me03_REFERENCE.pdf" TargetMode="External"/><Relationship Id="rId32" Type="http://schemas.openxmlformats.org/officeDocument/2006/relationships/hyperlink" Target="https://www.farnell.com/datasheets/2013715.pdf" TargetMode="External"/><Relationship Id="rId37" Type="http://schemas.openxmlformats.org/officeDocument/2006/relationships/hyperlink" Target="https://www.mouser.com/datasheet/2/18/1/IDS_67_RADLOK-372465.pdf" TargetMode="External"/><Relationship Id="rId40" Type="http://schemas.openxmlformats.org/officeDocument/2006/relationships/comments" Target="../comments1.xml"/><Relationship Id="rId5" Type="http://schemas.openxmlformats.org/officeDocument/2006/relationships/hyperlink" Target="https://www.champcable.com/wp-content/uploads/2018/08/212.-SAE-EXRAD-150-HVFX-XLE-Shielded-Battery-Cable.pdf" TargetMode="External"/><Relationship Id="rId15" Type="http://schemas.openxmlformats.org/officeDocument/2006/relationships/hyperlink" Target="https://www.ohmite.com/assets/docs/res_tdh50.pdf?r=false" TargetMode="External"/><Relationship Id="rId23" Type="http://schemas.openxmlformats.org/officeDocument/2006/relationships/hyperlink" Target="https://www.murata.com/-/media/webrenewal/products/batteries/cylindrical/pdf-sds/us18650vtc6-sds.ashx?la=en-US&amp;cvid=20210215080000000000" TargetMode="External"/><Relationship Id="rId28" Type="http://schemas.openxmlformats.org/officeDocument/2006/relationships/hyperlink" Target="https://www.te.com/usa-en/product-DT06-6S.datasheet.pdf" TargetMode="External"/><Relationship Id="rId36"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10" Type="http://schemas.openxmlformats.org/officeDocument/2006/relationships/hyperlink" Target="https://www.grainger.com/ec/pdf/6XPF4_1.pdf" TargetMode="External"/><Relationship Id="rId19" Type="http://schemas.openxmlformats.org/officeDocument/2006/relationships/hyperlink" Target="https://www.sensata.com/sites/default/files/a/sensata-gigavac-p115-series-minitactor-contactors-datasheet.pdf" TargetMode="External"/><Relationship Id="rId31" Type="http://schemas.openxmlformats.org/officeDocument/2006/relationships/hyperlink" Target="https://www.te.com/usa-en/product-DTM06-12SA.datasheet.pdf" TargetMode="External"/><Relationship Id="rId4"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ohmite.com/assets/docs/res_200.pdf?r=false" TargetMode="External"/><Relationship Id="rId22" Type="http://schemas.openxmlformats.org/officeDocument/2006/relationships/hyperlink" Target="https://www.imrbatteries.com/content/sony_us18650vtc6-2.pdf" TargetMode="External"/><Relationship Id="rId27" Type="http://schemas.openxmlformats.org/officeDocument/2006/relationships/hyperlink" Target="https://www.mouser.com/datasheet/2/643/pi-CCS-JOHN-108-0903-001-1289719.pdf" TargetMode="External"/><Relationship Id="rId30" Type="http://schemas.openxmlformats.org/officeDocument/2006/relationships/hyperlink" Target="https://www.te.com/usa-en/product-DTM04-12PA-L012.datasheet.pdf" TargetMode="External"/><Relationship Id="rId35" Type="http://schemas.openxmlformats.org/officeDocument/2006/relationships/hyperlink" Target="https://www.farnell.com/datasheets/2013715.pdf" TargetMode="External"/><Relationship Id="rId8" Type="http://schemas.openxmlformats.org/officeDocument/2006/relationships/hyperlink" Target="https://www.eaton.com/content/dam/eaton/products/electronic-components/resources/data-sheet/eaton-pcs-fuse-holder-data-sheet.pdf" TargetMode="External"/><Relationship Id="rId3" Type="http://schemas.openxmlformats.org/officeDocument/2006/relationships/hyperlink" Target="https://www.champcable.com/wp-content/uploads/2018/08/212.-SAE-EXRAD-150-HVFX-XLE-Shielded-Battery-Cable.pdf" TargetMode="External"/><Relationship Id="rId12" Type="http://schemas.openxmlformats.org/officeDocument/2006/relationships/hyperlink" Target="https://www.belfuse.com/resources/datasheets/circuitprotection/ds-CP-0ADG-series.pdf" TargetMode="External"/><Relationship Id="rId17" Type="http://schemas.openxmlformats.org/officeDocument/2006/relationships/hyperlink" Target="https://www.te.com/usa-en/product-8-1879354-9.datasheet.pdf" TargetMode="External"/><Relationship Id="rId25" Type="http://schemas.openxmlformats.org/officeDocument/2006/relationships/hyperlink" Target="https://us.schurter.com/en/datasheet/typ_SHT_6.3x32.pdf" TargetMode="External"/><Relationship Id="rId33" Type="http://schemas.openxmlformats.org/officeDocument/2006/relationships/hyperlink" Target="https://www.molex.com/webdocs/datasheets/pdf/en-us/0334724001_CRIMP_HOUSINGS.pdf" TargetMode="External"/><Relationship Id="rId38"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hec-drives.nl/BRUSA_DB_EN_NLG514.pdf"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has_50_600-s_e.pdf"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microsoft.com/office/2017/10/relationships/threadedComment" Target="../threadedComments/threadedComment8.xml"/><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
  <sheetViews>
    <sheetView topLeftCell="J3" zoomScaleNormal="100" workbookViewId="0">
      <selection activeCell="P18" sqref="P18"/>
    </sheetView>
  </sheetViews>
  <sheetFormatPr defaultColWidth="8.69921875" defaultRowHeight="14.1"/>
  <cols>
    <col min="1" max="1" width="8.69921875" style="2"/>
    <col min="2" max="2" width="9.296875" style="2" bestFit="1" customWidth="1"/>
    <col min="3" max="16384" width="8.69921875" style="2"/>
  </cols>
  <sheetData>
    <row r="1" spans="1:16">
      <c r="A1" s="42" t="s">
        <v>0</v>
      </c>
      <c r="B1" s="42"/>
      <c r="C1" s="42"/>
      <c r="D1" s="42"/>
      <c r="E1" s="42"/>
      <c r="F1" s="42"/>
      <c r="G1" s="42"/>
      <c r="H1" s="42"/>
      <c r="J1" s="42" t="s">
        <v>1</v>
      </c>
      <c r="K1" s="42"/>
      <c r="L1" s="42"/>
    </row>
    <row r="2" spans="1:16">
      <c r="A2" s="44" t="s">
        <v>2</v>
      </c>
      <c r="B2" s="45"/>
      <c r="C2" s="45"/>
      <c r="D2" s="45"/>
      <c r="E2" s="45"/>
      <c r="F2" s="45"/>
      <c r="G2" s="45"/>
      <c r="H2" s="45"/>
      <c r="J2" s="43" t="s">
        <v>3</v>
      </c>
      <c r="K2" s="43"/>
      <c r="L2" s="13" t="str">
        <f ca="1">Datasheets!C1</f>
        <v>OK</v>
      </c>
    </row>
    <row r="3" spans="1:16">
      <c r="A3" s="45"/>
      <c r="B3" s="45"/>
      <c r="C3" s="45"/>
      <c r="D3" s="45"/>
      <c r="E3" s="45"/>
      <c r="F3" s="45"/>
      <c r="G3" s="45"/>
      <c r="H3" s="45"/>
      <c r="J3" s="43" t="s">
        <v>4</v>
      </c>
      <c r="K3" s="43"/>
      <c r="L3" s="13" t="str">
        <f ca="1">'TS Schematics'!B1</f>
        <v>OK</v>
      </c>
    </row>
    <row r="4" spans="1:16">
      <c r="A4" s="45"/>
      <c r="B4" s="45"/>
      <c r="C4" s="45"/>
      <c r="D4" s="45"/>
      <c r="E4" s="45"/>
      <c r="F4" s="45"/>
      <c r="G4" s="45"/>
      <c r="H4" s="45"/>
      <c r="J4" s="43" t="s">
        <v>5</v>
      </c>
      <c r="K4" s="43"/>
      <c r="L4" s="13" t="str">
        <f ca="1">Accumulator!B1</f>
        <v>OK</v>
      </c>
    </row>
    <row r="5" spans="1:16">
      <c r="A5" s="45"/>
      <c r="B5" s="45"/>
      <c r="C5" s="45"/>
      <c r="D5" s="45"/>
      <c r="E5" s="45"/>
      <c r="F5" s="45"/>
      <c r="G5" s="45"/>
      <c r="H5" s="45"/>
      <c r="J5" s="43" t="s">
        <v>6</v>
      </c>
      <c r="K5" s="43"/>
      <c r="L5" s="13" t="str">
        <f ca="1">PrechargeDischarge!B1</f>
        <v>OK</v>
      </c>
    </row>
    <row r="6" spans="1:16">
      <c r="A6" s="45"/>
      <c r="B6" s="45"/>
      <c r="C6" s="45"/>
      <c r="D6" s="45"/>
      <c r="E6" s="45"/>
      <c r="F6" s="45"/>
      <c r="G6" s="45"/>
      <c r="H6" s="45"/>
      <c r="J6" s="43" t="s">
        <v>7</v>
      </c>
      <c r="K6" s="43"/>
      <c r="L6" s="13" t="str">
        <f ca="1">Charging!B1</f>
        <v>BLANK</v>
      </c>
    </row>
    <row r="7" spans="1:16">
      <c r="A7" s="45"/>
      <c r="B7" s="45"/>
      <c r="C7" s="45"/>
      <c r="D7" s="45"/>
      <c r="E7" s="45"/>
      <c r="F7" s="45"/>
      <c r="G7" s="45"/>
      <c r="H7" s="45"/>
      <c r="J7" s="43" t="s">
        <v>8</v>
      </c>
      <c r="K7" s="43"/>
      <c r="L7" s="13" t="str">
        <f ca="1">'Shutdown Circuit'!B1</f>
        <v>WARNING</v>
      </c>
    </row>
    <row r="8" spans="1:16">
      <c r="A8" s="45"/>
      <c r="B8" s="45"/>
      <c r="C8" s="45"/>
      <c r="D8" s="45"/>
      <c r="E8" s="45"/>
      <c r="F8" s="45"/>
      <c r="G8" s="45"/>
      <c r="H8" s="45"/>
      <c r="J8" s="43" t="s">
        <v>9</v>
      </c>
      <c r="K8" s="43"/>
      <c r="L8" s="13" t="str">
        <f ca="1">'Torque Security'!$B$1</f>
        <v>OK</v>
      </c>
    </row>
    <row r="9" spans="1:16">
      <c r="A9" s="45"/>
      <c r="B9" s="45"/>
      <c r="C9" s="45"/>
      <c r="D9" s="45"/>
      <c r="E9" s="45"/>
      <c r="F9" s="45"/>
      <c r="G9" s="45"/>
      <c r="H9" s="45"/>
      <c r="J9" s="43" t="s">
        <v>10</v>
      </c>
      <c r="K9" s="43"/>
      <c r="L9" s="13" t="str">
        <f ca="1">Other!B1</f>
        <v>OK</v>
      </c>
    </row>
    <row r="10" spans="1:16">
      <c r="A10" s="45"/>
      <c r="B10" s="45"/>
      <c r="C10" s="45"/>
      <c r="D10" s="45"/>
      <c r="E10" s="45"/>
      <c r="F10" s="45"/>
      <c r="G10" s="45"/>
      <c r="H10" s="45"/>
    </row>
    <row r="11" spans="1:16">
      <c r="A11" s="45"/>
      <c r="B11" s="45"/>
      <c r="C11" s="45"/>
      <c r="D11" s="45"/>
      <c r="E11" s="45"/>
      <c r="F11" s="45"/>
      <c r="G11" s="45"/>
      <c r="H11" s="45"/>
      <c r="J11" s="46" t="s">
        <v>11</v>
      </c>
      <c r="K11" s="46"/>
      <c r="L11" s="58" t="s">
        <v>12</v>
      </c>
      <c r="M11" s="58"/>
      <c r="N11" s="58"/>
      <c r="O11" s="58"/>
      <c r="P11" s="58"/>
    </row>
    <row r="12" spans="1:16">
      <c r="A12" s="45"/>
      <c r="B12" s="45"/>
      <c r="C12" s="45"/>
      <c r="D12" s="45"/>
      <c r="E12" s="45"/>
      <c r="F12" s="45"/>
      <c r="G12" s="45"/>
      <c r="H12" s="45"/>
      <c r="J12" s="46" t="s">
        <v>13</v>
      </c>
      <c r="K12" s="46"/>
      <c r="L12" s="58" t="s">
        <v>14</v>
      </c>
      <c r="M12" s="58"/>
      <c r="N12" s="58"/>
      <c r="O12" s="58"/>
      <c r="P12" s="58"/>
    </row>
    <row r="13" spans="1:16">
      <c r="A13" s="45"/>
      <c r="B13" s="45"/>
      <c r="C13" s="45"/>
      <c r="D13" s="45"/>
      <c r="E13" s="45"/>
      <c r="F13" s="45"/>
      <c r="G13" s="45"/>
      <c r="H13" s="45"/>
      <c r="J13" s="46" t="s">
        <v>15</v>
      </c>
      <c r="K13" s="46"/>
      <c r="L13" s="47">
        <v>2023</v>
      </c>
      <c r="M13" s="47"/>
      <c r="N13" s="47"/>
      <c r="O13" s="47"/>
      <c r="P13" s="47"/>
    </row>
    <row r="14" spans="1:16">
      <c r="A14" s="45"/>
      <c r="B14" s="45"/>
      <c r="C14" s="45"/>
      <c r="D14" s="45"/>
      <c r="E14" s="45"/>
      <c r="F14" s="45"/>
      <c r="G14" s="45"/>
      <c r="H14" s="45"/>
    </row>
    <row r="15" spans="1:16">
      <c r="A15" s="45"/>
      <c r="B15" s="45"/>
      <c r="C15" s="45"/>
      <c r="D15" s="45"/>
      <c r="E15" s="45"/>
      <c r="F15" s="45"/>
      <c r="G15" s="45"/>
      <c r="H15" s="45"/>
      <c r="J15" s="43" t="s">
        <v>16</v>
      </c>
      <c r="K15" s="43"/>
      <c r="L15" s="20">
        <f>MaxTSVoltage</f>
        <v>403.20000000000005</v>
      </c>
      <c r="M15" s="2" t="s">
        <v>17</v>
      </c>
    </row>
    <row r="16" spans="1:16">
      <c r="A16" s="45"/>
      <c r="B16" s="45"/>
      <c r="C16" s="45"/>
      <c r="D16" s="45"/>
      <c r="E16" s="45"/>
      <c r="F16" s="45"/>
      <c r="G16" s="45"/>
      <c r="H16" s="45"/>
      <c r="J16" s="43" t="s">
        <v>18</v>
      </c>
      <c r="K16" s="43"/>
      <c r="L16" s="20">
        <f ca="1">Accumulator!U20</f>
        <v>75</v>
      </c>
      <c r="M16" s="2" t="s">
        <v>19</v>
      </c>
    </row>
    <row r="17" spans="1:16">
      <c r="A17" s="45"/>
      <c r="B17" s="45"/>
      <c r="C17" s="45"/>
      <c r="D17" s="45"/>
      <c r="E17" s="45"/>
      <c r="F17" s="45"/>
      <c r="G17" s="45"/>
      <c r="H17" s="45"/>
    </row>
    <row r="19" spans="1:16">
      <c r="A19" s="57" t="s">
        <v>20</v>
      </c>
      <c r="B19" s="57"/>
      <c r="C19" s="57"/>
      <c r="D19" s="57"/>
      <c r="E19" s="57"/>
      <c r="F19" s="57"/>
      <c r="G19" s="57"/>
      <c r="H19" s="57"/>
      <c r="I19" s="57"/>
      <c r="J19" s="57"/>
      <c r="K19" s="57"/>
      <c r="L19" s="57"/>
      <c r="M19" s="57"/>
      <c r="N19" s="57"/>
      <c r="O19" s="57"/>
      <c r="P19" s="57"/>
    </row>
    <row r="20" spans="1:16">
      <c r="A20" s="48"/>
      <c r="B20" s="49"/>
      <c r="C20" s="49"/>
      <c r="D20" s="49"/>
      <c r="E20" s="49"/>
      <c r="F20" s="49"/>
      <c r="G20" s="49"/>
      <c r="H20" s="49"/>
      <c r="I20" s="49"/>
      <c r="J20" s="49"/>
      <c r="K20" s="49"/>
      <c r="L20" s="49"/>
      <c r="M20" s="49"/>
      <c r="N20" s="49"/>
      <c r="O20" s="49"/>
      <c r="P20" s="50"/>
    </row>
    <row r="21" spans="1:16">
      <c r="A21" s="51"/>
      <c r="B21" s="52"/>
      <c r="C21" s="52"/>
      <c r="D21" s="52"/>
      <c r="E21" s="52"/>
      <c r="F21" s="52"/>
      <c r="G21" s="52"/>
      <c r="H21" s="52"/>
      <c r="I21" s="52"/>
      <c r="J21" s="52"/>
      <c r="K21" s="52"/>
      <c r="L21" s="52"/>
      <c r="M21" s="52"/>
      <c r="N21" s="52"/>
      <c r="O21" s="52"/>
      <c r="P21" s="53"/>
    </row>
    <row r="22" spans="1:16">
      <c r="A22" s="51"/>
      <c r="B22" s="52"/>
      <c r="C22" s="52"/>
      <c r="D22" s="52"/>
      <c r="E22" s="52"/>
      <c r="F22" s="52"/>
      <c r="G22" s="52"/>
      <c r="H22" s="52"/>
      <c r="I22" s="52"/>
      <c r="J22" s="52"/>
      <c r="K22" s="52"/>
      <c r="L22" s="52"/>
      <c r="M22" s="52"/>
      <c r="N22" s="52"/>
      <c r="O22" s="52"/>
      <c r="P22" s="53"/>
    </row>
    <row r="23" spans="1:16">
      <c r="A23" s="51"/>
      <c r="B23" s="52"/>
      <c r="C23" s="52"/>
      <c r="D23" s="52"/>
      <c r="E23" s="52"/>
      <c r="F23" s="52"/>
      <c r="G23" s="52"/>
      <c r="H23" s="52"/>
      <c r="I23" s="52"/>
      <c r="J23" s="52"/>
      <c r="K23" s="52"/>
      <c r="L23" s="52"/>
      <c r="M23" s="52"/>
      <c r="N23" s="52"/>
      <c r="O23" s="52"/>
      <c r="P23" s="53"/>
    </row>
    <row r="24" spans="1:16">
      <c r="A24" s="51"/>
      <c r="B24" s="52"/>
      <c r="C24" s="52"/>
      <c r="D24" s="52"/>
      <c r="E24" s="52"/>
      <c r="F24" s="52"/>
      <c r="G24" s="52"/>
      <c r="H24" s="52"/>
      <c r="I24" s="52"/>
      <c r="J24" s="52"/>
      <c r="K24" s="52"/>
      <c r="L24" s="52"/>
      <c r="M24" s="52"/>
      <c r="N24" s="52"/>
      <c r="O24" s="52"/>
      <c r="P24" s="53"/>
    </row>
    <row r="25" spans="1:16">
      <c r="A25" s="51"/>
      <c r="B25" s="52"/>
      <c r="C25" s="52"/>
      <c r="D25" s="52"/>
      <c r="E25" s="52"/>
      <c r="F25" s="52"/>
      <c r="G25" s="52"/>
      <c r="H25" s="52"/>
      <c r="I25" s="52"/>
      <c r="J25" s="52"/>
      <c r="K25" s="52"/>
      <c r="L25" s="52"/>
      <c r="M25" s="52"/>
      <c r="N25" s="52"/>
      <c r="O25" s="52"/>
      <c r="P25" s="53"/>
    </row>
    <row r="26" spans="1:16">
      <c r="A26" s="51"/>
      <c r="B26" s="52"/>
      <c r="C26" s="52"/>
      <c r="D26" s="52"/>
      <c r="E26" s="52"/>
      <c r="F26" s="52"/>
      <c r="G26" s="52"/>
      <c r="H26" s="52"/>
      <c r="I26" s="52"/>
      <c r="J26" s="52"/>
      <c r="K26" s="52"/>
      <c r="L26" s="52"/>
      <c r="M26" s="52"/>
      <c r="N26" s="52"/>
      <c r="O26" s="52"/>
      <c r="P26" s="53"/>
    </row>
    <row r="27" spans="1:16">
      <c r="A27" s="51"/>
      <c r="B27" s="52"/>
      <c r="C27" s="52"/>
      <c r="D27" s="52"/>
      <c r="E27" s="52"/>
      <c r="F27" s="52"/>
      <c r="G27" s="52"/>
      <c r="H27" s="52"/>
      <c r="I27" s="52"/>
      <c r="J27" s="52"/>
      <c r="K27" s="52"/>
      <c r="L27" s="52"/>
      <c r="M27" s="52"/>
      <c r="N27" s="52"/>
      <c r="O27" s="52"/>
      <c r="P27" s="53"/>
    </row>
    <row r="28" spans="1:16">
      <c r="A28" s="51"/>
      <c r="B28" s="52"/>
      <c r="C28" s="52"/>
      <c r="D28" s="52"/>
      <c r="E28" s="52"/>
      <c r="F28" s="52"/>
      <c r="G28" s="52"/>
      <c r="H28" s="52"/>
      <c r="I28" s="52"/>
      <c r="J28" s="52"/>
      <c r="K28" s="52"/>
      <c r="L28" s="52"/>
      <c r="M28" s="52"/>
      <c r="N28" s="52"/>
      <c r="O28" s="52"/>
      <c r="P28" s="53"/>
    </row>
    <row r="29" spans="1:16">
      <c r="A29" s="51"/>
      <c r="B29" s="52"/>
      <c r="C29" s="52"/>
      <c r="D29" s="52"/>
      <c r="E29" s="52"/>
      <c r="F29" s="52"/>
      <c r="G29" s="52"/>
      <c r="H29" s="52"/>
      <c r="I29" s="52"/>
      <c r="J29" s="52"/>
      <c r="K29" s="52"/>
      <c r="L29" s="52"/>
      <c r="M29" s="52"/>
      <c r="N29" s="52"/>
      <c r="O29" s="52"/>
      <c r="P29" s="53"/>
    </row>
    <row r="30" spans="1:16">
      <c r="A30" s="51"/>
      <c r="B30" s="52"/>
      <c r="C30" s="52"/>
      <c r="D30" s="52"/>
      <c r="E30" s="52"/>
      <c r="F30" s="52"/>
      <c r="G30" s="52"/>
      <c r="H30" s="52"/>
      <c r="I30" s="52"/>
      <c r="J30" s="52"/>
      <c r="K30" s="52"/>
      <c r="L30" s="52"/>
      <c r="M30" s="52"/>
      <c r="N30" s="52"/>
      <c r="O30" s="52"/>
      <c r="P30" s="53"/>
    </row>
    <row r="31" spans="1:16">
      <c r="A31" s="51"/>
      <c r="B31" s="52"/>
      <c r="C31" s="52"/>
      <c r="D31" s="52"/>
      <c r="E31" s="52"/>
      <c r="F31" s="52"/>
      <c r="G31" s="52"/>
      <c r="H31" s="52"/>
      <c r="I31" s="52"/>
      <c r="J31" s="52"/>
      <c r="K31" s="52"/>
      <c r="L31" s="52"/>
      <c r="M31" s="52"/>
      <c r="N31" s="52"/>
      <c r="O31" s="52"/>
      <c r="P31" s="53"/>
    </row>
    <row r="32" spans="1:16">
      <c r="A32" s="51"/>
      <c r="B32" s="52"/>
      <c r="C32" s="52"/>
      <c r="D32" s="52"/>
      <c r="E32" s="52"/>
      <c r="F32" s="52"/>
      <c r="G32" s="52"/>
      <c r="H32" s="52"/>
      <c r="I32" s="52"/>
      <c r="J32" s="52"/>
      <c r="K32" s="52"/>
      <c r="L32" s="52"/>
      <c r="M32" s="52"/>
      <c r="N32" s="52"/>
      <c r="O32" s="52"/>
      <c r="P32" s="53"/>
    </row>
    <row r="33" spans="1:16">
      <c r="A33" s="51"/>
      <c r="B33" s="52"/>
      <c r="C33" s="52"/>
      <c r="D33" s="52"/>
      <c r="E33" s="52"/>
      <c r="F33" s="52"/>
      <c r="G33" s="52"/>
      <c r="H33" s="52"/>
      <c r="I33" s="52"/>
      <c r="J33" s="52"/>
      <c r="K33" s="52"/>
      <c r="L33" s="52"/>
      <c r="M33" s="52"/>
      <c r="N33" s="52"/>
      <c r="O33" s="52"/>
      <c r="P33" s="53"/>
    </row>
    <row r="34" spans="1:16">
      <c r="A34" s="51"/>
      <c r="B34" s="52"/>
      <c r="C34" s="52"/>
      <c r="D34" s="52"/>
      <c r="E34" s="52"/>
      <c r="F34" s="52"/>
      <c r="G34" s="52"/>
      <c r="H34" s="52"/>
      <c r="I34" s="52"/>
      <c r="J34" s="52"/>
      <c r="K34" s="52"/>
      <c r="L34" s="52"/>
      <c r="M34" s="52"/>
      <c r="N34" s="52"/>
      <c r="O34" s="52"/>
      <c r="P34" s="53"/>
    </row>
    <row r="35" spans="1:16">
      <c r="A35" s="54"/>
      <c r="B35" s="55"/>
      <c r="C35" s="55"/>
      <c r="D35" s="55"/>
      <c r="E35" s="55"/>
      <c r="F35" s="55"/>
      <c r="G35" s="55"/>
      <c r="H35" s="55"/>
      <c r="I35" s="55"/>
      <c r="J35" s="55"/>
      <c r="K35" s="55"/>
      <c r="L35" s="55"/>
      <c r="M35" s="55"/>
      <c r="N35" s="55"/>
      <c r="O35" s="55"/>
      <c r="P35" s="56"/>
    </row>
    <row r="38" spans="1:16">
      <c r="A38" s="42" t="s">
        <v>21</v>
      </c>
      <c r="B38" s="42"/>
      <c r="C38" s="42"/>
      <c r="D38" s="42"/>
      <c r="E38" s="42"/>
      <c r="F38" s="42"/>
      <c r="G38" s="42"/>
      <c r="H38" s="42"/>
    </row>
    <row r="39" spans="1:16">
      <c r="A39" s="25" t="s">
        <v>22</v>
      </c>
      <c r="B39" s="25" t="s">
        <v>23</v>
      </c>
      <c r="C39" s="41" t="s">
        <v>24</v>
      </c>
      <c r="D39" s="41"/>
      <c r="E39" s="41"/>
      <c r="F39" s="41"/>
      <c r="G39" s="41"/>
      <c r="H39" s="41"/>
    </row>
    <row r="40" spans="1:16">
      <c r="A40" s="35">
        <v>2.2000000000000002</v>
      </c>
      <c r="B40" s="36">
        <v>44868</v>
      </c>
      <c r="C40" s="59" t="s">
        <v>25</v>
      </c>
      <c r="D40" s="60"/>
      <c r="E40" s="60"/>
      <c r="F40" s="60"/>
      <c r="G40" s="60"/>
      <c r="H40" s="61"/>
    </row>
    <row r="41" spans="1:16">
      <c r="A41" s="14">
        <v>2.1</v>
      </c>
      <c r="B41" s="15">
        <v>44491</v>
      </c>
      <c r="C41" s="40" t="s">
        <v>26</v>
      </c>
      <c r="D41" s="40"/>
      <c r="E41" s="40"/>
      <c r="F41" s="40"/>
      <c r="G41" s="40"/>
      <c r="H41" s="40"/>
    </row>
    <row r="42" spans="1:16">
      <c r="A42" s="14" t="s">
        <v>27</v>
      </c>
      <c r="B42" s="15">
        <v>44162</v>
      </c>
      <c r="C42" s="40" t="s">
        <v>28</v>
      </c>
      <c r="D42" s="40"/>
      <c r="E42" s="40"/>
      <c r="F42" s="40"/>
      <c r="G42" s="40"/>
      <c r="H42" s="40"/>
    </row>
  </sheetData>
  <sheetProtection algorithmName="SHA-512" hashValue="/DEnUfb55kwpXk+nLVerY+zQZEwHq3aMtD26pc5hc++4mKWe8EoyGxPOMlNICAq2CBHphDpiggyrIg2YK/CzVg==" saltValue="1eC+GX5UrrGVrp1oiwgM6w==" spinCount="100000" sheet="1" scenarios="1" insertHyperlinks="0"/>
  <mergeCells count="26">
    <mergeCell ref="C41:H41"/>
    <mergeCell ref="A20:P35"/>
    <mergeCell ref="A19:P19"/>
    <mergeCell ref="J8:K8"/>
    <mergeCell ref="J9:K9"/>
    <mergeCell ref="L11:P11"/>
    <mergeCell ref="L12:P12"/>
    <mergeCell ref="A38:H38"/>
    <mergeCell ref="J16:K16"/>
    <mergeCell ref="C40:H40"/>
    <mergeCell ref="C42:H42"/>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r:id="rId1"/>
  <headerFooter>
    <oddFooter>&amp;R&amp;1#&amp;"Calibri"&amp;10&amp;KFF0000Public</oddFooter>
  </headerFooter>
  <ignoredErrors>
    <ignoredError sqref="A4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B72" activePane="bottomLeft" state="frozen"/>
      <selection pane="bottomLeft" activeCell="C83" sqref="C83"/>
    </sheetView>
  </sheetViews>
  <sheetFormatPr defaultColWidth="8.69921875" defaultRowHeight="14.1"/>
  <cols>
    <col min="1" max="1" width="15.69921875" style="2" hidden="1" customWidth="1"/>
    <col min="2" max="2" width="11.8984375" style="2" customWidth="1"/>
    <col min="3" max="4" width="8.69921875" style="2"/>
    <col min="5" max="6" width="8.69921875" style="2" customWidth="1"/>
    <col min="7" max="16384" width="8.69921875" style="2"/>
  </cols>
  <sheetData>
    <row r="1" spans="2:8">
      <c r="B1" s="28" t="s">
        <v>1</v>
      </c>
      <c r="C1" s="13"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spans="2:8">
      <c r="B2" s="42" t="s">
        <v>29</v>
      </c>
      <c r="C2" s="42"/>
      <c r="D2" s="42"/>
      <c r="E2" s="42"/>
      <c r="F2" s="13" t="str">
        <f>IF(COUNTBLANK(D3:D14)&gt;0, IncompleteText, OKText)</f>
        <v>OK</v>
      </c>
    </row>
    <row r="3" spans="2:8">
      <c r="B3" s="64" t="s">
        <v>30</v>
      </c>
      <c r="C3" s="64"/>
      <c r="D3" s="58" t="s">
        <v>31</v>
      </c>
      <c r="E3" s="58"/>
    </row>
    <row r="4" spans="2:8">
      <c r="B4" s="64" t="s">
        <v>32</v>
      </c>
      <c r="C4" s="64"/>
      <c r="D4" s="58" t="s">
        <v>33</v>
      </c>
      <c r="E4" s="58"/>
    </row>
    <row r="5" spans="2:8">
      <c r="B5" s="64" t="s">
        <v>34</v>
      </c>
      <c r="C5" s="64"/>
      <c r="D5" s="12">
        <v>3.12</v>
      </c>
      <c r="E5" t="s">
        <v>35</v>
      </c>
    </row>
    <row r="6" spans="2:8">
      <c r="B6" s="64" t="s">
        <v>36</v>
      </c>
      <c r="C6" s="64"/>
      <c r="D6" s="12">
        <v>4.2</v>
      </c>
      <c r="E6" t="s">
        <v>17</v>
      </c>
    </row>
    <row r="7" spans="2:8">
      <c r="B7" s="64" t="s">
        <v>37</v>
      </c>
      <c r="C7" s="64"/>
      <c r="D7" s="12">
        <v>3.6</v>
      </c>
      <c r="E7" t="s">
        <v>17</v>
      </c>
    </row>
    <row r="8" spans="2:8">
      <c r="B8" s="64" t="s">
        <v>38</v>
      </c>
      <c r="C8" s="64"/>
      <c r="D8" s="12">
        <v>2</v>
      </c>
      <c r="E8" t="s">
        <v>17</v>
      </c>
    </row>
    <row r="9" spans="2:8">
      <c r="B9" s="64" t="s">
        <v>39</v>
      </c>
      <c r="C9" s="64"/>
      <c r="D9" s="12">
        <v>46.4</v>
      </c>
      <c r="E9" t="s">
        <v>19</v>
      </c>
    </row>
    <row r="10" spans="2:8">
      <c r="B10" s="64" t="s">
        <v>40</v>
      </c>
      <c r="C10" s="64"/>
      <c r="D10" s="12">
        <v>30</v>
      </c>
      <c r="E10" t="s">
        <v>19</v>
      </c>
    </row>
    <row r="11" spans="2:8">
      <c r="B11" s="64" t="s">
        <v>41</v>
      </c>
      <c r="C11" s="64"/>
      <c r="D11" s="12">
        <v>80</v>
      </c>
      <c r="E11" t="s">
        <v>42</v>
      </c>
    </row>
    <row r="12" spans="2:8">
      <c r="B12" s="64" t="s">
        <v>43</v>
      </c>
      <c r="C12" s="64"/>
      <c r="D12" s="58" t="s">
        <v>44</v>
      </c>
      <c r="E12" s="58"/>
    </row>
    <row r="13" spans="2:8">
      <c r="B13" s="64" t="s">
        <v>45</v>
      </c>
      <c r="C13" s="65"/>
      <c r="D13" s="58" t="s">
        <v>46</v>
      </c>
      <c r="E13" s="58"/>
    </row>
    <row r="14" spans="2:8">
      <c r="B14" s="64" t="s">
        <v>47</v>
      </c>
      <c r="C14" s="65"/>
      <c r="D14" s="58" t="s">
        <v>48</v>
      </c>
      <c r="E14" s="58"/>
    </row>
    <row r="15" spans="2:8">
      <c r="B15" s="64" t="s">
        <v>20</v>
      </c>
      <c r="C15" s="65"/>
      <c r="D15" s="58" t="s">
        <v>49</v>
      </c>
      <c r="E15" s="58"/>
      <c r="F15" s="58"/>
      <c r="G15" s="58"/>
      <c r="H15" s="58"/>
    </row>
    <row r="16" spans="2:8">
      <c r="D16" s="9"/>
    </row>
    <row r="17" spans="1:18">
      <c r="B17" s="42" t="s">
        <v>50</v>
      </c>
      <c r="C17" s="42"/>
      <c r="D17" s="42"/>
      <c r="E17" s="42"/>
      <c r="F17" s="42"/>
      <c r="G17" s="42"/>
      <c r="H17" s="42"/>
      <c r="I17" s="42"/>
      <c r="J17" s="24"/>
      <c r="K17" s="13" t="str">
        <f>IF(COUNTIF(K19:K37, "="&amp;IncompleteText), IncompleteText, IF(COUNTIF(K19:K37, "="&amp;ErrorText), ErrorText, OKText))</f>
        <v>OK</v>
      </c>
    </row>
    <row r="18" spans="1:18" ht="29.25" customHeight="1">
      <c r="B18" t="s">
        <v>51</v>
      </c>
      <c r="C18" s="18" t="s">
        <v>52</v>
      </c>
      <c r="D18" s="18" t="s">
        <v>53</v>
      </c>
      <c r="E18" s="18" t="s">
        <v>54</v>
      </c>
      <c r="F18" s="18" t="s">
        <v>55</v>
      </c>
      <c r="G18" s="18" t="s">
        <v>56</v>
      </c>
      <c r="H18" s="63" t="s">
        <v>45</v>
      </c>
      <c r="I18" s="63"/>
      <c r="J18" s="18" t="s">
        <v>57</v>
      </c>
      <c r="K18" s="26"/>
      <c r="L18" s="67" t="s">
        <v>20</v>
      </c>
      <c r="M18" s="67"/>
      <c r="N18" s="67"/>
      <c r="O18" s="67"/>
      <c r="P18" s="67"/>
      <c r="Q18" s="78" t="s">
        <v>58</v>
      </c>
      <c r="R18" s="79"/>
    </row>
    <row r="19" spans="1:18">
      <c r="A19" s="2" t="str">
        <f ca="1">CONCATENATE(INDIRECT(CONCATENATE("B",ROW(A19))), " ", INDIRECT(CONCATENATE("C",ROW(A19))))</f>
        <v>Energus Busbar</v>
      </c>
      <c r="B19" s="3" t="s">
        <v>59</v>
      </c>
      <c r="C19" s="12" t="s">
        <v>60</v>
      </c>
      <c r="D19" s="3">
        <v>25</v>
      </c>
      <c r="E19" s="21">
        <v>3200</v>
      </c>
      <c r="F19" s="3">
        <v>200</v>
      </c>
      <c r="G19" s="3">
        <v>100</v>
      </c>
      <c r="H19" s="62" t="s">
        <v>61</v>
      </c>
      <c r="I19" s="58"/>
      <c r="J19" s="23" t="s">
        <v>62</v>
      </c>
      <c r="K19" s="13" t="str">
        <f>IF(COUNTBLANK(B19:J19)=9,IncompleteText,IF(AND(COUNTBLANK(B19:J19)=1, G19&gt;=90),OKText,ErrorText))</f>
        <v>OK</v>
      </c>
      <c r="L19" s="58" t="s">
        <v>63</v>
      </c>
      <c r="M19" s="58"/>
      <c r="N19" s="58"/>
      <c r="O19" s="58"/>
      <c r="P19" s="58"/>
      <c r="Q19" s="72" t="s">
        <v>64</v>
      </c>
      <c r="R19" s="73"/>
    </row>
    <row r="20" spans="1:18">
      <c r="A20" s="2" t="str">
        <f t="shared" ref="A20:A83" ca="1" si="0">CONCATENATE(INDIRECT(CONCATENATE("B",ROW(A20))), " ", INDIRECT(CONCATENATE("C",ROW(A20))))</f>
        <v xml:space="preserve"> </v>
      </c>
      <c r="B20" s="3"/>
      <c r="C20" s="12"/>
      <c r="D20" s="3"/>
      <c r="E20" s="3"/>
      <c r="F20" s="3"/>
      <c r="G20" s="3"/>
      <c r="H20" s="58"/>
      <c r="I20" s="58"/>
      <c r="J20" s="23"/>
      <c r="K20" s="13" t="str">
        <f t="shared" ref="K20:K37" si="1">IF(COUNTBLANK(B20:J20)=9,"",IF(AND(COUNTBLANK(B20:J20)=1, G20&gt;=90),OKText,ErrorText))</f>
        <v/>
      </c>
      <c r="L20" s="58" t="s">
        <v>65</v>
      </c>
      <c r="M20" s="58"/>
      <c r="N20" s="58"/>
      <c r="O20" s="58"/>
      <c r="P20" s="58"/>
      <c r="Q20" s="74"/>
      <c r="R20" s="75"/>
    </row>
    <row r="21" spans="1:18">
      <c r="A21" s="2" t="str">
        <f t="shared" ca="1" si="0"/>
        <v xml:space="preserve"> </v>
      </c>
      <c r="B21" s="3"/>
      <c r="C21" s="12"/>
      <c r="D21" s="3"/>
      <c r="E21" s="3"/>
      <c r="F21" s="3"/>
      <c r="G21" s="3"/>
      <c r="H21" s="58"/>
      <c r="I21" s="58"/>
      <c r="J21" s="23"/>
      <c r="K21" s="13" t="str">
        <f t="shared" si="1"/>
        <v/>
      </c>
      <c r="L21" s="58" t="s">
        <v>66</v>
      </c>
      <c r="M21" s="58"/>
      <c r="N21" s="58"/>
      <c r="O21" s="58"/>
      <c r="P21" s="58"/>
      <c r="Q21" s="74"/>
      <c r="R21" s="75"/>
    </row>
    <row r="22" spans="1:18">
      <c r="A22" s="2" t="str">
        <f t="shared" ca="1" si="0"/>
        <v>Champlain cable EXRAD-HVX6X</v>
      </c>
      <c r="B22" s="3" t="s">
        <v>67</v>
      </c>
      <c r="C22" s="12" t="s">
        <v>68</v>
      </c>
      <c r="D22" s="3">
        <v>19.100000000000001</v>
      </c>
      <c r="E22" s="3">
        <v>1000</v>
      </c>
      <c r="F22" s="3">
        <v>155</v>
      </c>
      <c r="G22" s="3">
        <v>150</v>
      </c>
      <c r="H22" s="62" t="s">
        <v>69</v>
      </c>
      <c r="I22" s="58"/>
      <c r="J22" s="23" t="s">
        <v>70</v>
      </c>
      <c r="K22" s="13" t="str">
        <f t="shared" si="1"/>
        <v>OK</v>
      </c>
      <c r="L22" s="58"/>
      <c r="M22" s="58"/>
      <c r="N22" s="58"/>
      <c r="O22" s="58"/>
      <c r="P22" s="58"/>
      <c r="Q22" s="74"/>
      <c r="R22" s="75"/>
    </row>
    <row r="23" spans="1:18">
      <c r="A23" s="2" t="str">
        <f t="shared" ca="1" si="0"/>
        <v>Champlain cable EXRAD-HVX6X</v>
      </c>
      <c r="B23" s="3" t="s">
        <v>67</v>
      </c>
      <c r="C23" s="12" t="s">
        <v>68</v>
      </c>
      <c r="D23" s="3">
        <v>19.100000000000001</v>
      </c>
      <c r="E23" s="3">
        <v>1000</v>
      </c>
      <c r="F23" s="3">
        <v>155</v>
      </c>
      <c r="G23" s="3">
        <v>150</v>
      </c>
      <c r="H23" s="62" t="s">
        <v>69</v>
      </c>
      <c r="I23" s="58"/>
      <c r="J23" s="23" t="s">
        <v>71</v>
      </c>
      <c r="K23" s="13" t="str">
        <f t="shared" si="1"/>
        <v>OK</v>
      </c>
      <c r="L23" s="58"/>
      <c r="M23" s="58"/>
      <c r="N23" s="58"/>
      <c r="O23" s="58"/>
      <c r="P23" s="58"/>
      <c r="Q23" s="74"/>
      <c r="R23" s="75"/>
    </row>
    <row r="24" spans="1:18">
      <c r="A24" s="2" t="str">
        <f t="shared" ca="1" si="0"/>
        <v>Champlain cable EXRAD-HVX6X</v>
      </c>
      <c r="B24" s="3" t="s">
        <v>67</v>
      </c>
      <c r="C24" s="12" t="s">
        <v>68</v>
      </c>
      <c r="D24" s="3">
        <v>19.100000000000001</v>
      </c>
      <c r="E24" s="3">
        <v>1000</v>
      </c>
      <c r="F24" s="3">
        <v>155</v>
      </c>
      <c r="G24" s="3">
        <v>150</v>
      </c>
      <c r="H24" s="62" t="s">
        <v>69</v>
      </c>
      <c r="I24" s="58"/>
      <c r="J24" s="23" t="s">
        <v>72</v>
      </c>
      <c r="K24" s="13" t="str">
        <f t="shared" si="1"/>
        <v>OK</v>
      </c>
      <c r="L24" s="58"/>
      <c r="M24" s="58"/>
      <c r="N24" s="58"/>
      <c r="O24" s="58"/>
      <c r="P24" s="58"/>
      <c r="Q24" s="74"/>
      <c r="R24" s="75"/>
    </row>
    <row r="25" spans="1:18">
      <c r="A25" s="2" t="str">
        <f t="shared" ca="1" si="0"/>
        <v>Champlain cable EXRAD-HVX6X</v>
      </c>
      <c r="B25" s="3" t="s">
        <v>67</v>
      </c>
      <c r="C25" s="12" t="s">
        <v>68</v>
      </c>
      <c r="D25" s="3">
        <v>19.100000000000001</v>
      </c>
      <c r="E25" s="3">
        <v>1000</v>
      </c>
      <c r="F25" s="3">
        <v>155</v>
      </c>
      <c r="G25" s="3">
        <v>150</v>
      </c>
      <c r="H25" s="62" t="s">
        <v>69</v>
      </c>
      <c r="I25" s="58"/>
      <c r="J25" s="23" t="s">
        <v>73</v>
      </c>
      <c r="K25" s="13" t="str">
        <f t="shared" si="1"/>
        <v>OK</v>
      </c>
      <c r="L25" s="58"/>
      <c r="M25" s="58"/>
      <c r="N25" s="58"/>
      <c r="O25" s="58"/>
      <c r="P25" s="58"/>
      <c r="Q25" s="74"/>
      <c r="R25" s="75"/>
    </row>
    <row r="26" spans="1:18">
      <c r="A26" s="2" t="str">
        <f t="shared" ca="1" si="0"/>
        <v>Champlain cable EXRAD-HVX6X</v>
      </c>
      <c r="B26" s="3" t="s">
        <v>67</v>
      </c>
      <c r="C26" s="12" t="s">
        <v>68</v>
      </c>
      <c r="D26" s="3">
        <v>19.100000000000001</v>
      </c>
      <c r="E26" s="3">
        <v>1000</v>
      </c>
      <c r="F26" s="3">
        <v>155</v>
      </c>
      <c r="G26" s="3">
        <v>150</v>
      </c>
      <c r="H26" s="62" t="s">
        <v>69</v>
      </c>
      <c r="I26" s="58"/>
      <c r="J26" s="23" t="s">
        <v>74</v>
      </c>
      <c r="K26" s="13" t="str">
        <f t="shared" si="1"/>
        <v>OK</v>
      </c>
      <c r="L26" s="58"/>
      <c r="M26" s="58"/>
      <c r="N26" s="58"/>
      <c r="O26" s="58"/>
      <c r="P26" s="58"/>
      <c r="Q26" s="74"/>
      <c r="R26" s="75"/>
    </row>
    <row r="27" spans="1:18">
      <c r="A27" s="2" t="str">
        <f t="shared" ca="1" si="0"/>
        <v>Champlain cable EXRAD-HVX6X</v>
      </c>
      <c r="B27" s="3" t="s">
        <v>67</v>
      </c>
      <c r="C27" s="12" t="s">
        <v>68</v>
      </c>
      <c r="D27" s="3">
        <v>19.100000000000001</v>
      </c>
      <c r="E27" s="3">
        <v>1000</v>
      </c>
      <c r="F27" s="3">
        <v>155</v>
      </c>
      <c r="G27" s="3">
        <v>150</v>
      </c>
      <c r="H27" s="62" t="s">
        <v>69</v>
      </c>
      <c r="I27" s="58"/>
      <c r="J27" s="23" t="s">
        <v>75</v>
      </c>
      <c r="K27" s="13" t="str">
        <f t="shared" si="1"/>
        <v>OK</v>
      </c>
      <c r="L27" s="58"/>
      <c r="M27" s="58"/>
      <c r="N27" s="58"/>
      <c r="O27" s="58"/>
      <c r="P27" s="58"/>
      <c r="Q27" s="74"/>
      <c r="R27" s="75"/>
    </row>
    <row r="28" spans="1:18">
      <c r="A28" s="2" t="str">
        <f t="shared" ca="1" si="0"/>
        <v>Eaton BK/PCS</v>
      </c>
      <c r="B28" s="3" t="s">
        <v>76</v>
      </c>
      <c r="C28" s="12" t="s">
        <v>77</v>
      </c>
      <c r="D28" s="3">
        <v>0.20300000000000001</v>
      </c>
      <c r="E28" s="3">
        <v>250</v>
      </c>
      <c r="F28" s="3">
        <v>6.3</v>
      </c>
      <c r="G28" s="3">
        <v>200</v>
      </c>
      <c r="H28" s="62" t="s">
        <v>78</v>
      </c>
      <c r="I28" s="58"/>
      <c r="J28" s="23" t="s">
        <v>79</v>
      </c>
      <c r="K28" s="13" t="str">
        <f t="shared" si="1"/>
        <v>OK</v>
      </c>
      <c r="L28" s="58"/>
      <c r="M28" s="58"/>
      <c r="N28" s="58"/>
      <c r="O28" s="58"/>
      <c r="P28" s="58"/>
      <c r="Q28" s="74"/>
      <c r="R28" s="75"/>
    </row>
    <row r="29" spans="1:18">
      <c r="A29" s="2" t="str">
        <f t="shared" ca="1" si="0"/>
        <v>Fermerry 22-AWG-Silicone Stranded Wire</v>
      </c>
      <c r="B29" s="3" t="s">
        <v>80</v>
      </c>
      <c r="C29" s="12" t="s">
        <v>81</v>
      </c>
      <c r="D29" s="3">
        <v>0.33</v>
      </c>
      <c r="E29" s="3">
        <v>600</v>
      </c>
      <c r="F29" s="3">
        <v>6</v>
      </c>
      <c r="G29" s="3">
        <v>200</v>
      </c>
      <c r="H29" s="58" t="s">
        <v>82</v>
      </c>
      <c r="I29" s="58"/>
      <c r="J29" s="23" t="s">
        <v>83</v>
      </c>
      <c r="K29" s="13" t="str">
        <f t="shared" si="1"/>
        <v>OK</v>
      </c>
      <c r="L29" s="58"/>
      <c r="M29" s="58"/>
      <c r="N29" s="58"/>
      <c r="O29" s="58"/>
      <c r="P29" s="58"/>
      <c r="Q29" s="74"/>
      <c r="R29" s="75"/>
    </row>
    <row r="30" spans="1:18">
      <c r="A30" s="2" t="str">
        <f t="shared" ca="1" si="0"/>
        <v xml:space="preserve"> </v>
      </c>
      <c r="B30" s="3"/>
      <c r="C30" s="12"/>
      <c r="D30" s="3"/>
      <c r="E30" s="3"/>
      <c r="F30" s="3"/>
      <c r="G30" s="3"/>
      <c r="H30" s="58"/>
      <c r="I30" s="58"/>
      <c r="J30" s="23"/>
      <c r="K30" s="13" t="str">
        <f t="shared" si="1"/>
        <v/>
      </c>
      <c r="L30" s="58"/>
      <c r="M30" s="58"/>
      <c r="N30" s="58"/>
      <c r="O30" s="58"/>
      <c r="P30" s="58"/>
      <c r="Q30" s="74"/>
      <c r="R30" s="75"/>
    </row>
    <row r="31" spans="1:18">
      <c r="A31" s="2" t="str">
        <f t="shared" ca="1" si="0"/>
        <v xml:space="preserve"> </v>
      </c>
      <c r="B31" s="3"/>
      <c r="C31" s="12"/>
      <c r="D31" s="3"/>
      <c r="E31" s="3"/>
      <c r="F31" s="3"/>
      <c r="G31" s="3"/>
      <c r="H31" s="58"/>
      <c r="I31" s="58"/>
      <c r="J31" s="23"/>
      <c r="K31" s="13" t="str">
        <f t="shared" si="1"/>
        <v/>
      </c>
      <c r="L31" s="58"/>
      <c r="M31" s="58"/>
      <c r="N31" s="58"/>
      <c r="O31" s="58"/>
      <c r="P31" s="58"/>
      <c r="Q31" s="74"/>
      <c r="R31" s="75"/>
    </row>
    <row r="32" spans="1:18">
      <c r="A32" s="2" t="str">
        <f t="shared" ca="1" si="0"/>
        <v xml:space="preserve"> </v>
      </c>
      <c r="B32" s="3"/>
      <c r="C32" s="12"/>
      <c r="D32" s="3"/>
      <c r="E32" s="3"/>
      <c r="F32" s="3"/>
      <c r="G32" s="3"/>
      <c r="H32" s="58"/>
      <c r="I32" s="58"/>
      <c r="J32" s="23"/>
      <c r="K32" s="13" t="str">
        <f t="shared" si="1"/>
        <v/>
      </c>
      <c r="L32" s="58"/>
      <c r="M32" s="58"/>
      <c r="N32" s="58"/>
      <c r="O32" s="58"/>
      <c r="P32" s="58"/>
      <c r="Q32" s="74"/>
      <c r="R32" s="75"/>
    </row>
    <row r="33" spans="1:18">
      <c r="A33" s="2" t="str">
        <f t="shared" ca="1" si="0"/>
        <v xml:space="preserve"> </v>
      </c>
      <c r="B33" s="3"/>
      <c r="C33" s="12"/>
      <c r="D33" s="3"/>
      <c r="E33" s="3"/>
      <c r="F33" s="3"/>
      <c r="G33" s="3"/>
      <c r="H33" s="58"/>
      <c r="I33" s="58"/>
      <c r="J33" s="23"/>
      <c r="K33" s="13" t="str">
        <f t="shared" si="1"/>
        <v/>
      </c>
      <c r="L33" s="58"/>
      <c r="M33" s="58"/>
      <c r="N33" s="58"/>
      <c r="O33" s="58"/>
      <c r="P33" s="58"/>
      <c r="Q33" s="74"/>
      <c r="R33" s="75"/>
    </row>
    <row r="34" spans="1:18">
      <c r="A34" s="2" t="str">
        <f t="shared" ca="1" si="0"/>
        <v xml:space="preserve"> </v>
      </c>
      <c r="B34" s="3"/>
      <c r="C34" s="12"/>
      <c r="D34" s="3"/>
      <c r="E34" s="3"/>
      <c r="F34" s="3"/>
      <c r="G34" s="3"/>
      <c r="H34" s="58"/>
      <c r="I34" s="58"/>
      <c r="J34" s="23"/>
      <c r="K34" s="13" t="str">
        <f t="shared" si="1"/>
        <v/>
      </c>
      <c r="L34" s="58"/>
      <c r="M34" s="58"/>
      <c r="N34" s="58"/>
      <c r="O34" s="58"/>
      <c r="P34" s="58"/>
      <c r="Q34" s="74"/>
      <c r="R34" s="75"/>
    </row>
    <row r="35" spans="1:18">
      <c r="A35" s="2" t="str">
        <f t="shared" ca="1" si="0"/>
        <v xml:space="preserve"> </v>
      </c>
      <c r="B35" s="3"/>
      <c r="C35" s="12"/>
      <c r="D35" s="3"/>
      <c r="E35" s="3"/>
      <c r="F35" s="3"/>
      <c r="G35" s="3"/>
      <c r="H35" s="58"/>
      <c r="I35" s="58"/>
      <c r="J35" s="23"/>
      <c r="K35" s="13" t="str">
        <f t="shared" si="1"/>
        <v/>
      </c>
      <c r="L35" s="58"/>
      <c r="M35" s="58"/>
      <c r="N35" s="58"/>
      <c r="O35" s="58"/>
      <c r="P35" s="58"/>
      <c r="Q35" s="74"/>
      <c r="R35" s="75"/>
    </row>
    <row r="36" spans="1:18">
      <c r="A36" s="2" t="str">
        <f t="shared" ca="1" si="0"/>
        <v xml:space="preserve"> </v>
      </c>
      <c r="B36" s="3"/>
      <c r="C36" s="12"/>
      <c r="D36" s="3"/>
      <c r="E36" s="3"/>
      <c r="F36" s="3"/>
      <c r="G36" s="3"/>
      <c r="H36" s="58"/>
      <c r="I36" s="58"/>
      <c r="J36" s="23"/>
      <c r="K36" s="13" t="str">
        <f t="shared" si="1"/>
        <v/>
      </c>
      <c r="L36" s="58"/>
      <c r="M36" s="58"/>
      <c r="N36" s="58"/>
      <c r="O36" s="58"/>
      <c r="P36" s="58"/>
      <c r="Q36" s="74"/>
      <c r="R36" s="75"/>
    </row>
    <row r="37" spans="1:18">
      <c r="A37" s="2" t="str">
        <f t="shared" ca="1" si="0"/>
        <v xml:space="preserve"> </v>
      </c>
      <c r="B37" s="3"/>
      <c r="C37" s="12"/>
      <c r="D37" s="3"/>
      <c r="E37" s="3"/>
      <c r="F37" s="3"/>
      <c r="G37" s="3"/>
      <c r="H37" s="58"/>
      <c r="I37" s="58"/>
      <c r="J37" s="23"/>
      <c r="K37" s="13" t="str">
        <f t="shared" si="1"/>
        <v/>
      </c>
      <c r="L37" s="58"/>
      <c r="M37" s="58"/>
      <c r="N37" s="58"/>
      <c r="O37" s="58"/>
      <c r="P37" s="58"/>
      <c r="Q37" s="76"/>
      <c r="R37" s="77"/>
    </row>
    <row r="38" spans="1:18">
      <c r="A38" s="2" t="str">
        <f t="shared" ca="1" si="0"/>
        <v xml:space="preserve"> </v>
      </c>
    </row>
    <row r="39" spans="1:18">
      <c r="A39" s="2" t="str">
        <f t="shared" ca="1" si="0"/>
        <v xml:space="preserve">Fuses </v>
      </c>
      <c r="B39" s="42" t="s">
        <v>84</v>
      </c>
      <c r="C39" s="42"/>
      <c r="D39" s="42"/>
      <c r="E39" s="42"/>
      <c r="F39" s="42"/>
      <c r="G39" s="42"/>
      <c r="H39" s="42"/>
      <c r="I39" s="42"/>
      <c r="J39" s="24"/>
      <c r="K39" s="13" t="str">
        <f>IF(COUNTIF(K41:K52, "="&amp;IncompleteText), IncompleteText, IF(COUNTIF(K41:K52, "="&amp;ErrorText), ErrorText, OKText))</f>
        <v>OK</v>
      </c>
    </row>
    <row r="40" spans="1:18" ht="30">
      <c r="A40" s="2" t="str">
        <f t="shared" ca="1" si="0"/>
        <v>Manufacturer Part Number</v>
      </c>
      <c r="B40" t="s">
        <v>51</v>
      </c>
      <c r="C40" s="18" t="s">
        <v>52</v>
      </c>
      <c r="D40" s="18" t="s">
        <v>85</v>
      </c>
      <c r="E40" s="26" t="s">
        <v>86</v>
      </c>
      <c r="F40" s="18" t="s">
        <v>87</v>
      </c>
      <c r="G40" s="18" t="s">
        <v>88</v>
      </c>
      <c r="H40" s="63" t="s">
        <v>45</v>
      </c>
      <c r="I40" s="63"/>
      <c r="J40" s="18" t="s">
        <v>57</v>
      </c>
      <c r="K40" s="26"/>
      <c r="L40" s="67" t="s">
        <v>20</v>
      </c>
      <c r="M40" s="67"/>
      <c r="N40" s="67"/>
      <c r="O40" s="67"/>
      <c r="P40" s="67"/>
      <c r="Q40" s="78" t="s">
        <v>58</v>
      </c>
      <c r="R40" s="79"/>
    </row>
    <row r="41" spans="1:18">
      <c r="A41" s="2" t="str">
        <f t="shared" ca="1" si="0"/>
        <v>Eaton - Electronic Division BK/PCC-3/4-R</v>
      </c>
      <c r="B41" s="3" t="s">
        <v>89</v>
      </c>
      <c r="C41" s="12" t="s">
        <v>90</v>
      </c>
      <c r="D41" s="3">
        <v>450</v>
      </c>
      <c r="E41" s="3" t="s">
        <v>91</v>
      </c>
      <c r="F41" s="3">
        <v>0.75</v>
      </c>
      <c r="G41" s="17">
        <v>5900</v>
      </c>
      <c r="H41" s="58" t="s">
        <v>92</v>
      </c>
      <c r="I41" s="58"/>
      <c r="J41" s="23" t="s">
        <v>93</v>
      </c>
      <c r="K41" s="13" t="str">
        <f>IF(COUNTBLANK(B41:J41)=9,IncompleteText,IF(COUNTBLANK(B41:J41)=1,OKText,ErrorText))</f>
        <v>OK</v>
      </c>
      <c r="L41" s="58"/>
      <c r="M41" s="58"/>
      <c r="N41" s="58"/>
      <c r="O41" s="58"/>
      <c r="P41" s="58"/>
      <c r="Q41" s="72" t="s">
        <v>94</v>
      </c>
      <c r="R41" s="73"/>
    </row>
    <row r="42" spans="1:18">
      <c r="A42" s="2" t="str">
        <f t="shared" ca="1" si="0"/>
        <v>Mersen Semiconductor A50QS75-4Y</v>
      </c>
      <c r="B42" s="3" t="s">
        <v>95</v>
      </c>
      <c r="C42" s="12" t="s">
        <v>96</v>
      </c>
      <c r="D42" s="3">
        <v>500</v>
      </c>
      <c r="E42" s="3" t="s">
        <v>91</v>
      </c>
      <c r="F42" s="3">
        <v>75</v>
      </c>
      <c r="G42" s="3">
        <v>1200</v>
      </c>
      <c r="H42" s="58" t="s">
        <v>97</v>
      </c>
      <c r="I42" s="58"/>
      <c r="J42" s="23" t="s">
        <v>98</v>
      </c>
      <c r="K42" s="13" t="str">
        <f t="shared" ref="K42:K52" si="2">IF(COUNTBLANK(B42:J42)=9,"",IF(COUNTBLANK(B42:J42)=1,OKText,ErrorText))</f>
        <v>OK</v>
      </c>
      <c r="L42" s="58"/>
      <c r="M42" s="58"/>
      <c r="N42" s="58"/>
      <c r="O42" s="58"/>
      <c r="P42" s="58"/>
      <c r="Q42" s="74"/>
      <c r="R42" s="75"/>
    </row>
    <row r="43" spans="1:18">
      <c r="A43" s="2" t="str">
        <f t="shared" ca="1" si="0"/>
        <v>Bel Fuse Inc 0ADAP6000-RE</v>
      </c>
      <c r="B43" s="3" t="s">
        <v>99</v>
      </c>
      <c r="C43" s="12" t="s">
        <v>100</v>
      </c>
      <c r="D43" s="3">
        <v>600</v>
      </c>
      <c r="E43" s="3" t="s">
        <v>91</v>
      </c>
      <c r="F43" s="3">
        <v>6</v>
      </c>
      <c r="G43" s="3">
        <v>12</v>
      </c>
      <c r="H43" s="58" t="s">
        <v>101</v>
      </c>
      <c r="I43" s="58"/>
      <c r="J43" s="23" t="s">
        <v>102</v>
      </c>
      <c r="K43" s="13" t="str">
        <f t="shared" si="2"/>
        <v>OK</v>
      </c>
      <c r="L43" s="58"/>
      <c r="M43" s="58"/>
      <c r="N43" s="58"/>
      <c r="O43" s="58"/>
      <c r="P43" s="58"/>
      <c r="Q43" s="74"/>
      <c r="R43" s="75"/>
    </row>
    <row r="44" spans="1:18">
      <c r="A44" s="2" t="str">
        <f t="shared" ca="1" si="0"/>
        <v>Bel Fuse Inc 0ADGC9200-BE</v>
      </c>
      <c r="B44" s="3" t="s">
        <v>99</v>
      </c>
      <c r="C44" s="12" t="s">
        <v>103</v>
      </c>
      <c r="D44" s="3">
        <v>500</v>
      </c>
      <c r="E44" s="3" t="s">
        <v>91</v>
      </c>
      <c r="F44" s="3">
        <v>20</v>
      </c>
      <c r="G44" s="3">
        <v>1000</v>
      </c>
      <c r="H44" s="58" t="s">
        <v>104</v>
      </c>
      <c r="I44" s="58"/>
      <c r="J44" s="23" t="s">
        <v>105</v>
      </c>
      <c r="K44" s="13" t="str">
        <f t="shared" si="2"/>
        <v>OK</v>
      </c>
      <c r="L44" s="58"/>
      <c r="M44" s="58"/>
      <c r="N44" s="58"/>
      <c r="O44" s="58"/>
      <c r="P44" s="58"/>
      <c r="Q44" s="74"/>
      <c r="R44" s="75"/>
    </row>
    <row r="45" spans="1:18">
      <c r="A45" s="2" t="str">
        <f t="shared" ca="1" si="0"/>
        <v>Energus Fusible Link</v>
      </c>
      <c r="B45" s="3" t="s">
        <v>59</v>
      </c>
      <c r="C45" s="12" t="s">
        <v>106</v>
      </c>
      <c r="D45" s="3">
        <v>12</v>
      </c>
      <c r="E45" s="3" t="s">
        <v>91</v>
      </c>
      <c r="F45" s="3">
        <v>45</v>
      </c>
      <c r="G45" s="3">
        <v>1000</v>
      </c>
      <c r="H45" s="58" t="s">
        <v>107</v>
      </c>
      <c r="I45" s="58"/>
      <c r="J45" s="23" t="s">
        <v>108</v>
      </c>
      <c r="K45" s="13" t="str">
        <f t="shared" si="2"/>
        <v>OK</v>
      </c>
      <c r="L45" s="58"/>
      <c r="M45" s="58"/>
      <c r="N45" s="58"/>
      <c r="O45" s="58"/>
      <c r="P45" s="58"/>
      <c r="Q45" s="74"/>
      <c r="R45" s="75"/>
    </row>
    <row r="46" spans="1:18">
      <c r="A46" s="2" t="str">
        <f t="shared" ca="1" si="0"/>
        <v>Schurter 8020.5011.G</v>
      </c>
      <c r="B46" s="3" t="s">
        <v>109</v>
      </c>
      <c r="C46" s="12" t="s">
        <v>110</v>
      </c>
      <c r="D46" s="3">
        <v>400</v>
      </c>
      <c r="E46" s="3" t="s">
        <v>91</v>
      </c>
      <c r="F46" s="3">
        <v>1</v>
      </c>
      <c r="G46" s="3">
        <v>1500</v>
      </c>
      <c r="H46" s="58" t="s">
        <v>111</v>
      </c>
      <c r="I46" s="58"/>
      <c r="J46" s="23" t="s">
        <v>112</v>
      </c>
      <c r="K46" s="13" t="str">
        <f t="shared" si="2"/>
        <v>OK</v>
      </c>
      <c r="L46" s="58"/>
      <c r="M46" s="58"/>
      <c r="N46" s="58"/>
      <c r="O46" s="58"/>
      <c r="P46" s="58"/>
      <c r="Q46" s="74"/>
      <c r="R46" s="75"/>
    </row>
    <row r="47" spans="1:18">
      <c r="A47" s="2" t="str">
        <f t="shared" ca="1" si="0"/>
        <v xml:space="preserve"> </v>
      </c>
      <c r="B47" s="3"/>
      <c r="C47" s="12"/>
      <c r="D47" s="3"/>
      <c r="E47" s="3"/>
      <c r="F47" s="3"/>
      <c r="G47" s="3"/>
      <c r="H47" s="58"/>
      <c r="I47" s="58"/>
      <c r="J47" s="23"/>
      <c r="K47" s="13" t="str">
        <f t="shared" si="2"/>
        <v/>
      </c>
      <c r="L47" s="58"/>
      <c r="M47" s="58"/>
      <c r="N47" s="58"/>
      <c r="O47" s="58"/>
      <c r="P47" s="58"/>
      <c r="Q47" s="74"/>
      <c r="R47" s="75"/>
    </row>
    <row r="48" spans="1:18">
      <c r="A48" s="2" t="str">
        <f t="shared" ca="1" si="0"/>
        <v xml:space="preserve"> </v>
      </c>
      <c r="B48" s="3"/>
      <c r="C48" s="12"/>
      <c r="D48" s="3"/>
      <c r="E48" s="3"/>
      <c r="F48" s="3"/>
      <c r="G48" s="3"/>
      <c r="H48" s="58"/>
      <c r="I48" s="58"/>
      <c r="J48" s="23"/>
      <c r="K48" s="13" t="str">
        <f t="shared" si="2"/>
        <v/>
      </c>
      <c r="L48" s="58"/>
      <c r="M48" s="58"/>
      <c r="N48" s="58"/>
      <c r="O48" s="58"/>
      <c r="P48" s="58"/>
      <c r="Q48" s="74"/>
      <c r="R48" s="75"/>
    </row>
    <row r="49" spans="1:21">
      <c r="A49" s="2" t="str">
        <f t="shared" ca="1" si="0"/>
        <v xml:space="preserve"> </v>
      </c>
      <c r="B49" s="3"/>
      <c r="C49" s="12"/>
      <c r="D49" s="3"/>
      <c r="E49" s="3"/>
      <c r="F49" s="3"/>
      <c r="G49" s="3"/>
      <c r="H49" s="58"/>
      <c r="I49" s="58"/>
      <c r="J49" s="23"/>
      <c r="K49" s="13" t="str">
        <f t="shared" si="2"/>
        <v/>
      </c>
      <c r="L49" s="58"/>
      <c r="M49" s="58"/>
      <c r="N49" s="58"/>
      <c r="O49" s="58"/>
      <c r="P49" s="58"/>
      <c r="Q49" s="74"/>
      <c r="R49" s="75"/>
    </row>
    <row r="50" spans="1:21">
      <c r="A50" s="2" t="str">
        <f t="shared" ca="1" si="0"/>
        <v xml:space="preserve"> </v>
      </c>
      <c r="B50" s="3"/>
      <c r="C50" s="12"/>
      <c r="D50" s="3"/>
      <c r="E50" s="3"/>
      <c r="F50" s="3"/>
      <c r="G50" s="3"/>
      <c r="H50" s="58"/>
      <c r="I50" s="58"/>
      <c r="J50" s="23"/>
      <c r="K50" s="13" t="str">
        <f t="shared" si="2"/>
        <v/>
      </c>
      <c r="L50" s="58"/>
      <c r="M50" s="58"/>
      <c r="N50" s="58"/>
      <c r="O50" s="58"/>
      <c r="P50" s="58"/>
      <c r="Q50" s="74"/>
      <c r="R50" s="75"/>
    </row>
    <row r="51" spans="1:21">
      <c r="A51" s="2" t="str">
        <f t="shared" ca="1" si="0"/>
        <v xml:space="preserve"> </v>
      </c>
      <c r="B51" s="3"/>
      <c r="C51" s="12"/>
      <c r="D51" s="3"/>
      <c r="E51" s="3"/>
      <c r="F51" s="3"/>
      <c r="G51" s="3"/>
      <c r="H51" s="58"/>
      <c r="I51" s="58"/>
      <c r="J51" s="23"/>
      <c r="K51" s="13" t="str">
        <f t="shared" si="2"/>
        <v/>
      </c>
      <c r="L51" s="58"/>
      <c r="M51" s="58"/>
      <c r="N51" s="58"/>
      <c r="O51" s="58"/>
      <c r="P51" s="58"/>
      <c r="Q51" s="74"/>
      <c r="R51" s="75"/>
    </row>
    <row r="52" spans="1:21">
      <c r="A52" s="2" t="str">
        <f t="shared" ca="1" si="0"/>
        <v xml:space="preserve"> </v>
      </c>
      <c r="B52" s="3"/>
      <c r="C52" s="12"/>
      <c r="D52" s="3"/>
      <c r="E52" s="3"/>
      <c r="F52" s="3"/>
      <c r="G52" s="3"/>
      <c r="H52" s="58"/>
      <c r="I52" s="58"/>
      <c r="J52" s="23"/>
      <c r="K52" s="13" t="str">
        <f t="shared" si="2"/>
        <v/>
      </c>
      <c r="L52" s="58"/>
      <c r="M52" s="58"/>
      <c r="N52" s="58"/>
      <c r="O52" s="58"/>
      <c r="P52" s="58"/>
      <c r="Q52" s="76"/>
      <c r="R52" s="77"/>
    </row>
    <row r="53" spans="1:21">
      <c r="A53" s="2" t="str">
        <f t="shared" ca="1" si="0"/>
        <v xml:space="preserve"> </v>
      </c>
    </row>
    <row r="54" spans="1:21">
      <c r="A54" s="2" t="str">
        <f t="shared" ca="1" si="0"/>
        <v xml:space="preserve">Resistors </v>
      </c>
      <c r="B54" s="42" t="s">
        <v>113</v>
      </c>
      <c r="C54" s="42"/>
      <c r="D54" s="42"/>
      <c r="E54" s="42"/>
      <c r="F54" s="42"/>
      <c r="G54" s="42"/>
      <c r="H54" s="42"/>
      <c r="I54" s="42"/>
      <c r="J54" s="42"/>
      <c r="K54" s="42"/>
      <c r="L54" s="42"/>
      <c r="M54" s="24"/>
      <c r="N54" s="13" t="str">
        <f>IF(COUNTIF(N56:N61, "="&amp;IncompleteText), IncompleteText, IF(COUNTIF(N56:N61, "="&amp;ErrorText), ErrorText, OKText))</f>
        <v>OK</v>
      </c>
    </row>
    <row r="55" spans="1:21" ht="45.95">
      <c r="A55" s="2" t="str">
        <f t="shared" ca="1" si="0"/>
        <v>Manufacturer Part Number</v>
      </c>
      <c r="B55" t="s">
        <v>51</v>
      </c>
      <c r="C55" s="18" t="s">
        <v>52</v>
      </c>
      <c r="D55" s="18" t="s">
        <v>85</v>
      </c>
      <c r="E55" s="18" t="s">
        <v>114</v>
      </c>
      <c r="F55" s="18" t="s">
        <v>115</v>
      </c>
      <c r="G55" s="18" t="s">
        <v>116</v>
      </c>
      <c r="H55" s="71" t="s">
        <v>117</v>
      </c>
      <c r="I55" s="67"/>
      <c r="J55" s="67"/>
      <c r="K55" s="63" t="s">
        <v>45</v>
      </c>
      <c r="L55" s="63"/>
      <c r="M55" s="18" t="s">
        <v>57</v>
      </c>
      <c r="N55" s="26"/>
      <c r="O55" s="67" t="s">
        <v>20</v>
      </c>
      <c r="P55" s="67"/>
      <c r="Q55" s="67"/>
      <c r="R55" s="67"/>
      <c r="S55" s="67"/>
      <c r="T55" s="78" t="s">
        <v>58</v>
      </c>
      <c r="U55" s="79"/>
    </row>
    <row r="56" spans="1:21">
      <c r="A56" s="2" t="str">
        <f t="shared" ca="1" si="0"/>
        <v>Ohmite B20J750E</v>
      </c>
      <c r="B56" s="12" t="s">
        <v>118</v>
      </c>
      <c r="C56" s="12" t="s">
        <v>119</v>
      </c>
      <c r="D56" s="12">
        <v>750</v>
      </c>
      <c r="E56" s="12">
        <v>750</v>
      </c>
      <c r="F56" s="12">
        <v>20</v>
      </c>
      <c r="G56" s="12">
        <v>200</v>
      </c>
      <c r="H56" s="66" t="s">
        <v>120</v>
      </c>
      <c r="I56" s="66"/>
      <c r="J56" s="66"/>
      <c r="K56" s="58" t="s">
        <v>121</v>
      </c>
      <c r="L56" s="58"/>
      <c r="M56" s="23" t="s">
        <v>122</v>
      </c>
      <c r="N56" s="13" t="str">
        <f>IF(COUNTBLANK(B56:M56)=12,IncompleteText,IF(COUNTBLANK(B56:M56)=3,OKText,ErrorText))</f>
        <v>OK</v>
      </c>
      <c r="O56" s="58"/>
      <c r="P56" s="58"/>
      <c r="Q56" s="58"/>
      <c r="R56" s="58"/>
      <c r="S56" s="58"/>
      <c r="T56" s="72" t="s">
        <v>123</v>
      </c>
      <c r="U56" s="73"/>
    </row>
    <row r="57" spans="1:21" ht="13.7" customHeight="1">
      <c r="A57" s="2" t="str">
        <f t="shared" ca="1" si="0"/>
        <v>TE ROX9J30K</v>
      </c>
      <c r="B57" s="3" t="s">
        <v>124</v>
      </c>
      <c r="C57" s="12" t="s">
        <v>125</v>
      </c>
      <c r="D57" s="3">
        <v>750</v>
      </c>
      <c r="E57" s="3">
        <v>30000</v>
      </c>
      <c r="F57" s="3">
        <v>9</v>
      </c>
      <c r="G57" s="3">
        <v>9</v>
      </c>
      <c r="H57" s="66" t="s">
        <v>120</v>
      </c>
      <c r="I57" s="66"/>
      <c r="J57" s="66"/>
      <c r="K57" s="62" t="s">
        <v>126</v>
      </c>
      <c r="L57" s="58"/>
      <c r="M57" s="23" t="s">
        <v>127</v>
      </c>
      <c r="N57" s="13" t="str">
        <f>IF(COUNTBLANK(B57:M57)=12,"",IF(COUNTBLANK(B57:M57)=3,OKText,ErrorText))</f>
        <v>OK</v>
      </c>
      <c r="O57" s="58"/>
      <c r="P57" s="58"/>
      <c r="Q57" s="58"/>
      <c r="R57" s="58"/>
      <c r="S57" s="58"/>
      <c r="T57" s="74"/>
      <c r="U57" s="75"/>
    </row>
    <row r="58" spans="1:21">
      <c r="A58" s="2" t="str">
        <f t="shared" ca="1" si="0"/>
        <v>TE RR03J1K5TB</v>
      </c>
      <c r="B58" s="3" t="s">
        <v>124</v>
      </c>
      <c r="C58" s="12" t="s">
        <v>128</v>
      </c>
      <c r="D58" s="3">
        <v>750</v>
      </c>
      <c r="E58" s="3">
        <v>1500</v>
      </c>
      <c r="F58" s="3">
        <v>3</v>
      </c>
      <c r="G58" s="3">
        <v>3</v>
      </c>
      <c r="H58" s="68" t="s">
        <v>120</v>
      </c>
      <c r="I58" s="69"/>
      <c r="J58" s="70"/>
      <c r="K58" s="58" t="s">
        <v>129</v>
      </c>
      <c r="L58" s="58"/>
      <c r="M58" s="23" t="s">
        <v>130</v>
      </c>
      <c r="N58" s="13" t="str">
        <f>IF(COUNTBLANK(B58:M58)=12,"",IF(COUNTBLANK(B58:M58)=3,OKText,ErrorText))</f>
        <v>OK</v>
      </c>
      <c r="O58" s="58" t="s">
        <v>131</v>
      </c>
      <c r="P58" s="58"/>
      <c r="Q58" s="58"/>
      <c r="R58" s="58"/>
      <c r="S58" s="58"/>
      <c r="T58" s="74"/>
      <c r="U58" s="75"/>
    </row>
    <row r="59" spans="1:21" ht="13.7" customHeight="1">
      <c r="A59" s="2" t="str">
        <f t="shared" ca="1" si="0"/>
        <v xml:space="preserve"> </v>
      </c>
      <c r="B59" s="3"/>
      <c r="C59" s="12"/>
      <c r="D59" s="3"/>
      <c r="E59" s="3"/>
      <c r="F59" s="3"/>
      <c r="G59" s="3"/>
      <c r="H59" s="68"/>
      <c r="I59" s="69"/>
      <c r="J59" s="70"/>
      <c r="K59" s="58"/>
      <c r="L59" s="58"/>
      <c r="M59" s="23"/>
      <c r="N59" s="13" t="str">
        <f>IF(COUNTBLANK(B59:M59)=12,"",IF(COUNTBLANK(B59:M59)=3,OKText,ErrorText))</f>
        <v/>
      </c>
      <c r="O59" s="58"/>
      <c r="P59" s="58"/>
      <c r="Q59" s="58"/>
      <c r="R59" s="58"/>
      <c r="S59" s="58"/>
      <c r="T59" s="74"/>
      <c r="U59" s="75"/>
    </row>
    <row r="60" spans="1:21">
      <c r="A60" s="2" t="str">
        <f t="shared" ca="1" si="0"/>
        <v xml:space="preserve"> </v>
      </c>
      <c r="B60" s="3"/>
      <c r="C60" s="12"/>
      <c r="D60" s="3"/>
      <c r="E60" s="3"/>
      <c r="F60" s="3"/>
      <c r="G60" s="3"/>
      <c r="H60" s="66"/>
      <c r="I60" s="66"/>
      <c r="J60" s="66"/>
      <c r="K60" s="58"/>
      <c r="L60" s="58"/>
      <c r="M60" s="23"/>
      <c r="N60" s="13" t="str">
        <f>IF(COUNTBLANK(B60:M60)=12,"",IF(COUNTBLANK(B60:M60)=3,OKText,ErrorText))</f>
        <v/>
      </c>
      <c r="O60" s="58"/>
      <c r="P60" s="58"/>
      <c r="Q60" s="58"/>
      <c r="R60" s="58"/>
      <c r="S60" s="58"/>
      <c r="T60" s="74"/>
      <c r="U60" s="75"/>
    </row>
    <row r="61" spans="1:21" ht="13.7" customHeight="1">
      <c r="A61" s="2" t="str">
        <f t="shared" ca="1" si="0"/>
        <v xml:space="preserve"> </v>
      </c>
      <c r="B61" s="3"/>
      <c r="C61" s="12"/>
      <c r="D61" s="3"/>
      <c r="E61" s="3"/>
      <c r="F61" s="3"/>
      <c r="G61" s="3"/>
      <c r="H61" s="66"/>
      <c r="I61" s="66"/>
      <c r="J61" s="66"/>
      <c r="K61" s="58"/>
      <c r="L61" s="58"/>
      <c r="M61" s="23"/>
      <c r="N61" s="13" t="str">
        <f>IF(COUNTBLANK(B61:M61)=12,"",IF(COUNTBLANK(B61:M61)=3,OKText,ErrorText))</f>
        <v/>
      </c>
      <c r="O61" s="58"/>
      <c r="P61" s="58"/>
      <c r="Q61" s="58"/>
      <c r="R61" s="58"/>
      <c r="S61" s="58"/>
      <c r="T61" s="76"/>
      <c r="U61" s="77"/>
    </row>
    <row r="62" spans="1:21">
      <c r="A62" s="2" t="str">
        <f t="shared" ca="1" si="0"/>
        <v xml:space="preserve"> </v>
      </c>
      <c r="N62" s="10"/>
      <c r="O62" s="10"/>
      <c r="P62" s="10"/>
      <c r="Q62" s="10"/>
      <c r="R62" s="10"/>
    </row>
    <row r="63" spans="1:21">
      <c r="A63" s="2" t="str">
        <f t="shared" ca="1" si="0"/>
        <v xml:space="preserve">Contactors/Relays </v>
      </c>
      <c r="B63" s="42" t="s">
        <v>132</v>
      </c>
      <c r="C63" s="42"/>
      <c r="D63" s="42"/>
      <c r="E63" s="42"/>
      <c r="F63" s="42"/>
      <c r="G63" s="42"/>
      <c r="H63" s="42"/>
      <c r="I63" s="42"/>
      <c r="J63" s="42"/>
      <c r="K63" s="13" t="str">
        <f>IF(COUNTIF(K65:K69, "="&amp;IncompleteText), IncompleteText, IF(COUNTIF(K65:K69, "="&amp;ErrorText), ErrorText, OKText))</f>
        <v>OK</v>
      </c>
    </row>
    <row r="64" spans="1:21" ht="60">
      <c r="A64" s="2" t="str">
        <f t="shared" ca="1" si="0"/>
        <v>Manufacturer Part Number</v>
      </c>
      <c r="B64" t="s">
        <v>51</v>
      </c>
      <c r="C64" s="18" t="s">
        <v>52</v>
      </c>
      <c r="D64" s="18" t="s">
        <v>133</v>
      </c>
      <c r="E64" s="18" t="s">
        <v>134</v>
      </c>
      <c r="F64" s="18" t="s">
        <v>135</v>
      </c>
      <c r="G64" s="18" t="s">
        <v>136</v>
      </c>
      <c r="H64" s="63" t="s">
        <v>45</v>
      </c>
      <c r="I64" s="63"/>
      <c r="J64" s="18" t="s">
        <v>57</v>
      </c>
      <c r="K64" s="26"/>
      <c r="L64" s="67" t="s">
        <v>20</v>
      </c>
      <c r="M64" s="67"/>
      <c r="N64" s="67"/>
      <c r="O64" s="67"/>
      <c r="P64" s="67"/>
      <c r="Q64" s="78" t="s">
        <v>58</v>
      </c>
      <c r="R64" s="79"/>
    </row>
    <row r="65" spans="1:18">
      <c r="A65" s="2" t="str">
        <f t="shared" ca="1" si="0"/>
        <v>TE Connectivity Potter &amp; Brumfield Relays 1462043-3</v>
      </c>
      <c r="B65" s="3" t="s">
        <v>137</v>
      </c>
      <c r="C65" s="12" t="s">
        <v>138</v>
      </c>
      <c r="D65" s="3">
        <v>220</v>
      </c>
      <c r="E65" s="3">
        <v>2</v>
      </c>
      <c r="F65" s="3">
        <v>2</v>
      </c>
      <c r="G65" s="3" t="s">
        <v>139</v>
      </c>
      <c r="H65" s="58" t="s">
        <v>140</v>
      </c>
      <c r="I65" s="58"/>
      <c r="J65" s="23" t="s">
        <v>141</v>
      </c>
      <c r="K65" s="13" t="str">
        <f>IF(COUNTBLANK(B65:J65)=9,IncompleteText,IF(COUNTBLANK(B65:J65)=1,OKText,ErrorText))</f>
        <v>OK</v>
      </c>
      <c r="L65" s="58" t="s">
        <v>142</v>
      </c>
      <c r="M65" s="58"/>
      <c r="N65" s="58"/>
      <c r="O65" s="58"/>
      <c r="P65" s="58"/>
      <c r="Q65" s="72" t="s">
        <v>143</v>
      </c>
      <c r="R65" s="73"/>
    </row>
    <row r="66" spans="1:18">
      <c r="A66" s="2" t="str">
        <f t="shared" ca="1" si="0"/>
        <v>Gigavac GV241BAB</v>
      </c>
      <c r="B66" s="3" t="s">
        <v>144</v>
      </c>
      <c r="C66" s="12" t="s">
        <v>145</v>
      </c>
      <c r="D66" s="3">
        <v>800</v>
      </c>
      <c r="E66" s="3">
        <v>325</v>
      </c>
      <c r="F66" s="3">
        <v>900</v>
      </c>
      <c r="G66" s="3" t="s">
        <v>139</v>
      </c>
      <c r="H66" s="58" t="s">
        <v>146</v>
      </c>
      <c r="I66" s="58"/>
      <c r="J66" s="23" t="s">
        <v>147</v>
      </c>
      <c r="K66" s="13" t="str">
        <f>IF(COUNTBLANK(B66:J66)=9,"",IF(COUNTBLANK(B66:J66)=1,OKText,ErrorText))</f>
        <v>OK</v>
      </c>
      <c r="L66" s="58"/>
      <c r="M66" s="58"/>
      <c r="N66" s="58"/>
      <c r="O66" s="58"/>
      <c r="P66" s="58"/>
      <c r="Q66" s="74"/>
      <c r="R66" s="75"/>
    </row>
    <row r="67" spans="1:18">
      <c r="A67" s="2" t="str">
        <f t="shared" ca="1" si="0"/>
        <v>Gigavac P115-BDA</v>
      </c>
      <c r="B67" s="3" t="s">
        <v>144</v>
      </c>
      <c r="C67" s="12" t="s">
        <v>148</v>
      </c>
      <c r="D67" s="3">
        <v>1500</v>
      </c>
      <c r="E67" s="3">
        <v>50</v>
      </c>
      <c r="F67" s="3">
        <v>200</v>
      </c>
      <c r="G67" s="3" t="s">
        <v>139</v>
      </c>
      <c r="H67" s="58" t="s">
        <v>149</v>
      </c>
      <c r="I67" s="58"/>
      <c r="J67" s="23" t="s">
        <v>122</v>
      </c>
      <c r="K67" s="13" t="str">
        <f>IF(COUNTBLANK(B67:J67)=9,"",IF(COUNTBLANK(B67:J67)=1,OKText,ErrorText))</f>
        <v>OK</v>
      </c>
      <c r="L67" s="58"/>
      <c r="M67" s="58"/>
      <c r="N67" s="58"/>
      <c r="O67" s="58"/>
      <c r="P67" s="58"/>
      <c r="Q67" s="74"/>
      <c r="R67" s="75"/>
    </row>
    <row r="68" spans="1:18">
      <c r="A68" s="2" t="str">
        <f t="shared" ca="1" si="0"/>
        <v>Gigavac PNC113</v>
      </c>
      <c r="B68" s="3" t="s">
        <v>144</v>
      </c>
      <c r="C68" s="12" t="s">
        <v>150</v>
      </c>
      <c r="D68" s="3">
        <v>1500</v>
      </c>
      <c r="E68" s="3">
        <v>30</v>
      </c>
      <c r="F68" s="3">
        <v>200</v>
      </c>
      <c r="G68" s="3" t="s">
        <v>151</v>
      </c>
      <c r="H68" s="58" t="s">
        <v>152</v>
      </c>
      <c r="I68" s="58"/>
      <c r="J68" s="23" t="s">
        <v>153</v>
      </c>
      <c r="K68" s="13" t="str">
        <f>IF(COUNTBLANK(B68:J68)=9,"",IF(COUNTBLANK(B68:J68)=1,OKText,ErrorText))</f>
        <v>OK</v>
      </c>
      <c r="L68" s="58"/>
      <c r="M68" s="58"/>
      <c r="N68" s="58"/>
      <c r="O68" s="58"/>
      <c r="P68" s="58"/>
      <c r="Q68" s="74"/>
      <c r="R68" s="75"/>
    </row>
    <row r="69" spans="1:18">
      <c r="A69" s="2" t="str">
        <f t="shared" ca="1" si="0"/>
        <v xml:space="preserve"> </v>
      </c>
      <c r="B69" s="3"/>
      <c r="C69" s="12"/>
      <c r="D69" s="3"/>
      <c r="E69" s="3"/>
      <c r="F69" s="3"/>
      <c r="G69" s="3"/>
      <c r="H69" s="58"/>
      <c r="I69" s="58"/>
      <c r="J69" s="23"/>
      <c r="K69" s="13" t="str">
        <f>IF(COUNTBLANK(B69:J69)=9,"",IF(COUNTBLANK(B69:J69)=1,OKText,ErrorText))</f>
        <v/>
      </c>
      <c r="L69" s="58"/>
      <c r="M69" s="58"/>
      <c r="N69" s="58"/>
      <c r="O69" s="58"/>
      <c r="P69" s="58"/>
      <c r="Q69" s="76"/>
      <c r="R69" s="77"/>
    </row>
    <row r="70" spans="1:18">
      <c r="A70" s="2" t="str">
        <f t="shared" ca="1" si="0"/>
        <v xml:space="preserve"> </v>
      </c>
    </row>
    <row r="71" spans="1:18">
      <c r="A71" s="2" t="str">
        <f t="shared" ca="1" si="0"/>
        <v xml:space="preserve">Connectors </v>
      </c>
      <c r="B71" s="42" t="s">
        <v>154</v>
      </c>
      <c r="C71" s="42"/>
      <c r="D71" s="42"/>
      <c r="E71" s="42"/>
      <c r="F71" s="42"/>
      <c r="G71" s="42"/>
      <c r="H71" s="42"/>
      <c r="I71" s="24"/>
      <c r="J71" s="13" t="str">
        <f>IF(COUNTIF(J73:J91, "="&amp;IncompleteText), IncompleteText, IF(COUNTIF(J73:J91, "="&amp;ErrorText), ErrorText, OKText))</f>
        <v>OK</v>
      </c>
    </row>
    <row r="72" spans="1:18" ht="30.95">
      <c r="A72" s="2" t="str">
        <f t="shared" ca="1" si="0"/>
        <v>Manufacturer Part Number</v>
      </c>
      <c r="B72" t="s">
        <v>51</v>
      </c>
      <c r="C72" s="18" t="s">
        <v>52</v>
      </c>
      <c r="D72" s="18" t="s">
        <v>85</v>
      </c>
      <c r="E72" s="18" t="s">
        <v>55</v>
      </c>
      <c r="F72" s="18" t="s">
        <v>155</v>
      </c>
      <c r="G72" s="63" t="s">
        <v>45</v>
      </c>
      <c r="H72" s="63"/>
      <c r="I72" s="18" t="s">
        <v>57</v>
      </c>
      <c r="J72" s="26"/>
      <c r="K72" s="67" t="s">
        <v>20</v>
      </c>
      <c r="L72" s="67"/>
      <c r="M72" s="67"/>
      <c r="N72" s="67"/>
      <c r="O72" s="67"/>
      <c r="P72" s="78" t="s">
        <v>58</v>
      </c>
      <c r="Q72" s="79"/>
    </row>
    <row r="73" spans="1:18">
      <c r="A73" s="2" t="str">
        <f t="shared" ca="1" si="0"/>
        <v>Amphenol MINIMSDF000R</v>
      </c>
      <c r="B73" s="3" t="s">
        <v>156</v>
      </c>
      <c r="C73" s="12" t="s">
        <v>157</v>
      </c>
      <c r="D73" s="3">
        <v>1000</v>
      </c>
      <c r="E73" s="3">
        <v>630</v>
      </c>
      <c r="F73" s="3">
        <v>50</v>
      </c>
      <c r="G73" s="58" t="s">
        <v>158</v>
      </c>
      <c r="H73" s="58"/>
      <c r="I73" s="23" t="s">
        <v>159</v>
      </c>
      <c r="J73" s="13" t="str">
        <f>IF(COUNTBLANK(B73:I73)=8,IncompleteText,IF(COUNTBLANK(B73:I73)=1,OKText,ErrorText))</f>
        <v>OK</v>
      </c>
      <c r="K73" s="58"/>
      <c r="L73" s="58"/>
      <c r="M73" s="58"/>
      <c r="N73" s="58"/>
      <c r="O73" s="58"/>
      <c r="P73" s="72" t="s">
        <v>160</v>
      </c>
      <c r="Q73" s="73"/>
    </row>
    <row r="74" spans="1:18">
      <c r="A74" s="2" t="str">
        <f t="shared" ca="1" si="0"/>
        <v>Molex 334724001</v>
      </c>
      <c r="B74" s="3" t="s">
        <v>161</v>
      </c>
      <c r="C74" s="12" t="s">
        <v>162</v>
      </c>
      <c r="D74" s="3">
        <v>14</v>
      </c>
      <c r="E74" s="3">
        <v>22</v>
      </c>
      <c r="F74" s="3">
        <v>0.75</v>
      </c>
      <c r="G74" s="58" t="s">
        <v>163</v>
      </c>
      <c r="H74" s="58"/>
      <c r="I74" s="23" t="s">
        <v>164</v>
      </c>
      <c r="J74" s="13" t="str">
        <f t="shared" ref="J74:J91" si="3">IF(COUNTBLANK(B74:I74)=8,"",IF(COUNTBLANK(B74:I74)=1,OKText,ErrorText))</f>
        <v>OK</v>
      </c>
      <c r="K74" s="58" t="s">
        <v>165</v>
      </c>
      <c r="L74" s="58"/>
      <c r="M74" s="58"/>
      <c r="N74" s="58"/>
      <c r="O74" s="58"/>
      <c r="P74" s="74"/>
      <c r="Q74" s="75"/>
    </row>
    <row r="75" spans="1:18">
      <c r="A75" s="2" t="str">
        <f t="shared" ca="1" si="0"/>
        <v>Mueller BU-P72930-0</v>
      </c>
      <c r="B75" s="38" t="s">
        <v>166</v>
      </c>
      <c r="C75" s="12" t="s">
        <v>167</v>
      </c>
      <c r="D75" s="3">
        <v>1000</v>
      </c>
      <c r="E75" s="3">
        <v>36</v>
      </c>
      <c r="F75" s="3">
        <v>0.35</v>
      </c>
      <c r="G75" s="62" t="s">
        <v>168</v>
      </c>
      <c r="H75" s="58"/>
      <c r="I75" s="23" t="s">
        <v>130</v>
      </c>
      <c r="J75" s="13" t="str">
        <f t="shared" si="3"/>
        <v>OK</v>
      </c>
      <c r="K75" s="58" t="s">
        <v>169</v>
      </c>
      <c r="L75" s="58"/>
      <c r="M75" s="58"/>
      <c r="N75" s="58"/>
      <c r="O75" s="58"/>
      <c r="P75" s="74"/>
      <c r="Q75" s="75"/>
    </row>
    <row r="76" spans="1:18">
      <c r="A76" s="2" t="str">
        <f t="shared" ca="1" si="0"/>
        <v>Mueller BU-P72930-2</v>
      </c>
      <c r="B76" s="39" t="s">
        <v>166</v>
      </c>
      <c r="C76" s="12" t="s">
        <v>170</v>
      </c>
      <c r="D76" s="3">
        <v>1000</v>
      </c>
      <c r="E76" s="3">
        <v>36</v>
      </c>
      <c r="F76" s="3">
        <v>0.35</v>
      </c>
      <c r="G76" s="58" t="s">
        <v>168</v>
      </c>
      <c r="H76" s="58"/>
      <c r="I76" s="23" t="s">
        <v>130</v>
      </c>
      <c r="J76" s="13" t="str">
        <f t="shared" si="3"/>
        <v>OK</v>
      </c>
      <c r="K76" s="58" t="s">
        <v>171</v>
      </c>
      <c r="L76" s="58"/>
      <c r="M76" s="58"/>
      <c r="N76" s="58"/>
      <c r="O76" s="58"/>
      <c r="P76" s="74"/>
      <c r="Q76" s="75"/>
    </row>
    <row r="77" spans="1:18">
      <c r="A77" s="2" t="str">
        <f t="shared" ca="1" si="0"/>
        <v>Amphenol UPCR012ALS2</v>
      </c>
      <c r="B77" s="3" t="s">
        <v>156</v>
      </c>
      <c r="C77" s="12" t="s">
        <v>172</v>
      </c>
      <c r="D77" s="3">
        <v>1000</v>
      </c>
      <c r="E77" s="3">
        <v>120</v>
      </c>
      <c r="F77" s="3">
        <v>22</v>
      </c>
      <c r="G77" s="62" t="s">
        <v>173</v>
      </c>
      <c r="H77" s="58"/>
      <c r="I77" s="23" t="s">
        <v>174</v>
      </c>
      <c r="J77" s="13" t="str">
        <f t="shared" si="3"/>
        <v>OK</v>
      </c>
      <c r="K77" s="58"/>
      <c r="L77" s="58"/>
      <c r="M77" s="58"/>
      <c r="N77" s="58"/>
      <c r="O77" s="58"/>
      <c r="P77" s="74"/>
      <c r="Q77" s="75"/>
    </row>
    <row r="78" spans="1:18">
      <c r="A78" s="2" t="str">
        <f t="shared" ca="1" si="0"/>
        <v>Amphenol UPCR012ALS1</v>
      </c>
      <c r="B78" s="3" t="s">
        <v>156</v>
      </c>
      <c r="C78" s="12" t="s">
        <v>175</v>
      </c>
      <c r="D78" s="3">
        <v>1000</v>
      </c>
      <c r="E78" s="3">
        <v>120</v>
      </c>
      <c r="F78" s="3">
        <v>22</v>
      </c>
      <c r="G78" s="58" t="s">
        <v>173</v>
      </c>
      <c r="H78" s="58"/>
      <c r="I78" s="23" t="s">
        <v>176</v>
      </c>
      <c r="J78" s="13" t="str">
        <f t="shared" si="3"/>
        <v>OK</v>
      </c>
      <c r="K78" s="58" t="s">
        <v>177</v>
      </c>
      <c r="L78" s="58"/>
      <c r="M78" s="58"/>
      <c r="N78" s="58"/>
      <c r="O78" s="58"/>
      <c r="P78" s="74"/>
      <c r="Q78" s="75"/>
    </row>
    <row r="79" spans="1:18">
      <c r="A79" s="2" t="str">
        <f t="shared" ca="1" si="0"/>
        <v>TE Connectivity DTM06-12SA</v>
      </c>
      <c r="B79" s="3" t="s">
        <v>178</v>
      </c>
      <c r="C79" s="12" t="s">
        <v>179</v>
      </c>
      <c r="D79" s="3">
        <v>167</v>
      </c>
      <c r="E79" s="3">
        <v>7.5</v>
      </c>
      <c r="F79" s="3" t="s">
        <v>180</v>
      </c>
      <c r="G79" s="58" t="s">
        <v>181</v>
      </c>
      <c r="H79" s="58"/>
      <c r="I79" s="23" t="s">
        <v>182</v>
      </c>
      <c r="J79" s="13" t="str">
        <f t="shared" si="3"/>
        <v>OK</v>
      </c>
      <c r="K79" s="58"/>
      <c r="L79" s="58"/>
      <c r="M79" s="58"/>
      <c r="N79" s="58"/>
      <c r="O79" s="58"/>
      <c r="P79" s="74"/>
      <c r="Q79" s="75"/>
    </row>
    <row r="80" spans="1:18">
      <c r="A80" s="2" t="str">
        <f t="shared" ca="1" si="0"/>
        <v>TE Connectivity DTM04-12PA-L012</v>
      </c>
      <c r="B80" s="3" t="s">
        <v>178</v>
      </c>
      <c r="C80" s="12" t="s">
        <v>183</v>
      </c>
      <c r="D80" s="3">
        <v>167</v>
      </c>
      <c r="E80" s="3">
        <v>7.5</v>
      </c>
      <c r="F80" s="3" t="s">
        <v>180</v>
      </c>
      <c r="G80" s="58" t="s">
        <v>184</v>
      </c>
      <c r="H80" s="58"/>
      <c r="I80" s="23" t="s">
        <v>182</v>
      </c>
      <c r="J80" s="13" t="str">
        <f t="shared" si="3"/>
        <v>OK</v>
      </c>
      <c r="K80" s="58"/>
      <c r="L80" s="58"/>
      <c r="M80" s="58"/>
      <c r="N80" s="58"/>
      <c r="O80" s="58"/>
      <c r="P80" s="74"/>
      <c r="Q80" s="75"/>
    </row>
    <row r="81" spans="1:19">
      <c r="A81" s="2" t="str">
        <f t="shared" ca="1" si="0"/>
        <v>TE Connectivity DT04-6P-CL09</v>
      </c>
      <c r="B81" s="3" t="s">
        <v>178</v>
      </c>
      <c r="C81" s="12" t="s">
        <v>185</v>
      </c>
      <c r="D81" s="3">
        <v>167</v>
      </c>
      <c r="E81" s="3">
        <v>13</v>
      </c>
      <c r="F81" s="3" t="s">
        <v>180</v>
      </c>
      <c r="G81" s="58" t="s">
        <v>186</v>
      </c>
      <c r="H81" s="58"/>
      <c r="I81" s="23" t="s">
        <v>187</v>
      </c>
      <c r="J81" s="13" t="str">
        <f t="shared" si="3"/>
        <v>OK</v>
      </c>
      <c r="K81" s="58"/>
      <c r="L81" s="58"/>
      <c r="M81" s="58"/>
      <c r="N81" s="58"/>
      <c r="O81" s="58"/>
      <c r="P81" s="74"/>
      <c r="Q81" s="75"/>
    </row>
    <row r="82" spans="1:19">
      <c r="A82" s="2" t="str">
        <f t="shared" ca="1" si="0"/>
        <v>TE Connectivity DT06-6S</v>
      </c>
      <c r="B82" s="3" t="s">
        <v>178</v>
      </c>
      <c r="C82" s="12" t="s">
        <v>188</v>
      </c>
      <c r="D82" s="3">
        <v>167</v>
      </c>
      <c r="E82" s="3">
        <v>13</v>
      </c>
      <c r="F82" s="3" t="s">
        <v>180</v>
      </c>
      <c r="G82" s="58" t="s">
        <v>189</v>
      </c>
      <c r="H82" s="58"/>
      <c r="I82" s="23" t="s">
        <v>187</v>
      </c>
      <c r="J82" s="13" t="str">
        <f t="shared" si="3"/>
        <v>OK</v>
      </c>
      <c r="K82" s="58"/>
      <c r="L82" s="58"/>
      <c r="M82" s="58"/>
      <c r="N82" s="58"/>
      <c r="O82" s="58"/>
      <c r="P82" s="74"/>
      <c r="Q82" s="75"/>
    </row>
    <row r="83" spans="1:19">
      <c r="A83" s="2" t="str">
        <f t="shared" ca="1" si="0"/>
        <v>Amphenol RL9080-101-F1OR</v>
      </c>
      <c r="B83" s="3" t="s">
        <v>156</v>
      </c>
      <c r="C83" s="12" t="s">
        <v>190</v>
      </c>
      <c r="D83" s="3">
        <v>1000</v>
      </c>
      <c r="E83" s="3">
        <v>200</v>
      </c>
      <c r="F83" s="3">
        <v>35</v>
      </c>
      <c r="G83" s="62" t="s">
        <v>191</v>
      </c>
      <c r="H83" s="58"/>
      <c r="I83" s="23" t="s">
        <v>192</v>
      </c>
      <c r="J83" s="13" t="str">
        <f t="shared" si="3"/>
        <v>OK</v>
      </c>
      <c r="K83" s="58"/>
      <c r="L83" s="58"/>
      <c r="M83" s="58"/>
      <c r="N83" s="58"/>
      <c r="O83" s="58"/>
      <c r="P83" s="74"/>
      <c r="Q83" s="75"/>
    </row>
    <row r="84" spans="1:19">
      <c r="A84" s="2" t="str">
        <f t="shared" ref="A84:A104" ca="1" si="4">CONCATENATE(INDIRECT(CONCATENATE("B",ROW(A84))), " ", INDIRECT(CONCATENATE("C",ROW(A84))))</f>
        <v xml:space="preserve"> </v>
      </c>
      <c r="B84" s="3"/>
      <c r="C84" s="12"/>
      <c r="D84" s="3"/>
      <c r="E84" s="3"/>
      <c r="F84" s="3"/>
      <c r="G84" s="58"/>
      <c r="H84" s="58"/>
      <c r="I84" s="23"/>
      <c r="J84" s="13" t="str">
        <f t="shared" si="3"/>
        <v/>
      </c>
      <c r="K84" s="58"/>
      <c r="L84" s="58"/>
      <c r="M84" s="58"/>
      <c r="N84" s="58"/>
      <c r="O84" s="58"/>
      <c r="P84" s="74"/>
      <c r="Q84" s="75"/>
    </row>
    <row r="85" spans="1:19">
      <c r="A85" s="2" t="str">
        <f t="shared" ca="1" si="4"/>
        <v xml:space="preserve"> </v>
      </c>
      <c r="B85" s="3"/>
      <c r="C85" s="12"/>
      <c r="D85" s="3"/>
      <c r="E85" s="3"/>
      <c r="F85" s="3"/>
      <c r="G85" s="58"/>
      <c r="H85" s="58"/>
      <c r="I85" s="23"/>
      <c r="J85" s="13" t="str">
        <f t="shared" si="3"/>
        <v/>
      </c>
      <c r="K85" s="58"/>
      <c r="L85" s="58"/>
      <c r="M85" s="58"/>
      <c r="N85" s="58"/>
      <c r="O85" s="58"/>
      <c r="P85" s="74"/>
      <c r="Q85" s="75"/>
    </row>
    <row r="86" spans="1:19">
      <c r="A86" s="2" t="str">
        <f t="shared" ca="1" si="4"/>
        <v xml:space="preserve"> </v>
      </c>
      <c r="B86" s="3"/>
      <c r="C86" s="12"/>
      <c r="D86" s="3"/>
      <c r="E86" s="3"/>
      <c r="F86" s="3"/>
      <c r="G86" s="58"/>
      <c r="H86" s="58"/>
      <c r="I86" s="23"/>
      <c r="J86" s="13" t="str">
        <f t="shared" si="3"/>
        <v/>
      </c>
      <c r="K86" s="58"/>
      <c r="L86" s="58"/>
      <c r="M86" s="58"/>
      <c r="N86" s="58"/>
      <c r="O86" s="58"/>
      <c r="P86" s="74"/>
      <c r="Q86" s="75"/>
    </row>
    <row r="87" spans="1:19">
      <c r="A87" s="2" t="str">
        <f t="shared" ca="1" si="4"/>
        <v xml:space="preserve"> </v>
      </c>
      <c r="B87" s="3"/>
      <c r="C87" s="12"/>
      <c r="D87" s="3"/>
      <c r="E87" s="3"/>
      <c r="F87" s="3"/>
      <c r="G87" s="58"/>
      <c r="H87" s="58"/>
      <c r="I87" s="23"/>
      <c r="J87" s="13" t="str">
        <f t="shared" si="3"/>
        <v/>
      </c>
      <c r="K87" s="58"/>
      <c r="L87" s="58"/>
      <c r="M87" s="58"/>
      <c r="N87" s="58"/>
      <c r="O87" s="58"/>
      <c r="P87" s="74"/>
      <c r="Q87" s="75"/>
    </row>
    <row r="88" spans="1:19">
      <c r="A88" s="2" t="str">
        <f t="shared" ca="1" si="4"/>
        <v xml:space="preserve"> </v>
      </c>
      <c r="B88" s="3"/>
      <c r="C88" s="12"/>
      <c r="D88" s="3"/>
      <c r="E88" s="3"/>
      <c r="F88" s="3"/>
      <c r="G88" s="58"/>
      <c r="H88" s="58"/>
      <c r="I88" s="23"/>
      <c r="J88" s="13" t="str">
        <f t="shared" si="3"/>
        <v/>
      </c>
      <c r="K88" s="58"/>
      <c r="L88" s="58"/>
      <c r="M88" s="58"/>
      <c r="N88" s="58"/>
      <c r="O88" s="58"/>
      <c r="P88" s="74"/>
      <c r="Q88" s="75"/>
    </row>
    <row r="89" spans="1:19">
      <c r="A89" s="2" t="str">
        <f t="shared" ca="1" si="4"/>
        <v xml:space="preserve"> </v>
      </c>
      <c r="B89" s="3"/>
      <c r="C89" s="12"/>
      <c r="D89" s="3"/>
      <c r="E89" s="3"/>
      <c r="F89" s="3"/>
      <c r="G89" s="58"/>
      <c r="H89" s="58"/>
      <c r="I89" s="23"/>
      <c r="J89" s="13" t="str">
        <f t="shared" si="3"/>
        <v/>
      </c>
      <c r="K89" s="58"/>
      <c r="L89" s="58"/>
      <c r="M89" s="58"/>
      <c r="N89" s="58"/>
      <c r="O89" s="58"/>
      <c r="P89" s="74"/>
      <c r="Q89" s="75"/>
    </row>
    <row r="90" spans="1:19">
      <c r="A90" s="2" t="str">
        <f t="shared" ca="1" si="4"/>
        <v xml:space="preserve"> </v>
      </c>
      <c r="B90" s="3"/>
      <c r="C90" s="12"/>
      <c r="D90" s="3"/>
      <c r="E90" s="3"/>
      <c r="F90" s="3"/>
      <c r="G90" s="58"/>
      <c r="H90" s="58"/>
      <c r="I90" s="23"/>
      <c r="J90" s="13" t="str">
        <f t="shared" si="3"/>
        <v/>
      </c>
      <c r="K90" s="58"/>
      <c r="L90" s="58"/>
      <c r="M90" s="58"/>
      <c r="N90" s="58"/>
      <c r="O90" s="58"/>
      <c r="P90" s="74"/>
      <c r="Q90" s="75"/>
    </row>
    <row r="91" spans="1:19">
      <c r="A91" s="2" t="str">
        <f t="shared" ca="1" si="4"/>
        <v xml:space="preserve"> </v>
      </c>
      <c r="B91" s="3"/>
      <c r="C91" s="12"/>
      <c r="D91" s="3"/>
      <c r="E91" s="3"/>
      <c r="F91" s="3"/>
      <c r="G91" s="58"/>
      <c r="H91" s="58"/>
      <c r="I91" s="23"/>
      <c r="J91" s="13" t="str">
        <f t="shared" si="3"/>
        <v/>
      </c>
      <c r="K91" s="58"/>
      <c r="L91" s="58"/>
      <c r="M91" s="58"/>
      <c r="N91" s="58"/>
      <c r="O91" s="58"/>
      <c r="P91" s="76"/>
      <c r="Q91" s="77"/>
    </row>
    <row r="92" spans="1:19">
      <c r="A92" s="2" t="str">
        <f t="shared" ca="1" si="4"/>
        <v xml:space="preserve"> </v>
      </c>
    </row>
    <row r="93" spans="1:19">
      <c r="A93" s="2" t="str">
        <f t="shared" ca="1" si="4"/>
        <v xml:space="preserve">Insulating Materials </v>
      </c>
      <c r="B93" s="42" t="s">
        <v>193</v>
      </c>
      <c r="C93" s="42"/>
      <c r="D93" s="42"/>
      <c r="E93" s="42"/>
      <c r="F93" s="42"/>
      <c r="G93" s="42"/>
      <c r="H93" s="42"/>
      <c r="I93" s="42"/>
      <c r="J93" s="42"/>
      <c r="K93" s="24"/>
      <c r="L93" s="13" t="str">
        <f>IF(COUNTIF(L95:L104, "="&amp;IncompleteText), IncompleteText, IF(COUNTIF(L95:L104, "="&amp;ErrorText), ErrorText, OKText))</f>
        <v>OK</v>
      </c>
    </row>
    <row r="94" spans="1:19" ht="45">
      <c r="A94" s="2" t="str">
        <f t="shared" ca="1" si="4"/>
        <v>Manufacturer Part Number</v>
      </c>
      <c r="B94" t="s">
        <v>51</v>
      </c>
      <c r="C94" s="18" t="s">
        <v>52</v>
      </c>
      <c r="D94" s="18" t="s">
        <v>194</v>
      </c>
      <c r="E94" s="18" t="s">
        <v>195</v>
      </c>
      <c r="F94" s="18" t="s">
        <v>196</v>
      </c>
      <c r="G94" s="18" t="s">
        <v>56</v>
      </c>
      <c r="H94" s="19" t="s">
        <v>197</v>
      </c>
      <c r="I94" s="63" t="s">
        <v>45</v>
      </c>
      <c r="J94" s="63"/>
      <c r="K94" s="18" t="s">
        <v>57</v>
      </c>
      <c r="L94" s="26"/>
      <c r="M94" s="67" t="s">
        <v>20</v>
      </c>
      <c r="N94" s="67"/>
      <c r="O94" s="67"/>
      <c r="P94" s="67"/>
      <c r="Q94" s="67"/>
      <c r="R94" s="78" t="s">
        <v>58</v>
      </c>
      <c r="S94" s="79"/>
    </row>
    <row r="95" spans="1:19">
      <c r="A95" s="2" t="str">
        <f t="shared" ca="1" si="4"/>
        <v>DuPont 845</v>
      </c>
      <c r="B95" s="12" t="s">
        <v>198</v>
      </c>
      <c r="C95" s="12" t="s">
        <v>199</v>
      </c>
      <c r="D95" s="22">
        <v>0.25</v>
      </c>
      <c r="E95" s="22">
        <v>33000</v>
      </c>
      <c r="F95" s="1">
        <f t="shared" ref="F95:F104" si="5">IF(OR(ISBLANK(D95),ISBLANK(E95)), "", D95*E95)</f>
        <v>8250</v>
      </c>
      <c r="G95" s="22">
        <v>400</v>
      </c>
      <c r="H95" s="12" t="s">
        <v>200</v>
      </c>
      <c r="I95" s="58" t="s">
        <v>201</v>
      </c>
      <c r="J95" s="58"/>
      <c r="K95" s="23" t="s">
        <v>202</v>
      </c>
      <c r="L95" s="13" t="str">
        <f>IF(COUNTBLANK(B95:K95)=10,IncompleteText,IF(AND(COUNTBLANK(B95:K95)=1,G95&gt;=90),OKText,ErrorText))</f>
        <v>OK</v>
      </c>
      <c r="M95" s="58" t="s">
        <v>203</v>
      </c>
      <c r="N95" s="58"/>
      <c r="O95" s="58"/>
      <c r="P95" s="58"/>
      <c r="Q95" s="58"/>
      <c r="R95" s="72" t="s">
        <v>204</v>
      </c>
      <c r="S95" s="73"/>
    </row>
    <row r="96" spans="1:19">
      <c r="A96" s="2" t="str">
        <f t="shared" ca="1" si="4"/>
        <v xml:space="preserve"> </v>
      </c>
      <c r="B96" s="3"/>
      <c r="C96" s="12"/>
      <c r="D96" s="22"/>
      <c r="E96" s="22"/>
      <c r="F96" s="1" t="str">
        <f t="shared" si="5"/>
        <v/>
      </c>
      <c r="G96" s="22"/>
      <c r="H96" s="12"/>
      <c r="I96" s="58"/>
      <c r="J96" s="58"/>
      <c r="K96" s="23"/>
      <c r="L96" s="13" t="str">
        <f t="shared" ref="L96:L104" si="6">IF(COUNTBLANK(B96:K96)=10,"",IF(AND(COUNTBLANK(B96:K96)=1,G96&gt;=90),OKText,ErrorText))</f>
        <v/>
      </c>
      <c r="M96" s="58"/>
      <c r="N96" s="58"/>
      <c r="O96" s="58"/>
      <c r="P96" s="58"/>
      <c r="Q96" s="58"/>
      <c r="R96" s="74"/>
      <c r="S96" s="75"/>
    </row>
    <row r="97" spans="1:19">
      <c r="A97" s="2" t="str">
        <f t="shared" ca="1" si="4"/>
        <v xml:space="preserve"> </v>
      </c>
      <c r="B97" s="3"/>
      <c r="C97" s="12"/>
      <c r="D97" s="22"/>
      <c r="E97" s="22"/>
      <c r="F97" s="1" t="str">
        <f t="shared" si="5"/>
        <v/>
      </c>
      <c r="G97" s="22"/>
      <c r="H97" s="12"/>
      <c r="I97" s="58"/>
      <c r="J97" s="58"/>
      <c r="K97" s="23"/>
      <c r="L97" s="13" t="str">
        <f t="shared" si="6"/>
        <v/>
      </c>
      <c r="M97" s="58"/>
      <c r="N97" s="58"/>
      <c r="O97" s="58"/>
      <c r="P97" s="58"/>
      <c r="Q97" s="58"/>
      <c r="R97" s="74"/>
      <c r="S97" s="75"/>
    </row>
    <row r="98" spans="1:19">
      <c r="A98" s="2" t="str">
        <f t="shared" ca="1" si="4"/>
        <v xml:space="preserve"> </v>
      </c>
      <c r="B98" s="3"/>
      <c r="C98" s="12"/>
      <c r="D98" s="22"/>
      <c r="E98" s="22"/>
      <c r="F98" s="1" t="str">
        <f t="shared" si="5"/>
        <v/>
      </c>
      <c r="G98" s="22"/>
      <c r="H98" s="12"/>
      <c r="I98" s="58"/>
      <c r="J98" s="58"/>
      <c r="K98" s="23"/>
      <c r="L98" s="13" t="str">
        <f t="shared" si="6"/>
        <v/>
      </c>
      <c r="M98" s="58"/>
      <c r="N98" s="58"/>
      <c r="O98" s="58"/>
      <c r="P98" s="58"/>
      <c r="Q98" s="58"/>
      <c r="R98" s="74"/>
      <c r="S98" s="75"/>
    </row>
    <row r="99" spans="1:19">
      <c r="A99" s="2" t="str">
        <f t="shared" ca="1" si="4"/>
        <v xml:space="preserve"> </v>
      </c>
      <c r="B99" s="3"/>
      <c r="C99" s="12"/>
      <c r="D99" s="22"/>
      <c r="E99" s="22"/>
      <c r="F99" s="1" t="str">
        <f t="shared" si="5"/>
        <v/>
      </c>
      <c r="G99" s="22"/>
      <c r="H99" s="12"/>
      <c r="I99" s="58"/>
      <c r="J99" s="58"/>
      <c r="K99" s="23"/>
      <c r="L99" s="13" t="str">
        <f t="shared" si="6"/>
        <v/>
      </c>
      <c r="M99" s="58"/>
      <c r="N99" s="58"/>
      <c r="O99" s="58"/>
      <c r="P99" s="58"/>
      <c r="Q99" s="58"/>
      <c r="R99" s="74"/>
      <c r="S99" s="75"/>
    </row>
    <row r="100" spans="1:19">
      <c r="A100" s="2" t="str">
        <f t="shared" ca="1" si="4"/>
        <v xml:space="preserve"> </v>
      </c>
      <c r="B100" s="3"/>
      <c r="C100" s="12"/>
      <c r="D100" s="22"/>
      <c r="E100" s="22"/>
      <c r="F100" s="1" t="str">
        <f t="shared" si="5"/>
        <v/>
      </c>
      <c r="G100" s="22"/>
      <c r="H100" s="12"/>
      <c r="I100" s="58"/>
      <c r="J100" s="58"/>
      <c r="K100" s="23"/>
      <c r="L100" s="13" t="str">
        <f t="shared" si="6"/>
        <v/>
      </c>
      <c r="M100" s="58"/>
      <c r="N100" s="58"/>
      <c r="O100" s="58"/>
      <c r="P100" s="58"/>
      <c r="Q100" s="58"/>
      <c r="R100" s="74"/>
      <c r="S100" s="75"/>
    </row>
    <row r="101" spans="1:19">
      <c r="A101" s="2" t="str">
        <f t="shared" ca="1" si="4"/>
        <v xml:space="preserve"> </v>
      </c>
      <c r="B101" s="3"/>
      <c r="C101" s="12"/>
      <c r="D101" s="22"/>
      <c r="E101" s="22"/>
      <c r="F101" s="1" t="str">
        <f t="shared" si="5"/>
        <v/>
      </c>
      <c r="G101" s="22"/>
      <c r="H101" s="12"/>
      <c r="I101" s="58"/>
      <c r="J101" s="58"/>
      <c r="K101" s="23"/>
      <c r="L101" s="13" t="str">
        <f t="shared" si="6"/>
        <v/>
      </c>
      <c r="M101" s="58"/>
      <c r="N101" s="58"/>
      <c r="O101" s="58"/>
      <c r="P101" s="58"/>
      <c r="Q101" s="58"/>
      <c r="R101" s="74"/>
      <c r="S101" s="75"/>
    </row>
    <row r="102" spans="1:19">
      <c r="A102" s="2" t="str">
        <f t="shared" ca="1" si="4"/>
        <v xml:space="preserve"> </v>
      </c>
      <c r="B102" s="3"/>
      <c r="C102" s="12"/>
      <c r="D102" s="22"/>
      <c r="E102" s="22"/>
      <c r="F102" s="1" t="str">
        <f t="shared" si="5"/>
        <v/>
      </c>
      <c r="G102" s="22"/>
      <c r="H102" s="12"/>
      <c r="I102" s="58"/>
      <c r="J102" s="58"/>
      <c r="K102" s="23"/>
      <c r="L102" s="13" t="str">
        <f t="shared" si="6"/>
        <v/>
      </c>
      <c r="M102" s="58"/>
      <c r="N102" s="58"/>
      <c r="O102" s="58"/>
      <c r="P102" s="58"/>
      <c r="Q102" s="58"/>
      <c r="R102" s="74"/>
      <c r="S102" s="75"/>
    </row>
    <row r="103" spans="1:19">
      <c r="A103" s="2" t="str">
        <f t="shared" ca="1" si="4"/>
        <v xml:space="preserve"> </v>
      </c>
      <c r="B103" s="3"/>
      <c r="C103" s="12"/>
      <c r="D103" s="22"/>
      <c r="E103" s="22"/>
      <c r="F103" s="1" t="str">
        <f t="shared" si="5"/>
        <v/>
      </c>
      <c r="G103" s="22"/>
      <c r="H103" s="12"/>
      <c r="I103" s="58"/>
      <c r="J103" s="58"/>
      <c r="K103" s="23"/>
      <c r="L103" s="13" t="str">
        <f t="shared" si="6"/>
        <v/>
      </c>
      <c r="M103" s="58"/>
      <c r="N103" s="58"/>
      <c r="O103" s="58"/>
      <c r="P103" s="58"/>
      <c r="Q103" s="58"/>
      <c r="R103" s="74"/>
      <c r="S103" s="75"/>
    </row>
    <row r="104" spans="1:19">
      <c r="A104" s="2" t="str">
        <f t="shared" ca="1" si="4"/>
        <v xml:space="preserve"> </v>
      </c>
      <c r="B104" s="3"/>
      <c r="C104" s="12"/>
      <c r="D104" s="22"/>
      <c r="E104" s="22"/>
      <c r="F104" s="1" t="str">
        <f t="shared" si="5"/>
        <v/>
      </c>
      <c r="G104" s="22"/>
      <c r="H104" s="12"/>
      <c r="I104" s="58"/>
      <c r="J104" s="58"/>
      <c r="K104" s="23"/>
      <c r="L104" s="13" t="str">
        <f t="shared" si="6"/>
        <v/>
      </c>
      <c r="M104" s="58"/>
      <c r="N104" s="58"/>
      <c r="O104" s="58"/>
      <c r="P104" s="58"/>
      <c r="Q104" s="58"/>
      <c r="R104" s="76"/>
      <c r="S104" s="77"/>
    </row>
  </sheetData>
  <sheetProtection algorithmName="SHA-512" hashValue="EtxnnnzQIFsME74aAl17lHffQ8Bg2lDxxGr+xq3pK64/V1zJt7dwFtvY+9hy2wXUMBCEnzKTs9UJZ/rvmLaT3A==" saltValue="nlSLKLTkv52WIGE7Zb0miw==" spinCount="100000" sheet="1" scenarios="1" insertHyperlinks="0"/>
  <mergeCells count="199">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s>
  <dataValidations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H19" r:id="rId1" xr:uid="{A81996BE-EF57-4610-918D-2104C934C2F7}"/>
    <hyperlink ref="H22" r:id="rId2" xr:uid="{774ED2DD-C78A-4414-A50C-93085727D10D}"/>
    <hyperlink ref="H23" r:id="rId3" xr:uid="{E3020ABF-9E24-4118-AB69-180B3044F590}"/>
    <hyperlink ref="H24" r:id="rId4" xr:uid="{CC9371AE-51FB-491F-A4A6-4C8463BCC85E}"/>
    <hyperlink ref="H25" r:id="rId5" xr:uid="{5433972F-7B1B-49B3-B87A-C4744B0E1980}"/>
    <hyperlink ref="H26" r:id="rId6" xr:uid="{134E37EE-EE7D-4954-A539-56FD7DB3A8C7}"/>
    <hyperlink ref="H27" r:id="rId7" xr:uid="{3DF43D94-F3F6-452C-A13C-17D01EAF6927}"/>
    <hyperlink ref="H28" r:id="rId8" xr:uid="{370AFA42-540A-4644-BD13-2A17AA610420}"/>
    <hyperlink ref="H41" r:id="rId9" xr:uid="{DE1E5F00-767B-4D2A-9714-DDC1DD563192}"/>
    <hyperlink ref="H42" r:id="rId10" xr:uid="{8646716C-E310-47F1-8833-6C043832032A}"/>
    <hyperlink ref="H43" r:id="rId11" xr:uid="{18CB4D91-CF42-4401-95EE-4F43420ADF6E}"/>
    <hyperlink ref="H44:I44" r:id="rId12" display="https://www.belfuse.com/resources/datasheets/circuitprotection/ds-CP-0ADG-series.pdf" xr:uid="{DAEC4106-F4D6-4994-AE8C-88FF8FD7F042}"/>
    <hyperlink ref="H45" r:id="rId13" xr:uid="{5E32485D-5875-412E-A9F6-10A725E3388E}"/>
    <hyperlink ref="K56:L56" r:id="rId14" display="https://www.ohmite.com/assets/docs/res_200.pdf?r=false" xr:uid="{F204136C-D5CA-4028-B85E-1BD9AD33F5D1}"/>
    <hyperlink ref="K57:L57" r:id="rId15" display="https://www.ohmite.com/assets/docs/res_tdh50.pdf?r=false_x0009_" xr:uid="{300D2EEF-4695-40B3-8ECD-E684E3801BD0}"/>
    <hyperlink ref="K58:L58" r:id="rId16" display="https://www.te.com/commerce/DocumentDelivery/DDEController?Action=srchrtrv&amp;DocNm=1773195&amp;DocType=DS&amp;DocLang=English" xr:uid="{C3840E2E-D8C0-42F6-9238-67935060B9B1}"/>
    <hyperlink ref="K58" r:id="rId17" xr:uid="{25635853-96BF-4A54-8B44-B50D433A41F2}"/>
    <hyperlink ref="H65" r:id="rId18" xr:uid="{527D9251-2406-41F6-B199-7E567DCEA600}"/>
    <hyperlink ref="H67" r:id="rId19" xr:uid="{DA98B4D3-7F8B-471B-8113-88E71B3A68BD}"/>
    <hyperlink ref="H66" r:id="rId20" xr:uid="{CC1740FF-6413-401E-A457-39FBB085CD0E}"/>
    <hyperlink ref="H68" r:id="rId21" xr:uid="{CAD71A65-2DEF-4B6D-9325-BD13F21DAA9F}"/>
    <hyperlink ref="D13" r:id="rId22" xr:uid="{1FCFE4DC-2D2D-4957-B799-A16BF7BEB7BA}"/>
    <hyperlink ref="D14" r:id="rId23" xr:uid="{01C9D9F5-AADF-4614-8108-A28FFFDA3A8B}"/>
    <hyperlink ref="I95" r:id="rId24" xr:uid="{37C681F2-16A0-421A-90FF-427637150435}"/>
    <hyperlink ref="H46" r:id="rId25" xr:uid="{61DDEB45-18D2-4AE0-B2C9-566E9133F55B}"/>
    <hyperlink ref="K57" r:id="rId26" xr:uid="{F835C700-8544-42F5-ABCB-35A929DE5C05}"/>
    <hyperlink ref="G75" r:id="rId27" xr:uid="{42485BE6-022A-4CE4-AA90-6D3884D67CA1}"/>
    <hyperlink ref="G82" r:id="rId28" xr:uid="{36B23D68-DD0A-4950-8877-E0162E426846}"/>
    <hyperlink ref="G81" r:id="rId29" xr:uid="{F18D6F80-1643-46CC-B5C2-23639D18064C}"/>
    <hyperlink ref="G80" r:id="rId30" xr:uid="{3192EA07-DFD8-4B6B-A543-B11AF603AA6F}"/>
    <hyperlink ref="G79" r:id="rId31" xr:uid="{78996C62-824D-437A-8B62-44001F844866}"/>
    <hyperlink ref="G78" r:id="rId32" xr:uid="{D444F268-1B85-45FF-86F1-B01619C52D3F}"/>
    <hyperlink ref="G74" r:id="rId33" xr:uid="{9145FA86-DA12-45CD-A3A3-BDC7630A3EE9}"/>
    <hyperlink ref="G73" r:id="rId34"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xr:uid="{A50B6E4A-3EA3-4D9D-B1EA-45C6DC8CF6F6}"/>
    <hyperlink ref="G77" r:id="rId35" xr:uid="{FCEE835A-9923-524A-84F4-6D142E2A9B8F}"/>
    <hyperlink ref="H29" r:id="rId36" xr:uid="{CAE874E2-B008-854D-95B5-C257A16A10DC}"/>
    <hyperlink ref="G83" r:id="rId37" xr:uid="{E000C5C4-188B-F145-8CEA-4A4531EFF51C}"/>
  </hyperlinks>
  <pageMargins left="0.7" right="0.7" top="0.75" bottom="0.75" header="0.3" footer="0.3"/>
  <pageSetup orientation="portrait" r:id="rId38"/>
  <headerFooter>
    <oddFooter>&amp;R&amp;1#&amp;"Calibri"&amp;10&amp;KFF0000Public</oddFooter>
  </headerFooter>
  <legacyDrawing r:id="rId3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tabSelected="1" topLeftCell="B1" zoomScale="42" zoomScaleNormal="175" workbookViewId="0">
      <pane ySplit="1" topLeftCell="A2" activePane="bottomLeft" state="frozen"/>
      <selection pane="bottomLeft" activeCell="L7" sqref="L7"/>
    </sheetView>
  </sheetViews>
  <sheetFormatPr defaultColWidth="8.69921875" defaultRowHeight="14.1"/>
  <cols>
    <col min="1" max="4" width="8.69921875" style="2"/>
    <col min="5" max="5" width="9.09765625" style="2" bestFit="1" customWidth="1"/>
    <col min="6" max="16384" width="8.69921875" style="2"/>
  </cols>
  <sheetData>
    <row r="1" spans="1:31">
      <c r="A1" s="28" t="s">
        <v>1</v>
      </c>
      <c r="B1" s="13" t="str" cm="1">
        <f t="array" aca="1" ref="B1" ca="1">IF(SUM(COUNTIF(INDIRECT({"'TS Schematics'!$K$28","'TS Schematics'!$W$28","'TS Schematics'!$K$46"}), "="&amp;IncompleteText)), IncompleteText, IF(SUM(COUNTIF(INDIRECT({"'TS Schematics'!$K$28","'TS Schematics'!$W$28","'TS Schematics'!$K$46"}), "="&amp;ErrorText)), ErrorText, OKText))</f>
        <v>OK</v>
      </c>
    </row>
    <row r="2" spans="1:31">
      <c r="A2" s="88" t="s">
        <v>205</v>
      </c>
      <c r="B2" s="88"/>
      <c r="C2" s="88"/>
      <c r="D2" s="88"/>
      <c r="E2" s="88"/>
      <c r="F2" s="88"/>
      <c r="G2" s="88"/>
      <c r="H2" s="88"/>
      <c r="I2" s="88"/>
      <c r="J2" s="88"/>
      <c r="K2" s="88"/>
      <c r="M2" s="88" t="s">
        <v>206</v>
      </c>
      <c r="N2" s="88"/>
      <c r="O2" s="88"/>
      <c r="P2" s="88"/>
      <c r="Q2" s="88"/>
      <c r="R2" s="88"/>
      <c r="S2" s="88"/>
      <c r="T2" s="88"/>
      <c r="U2" s="88"/>
      <c r="V2" s="88"/>
      <c r="W2" s="88"/>
      <c r="Y2" s="42" t="s">
        <v>20</v>
      </c>
      <c r="Z2" s="42"/>
      <c r="AA2" s="42"/>
      <c r="AB2" s="42"/>
      <c r="AC2" s="42"/>
      <c r="AD2" s="42"/>
      <c r="AE2" s="42"/>
    </row>
    <row r="3" spans="1:31">
      <c r="A3" s="88"/>
      <c r="B3" s="88"/>
      <c r="C3" s="88"/>
      <c r="D3" s="88"/>
      <c r="E3" s="88"/>
      <c r="F3" s="88"/>
      <c r="G3" s="88"/>
      <c r="H3" s="88"/>
      <c r="I3" s="88"/>
      <c r="J3" s="88"/>
      <c r="K3" s="88"/>
      <c r="M3" s="88"/>
      <c r="N3" s="88"/>
      <c r="O3" s="88"/>
      <c r="P3" s="88"/>
      <c r="Q3" s="88"/>
      <c r="R3" s="88"/>
      <c r="S3" s="88"/>
      <c r="T3" s="88"/>
      <c r="U3" s="88"/>
      <c r="V3" s="88"/>
      <c r="W3" s="88"/>
      <c r="Y3" s="49"/>
      <c r="Z3" s="49"/>
      <c r="AA3" s="49"/>
      <c r="AB3" s="49"/>
      <c r="AC3" s="49"/>
      <c r="AD3" s="49"/>
      <c r="AE3" s="49"/>
    </row>
    <row r="4" spans="1:31">
      <c r="A4" s="88"/>
      <c r="B4" s="88"/>
      <c r="C4" s="88"/>
      <c r="D4" s="88"/>
      <c r="E4" s="88"/>
      <c r="F4" s="88"/>
      <c r="G4" s="88"/>
      <c r="H4" s="88"/>
      <c r="I4" s="88"/>
      <c r="J4" s="88"/>
      <c r="K4" s="88"/>
      <c r="M4" s="88"/>
      <c r="N4" s="88"/>
      <c r="O4" s="88"/>
      <c r="P4" s="88"/>
      <c r="Q4" s="88"/>
      <c r="R4" s="88"/>
      <c r="S4" s="88"/>
      <c r="T4" s="88"/>
      <c r="U4" s="88"/>
      <c r="V4" s="88"/>
      <c r="W4" s="88"/>
      <c r="Y4" s="52"/>
      <c r="Z4" s="52"/>
      <c r="AA4" s="52"/>
      <c r="AB4" s="52"/>
      <c r="AC4" s="52"/>
      <c r="AD4" s="52"/>
      <c r="AE4" s="52"/>
    </row>
    <row r="5" spans="1:31">
      <c r="A5" s="88"/>
      <c r="B5" s="88"/>
      <c r="C5" s="88"/>
      <c r="D5" s="88"/>
      <c r="E5" s="88"/>
      <c r="F5" s="88"/>
      <c r="G5" s="88"/>
      <c r="H5" s="88"/>
      <c r="I5" s="88"/>
      <c r="J5" s="88"/>
      <c r="K5" s="88"/>
      <c r="M5" s="88"/>
      <c r="N5" s="88"/>
      <c r="O5" s="88"/>
      <c r="P5" s="88"/>
      <c r="Q5" s="88"/>
      <c r="R5" s="88"/>
      <c r="S5" s="88"/>
      <c r="T5" s="88"/>
      <c r="U5" s="88"/>
      <c r="V5" s="88"/>
      <c r="W5" s="88"/>
      <c r="Y5" s="52"/>
      <c r="Z5" s="52"/>
      <c r="AA5" s="52"/>
      <c r="AB5" s="52"/>
      <c r="AC5" s="52"/>
      <c r="AD5" s="52"/>
      <c r="AE5" s="52"/>
    </row>
    <row r="6" spans="1:31">
      <c r="A6" s="88"/>
      <c r="B6" s="88"/>
      <c r="C6" s="88"/>
      <c r="D6" s="88"/>
      <c r="E6" s="88"/>
      <c r="F6" s="88"/>
      <c r="G6" s="88"/>
      <c r="H6" s="88"/>
      <c r="I6" s="88"/>
      <c r="J6" s="88"/>
      <c r="K6" s="88"/>
      <c r="M6" s="88"/>
      <c r="N6" s="88"/>
      <c r="O6" s="88"/>
      <c r="P6" s="88"/>
      <c r="Q6" s="88"/>
      <c r="R6" s="88"/>
      <c r="S6" s="88"/>
      <c r="T6" s="88"/>
      <c r="U6" s="88"/>
      <c r="V6" s="88"/>
      <c r="W6" s="88"/>
      <c r="Y6" s="52"/>
      <c r="Z6" s="52"/>
      <c r="AA6" s="52"/>
      <c r="AB6" s="52"/>
      <c r="AC6" s="52"/>
      <c r="AD6" s="52"/>
      <c r="AE6" s="52"/>
    </row>
    <row r="7" spans="1:31">
      <c r="A7" s="88"/>
      <c r="B7" s="88"/>
      <c r="C7" s="88"/>
      <c r="D7" s="88"/>
      <c r="E7" s="88"/>
      <c r="F7" s="88"/>
      <c r="G7" s="88"/>
      <c r="H7" s="88"/>
      <c r="I7" s="88"/>
      <c r="J7" s="88"/>
      <c r="K7" s="88"/>
      <c r="M7" s="88"/>
      <c r="N7" s="88"/>
      <c r="O7" s="88"/>
      <c r="P7" s="88"/>
      <c r="Q7" s="88"/>
      <c r="R7" s="88"/>
      <c r="S7" s="88"/>
      <c r="T7" s="88"/>
      <c r="U7" s="88"/>
      <c r="V7" s="88"/>
      <c r="W7" s="88"/>
      <c r="Y7" s="52"/>
      <c r="Z7" s="52"/>
      <c r="AA7" s="52"/>
      <c r="AB7" s="52"/>
      <c r="AC7" s="52"/>
      <c r="AD7" s="52"/>
      <c r="AE7" s="52"/>
    </row>
    <row r="8" spans="1:31">
      <c r="A8" s="88"/>
      <c r="B8" s="88"/>
      <c r="C8" s="88"/>
      <c r="D8" s="88"/>
      <c r="E8" s="88"/>
      <c r="F8" s="88"/>
      <c r="G8" s="88"/>
      <c r="H8" s="88"/>
      <c r="I8" s="88"/>
      <c r="J8" s="88"/>
      <c r="K8" s="88"/>
      <c r="M8" s="88"/>
      <c r="N8" s="88"/>
      <c r="O8" s="88"/>
      <c r="P8" s="88"/>
      <c r="Q8" s="88"/>
      <c r="R8" s="88"/>
      <c r="S8" s="88"/>
      <c r="T8" s="88"/>
      <c r="U8" s="88"/>
      <c r="V8" s="88"/>
      <c r="W8" s="88"/>
      <c r="Y8" s="52"/>
      <c r="Z8" s="52"/>
      <c r="AA8" s="52"/>
      <c r="AB8" s="52"/>
      <c r="AC8" s="52"/>
      <c r="AD8" s="52"/>
      <c r="AE8" s="52"/>
    </row>
    <row r="9" spans="1:31">
      <c r="A9" s="88"/>
      <c r="B9" s="88"/>
      <c r="C9" s="88"/>
      <c r="D9" s="88"/>
      <c r="E9" s="88"/>
      <c r="F9" s="88"/>
      <c r="G9" s="88"/>
      <c r="H9" s="88"/>
      <c r="I9" s="88"/>
      <c r="J9" s="88"/>
      <c r="K9" s="88"/>
      <c r="M9" s="88"/>
      <c r="N9" s="88"/>
      <c r="O9" s="88"/>
      <c r="P9" s="88"/>
      <c r="Q9" s="88"/>
      <c r="R9" s="88"/>
      <c r="S9" s="88"/>
      <c r="T9" s="88"/>
      <c r="U9" s="88"/>
      <c r="V9" s="88"/>
      <c r="W9" s="88"/>
      <c r="Y9" s="52"/>
      <c r="Z9" s="52"/>
      <c r="AA9" s="52"/>
      <c r="AB9" s="52"/>
      <c r="AC9" s="52"/>
      <c r="AD9" s="52"/>
      <c r="AE9" s="52"/>
    </row>
    <row r="10" spans="1:31">
      <c r="A10" s="88"/>
      <c r="B10" s="88"/>
      <c r="C10" s="88"/>
      <c r="D10" s="88"/>
      <c r="E10" s="88"/>
      <c r="F10" s="88"/>
      <c r="G10" s="88"/>
      <c r="H10" s="88"/>
      <c r="I10" s="88"/>
      <c r="J10" s="88"/>
      <c r="K10" s="88"/>
      <c r="M10" s="88"/>
      <c r="N10" s="88"/>
      <c r="O10" s="88"/>
      <c r="P10" s="88"/>
      <c r="Q10" s="88"/>
      <c r="R10" s="88"/>
      <c r="S10" s="88"/>
      <c r="T10" s="88"/>
      <c r="U10" s="88"/>
      <c r="V10" s="88"/>
      <c r="W10" s="88"/>
      <c r="Y10" s="52"/>
      <c r="Z10" s="52"/>
      <c r="AA10" s="52"/>
      <c r="AB10" s="52"/>
      <c r="AC10" s="52"/>
      <c r="AD10" s="52"/>
      <c r="AE10" s="52"/>
    </row>
    <row r="11" spans="1:31">
      <c r="A11" s="88"/>
      <c r="B11" s="88"/>
      <c r="C11" s="88"/>
      <c r="D11" s="88"/>
      <c r="E11" s="88"/>
      <c r="F11" s="88"/>
      <c r="G11" s="88"/>
      <c r="H11" s="88"/>
      <c r="I11" s="88"/>
      <c r="J11" s="88"/>
      <c r="K11" s="88"/>
      <c r="M11" s="88"/>
      <c r="N11" s="88"/>
      <c r="O11" s="88"/>
      <c r="P11" s="88"/>
      <c r="Q11" s="88"/>
      <c r="R11" s="88"/>
      <c r="S11" s="88"/>
      <c r="T11" s="88"/>
      <c r="U11" s="88"/>
      <c r="V11" s="88"/>
      <c r="W11" s="88"/>
      <c r="Y11" s="52"/>
      <c r="Z11" s="52"/>
      <c r="AA11" s="52"/>
      <c r="AB11" s="52"/>
      <c r="AC11" s="52"/>
      <c r="AD11" s="52"/>
      <c r="AE11" s="52"/>
    </row>
    <row r="12" spans="1:31">
      <c r="A12" s="88"/>
      <c r="B12" s="88"/>
      <c r="C12" s="88"/>
      <c r="D12" s="88"/>
      <c r="E12" s="88"/>
      <c r="F12" s="88"/>
      <c r="G12" s="88"/>
      <c r="H12" s="88"/>
      <c r="I12" s="88"/>
      <c r="J12" s="88"/>
      <c r="K12" s="88"/>
      <c r="M12" s="88"/>
      <c r="N12" s="88"/>
      <c r="O12" s="88"/>
      <c r="P12" s="88"/>
      <c r="Q12" s="88"/>
      <c r="R12" s="88"/>
      <c r="S12" s="88"/>
      <c r="T12" s="88"/>
      <c r="U12" s="88"/>
      <c r="V12" s="88"/>
      <c r="W12" s="88"/>
      <c r="Y12" s="52"/>
      <c r="Z12" s="52"/>
      <c r="AA12" s="52"/>
      <c r="AB12" s="52"/>
      <c r="AC12" s="52"/>
      <c r="AD12" s="52"/>
      <c r="AE12" s="52"/>
    </row>
    <row r="13" spans="1:31">
      <c r="A13" s="88"/>
      <c r="B13" s="88"/>
      <c r="C13" s="88"/>
      <c r="D13" s="88"/>
      <c r="E13" s="88"/>
      <c r="F13" s="88"/>
      <c r="G13" s="88"/>
      <c r="H13" s="88"/>
      <c r="I13" s="88"/>
      <c r="J13" s="88"/>
      <c r="K13" s="88"/>
      <c r="M13" s="88"/>
      <c r="N13" s="88"/>
      <c r="O13" s="88"/>
      <c r="P13" s="88"/>
      <c r="Q13" s="88"/>
      <c r="R13" s="88"/>
      <c r="S13" s="88"/>
      <c r="T13" s="88"/>
      <c r="U13" s="88"/>
      <c r="V13" s="88"/>
      <c r="W13" s="88"/>
      <c r="Y13" s="52"/>
      <c r="Z13" s="52"/>
      <c r="AA13" s="52"/>
      <c r="AB13" s="52"/>
      <c r="AC13" s="52"/>
      <c r="AD13" s="52"/>
      <c r="AE13" s="52"/>
    </row>
    <row r="14" spans="1:31">
      <c r="A14" s="88"/>
      <c r="B14" s="88"/>
      <c r="C14" s="88"/>
      <c r="D14" s="88"/>
      <c r="E14" s="88"/>
      <c r="F14" s="88"/>
      <c r="G14" s="88"/>
      <c r="H14" s="88"/>
      <c r="I14" s="88"/>
      <c r="J14" s="88"/>
      <c r="K14" s="88"/>
      <c r="M14" s="88"/>
      <c r="N14" s="88"/>
      <c r="O14" s="88"/>
      <c r="P14" s="88"/>
      <c r="Q14" s="88"/>
      <c r="R14" s="88"/>
      <c r="S14" s="88"/>
      <c r="T14" s="88"/>
      <c r="U14" s="88"/>
      <c r="V14" s="88"/>
      <c r="W14" s="88"/>
      <c r="Y14" s="52"/>
      <c r="Z14" s="52"/>
      <c r="AA14" s="52"/>
      <c r="AB14" s="52"/>
      <c r="AC14" s="52"/>
      <c r="AD14" s="52"/>
      <c r="AE14" s="52"/>
    </row>
    <row r="15" spans="1:31">
      <c r="A15" s="88"/>
      <c r="B15" s="88"/>
      <c r="C15" s="88"/>
      <c r="D15" s="88"/>
      <c r="E15" s="88"/>
      <c r="F15" s="88"/>
      <c r="G15" s="88"/>
      <c r="H15" s="88"/>
      <c r="I15" s="88"/>
      <c r="J15" s="88"/>
      <c r="K15" s="88"/>
      <c r="M15" s="88"/>
      <c r="N15" s="88"/>
      <c r="O15" s="88"/>
      <c r="P15" s="88"/>
      <c r="Q15" s="88"/>
      <c r="R15" s="88"/>
      <c r="S15" s="88"/>
      <c r="T15" s="88"/>
      <c r="U15" s="88"/>
      <c r="V15" s="88"/>
      <c r="W15" s="88"/>
      <c r="Y15" s="52"/>
      <c r="Z15" s="52"/>
      <c r="AA15" s="52"/>
      <c r="AB15" s="52"/>
      <c r="AC15" s="52"/>
      <c r="AD15" s="52"/>
      <c r="AE15" s="52"/>
    </row>
    <row r="16" spans="1:31">
      <c r="A16" s="88"/>
      <c r="B16" s="88"/>
      <c r="C16" s="88"/>
      <c r="D16" s="88"/>
      <c r="E16" s="88"/>
      <c r="F16" s="88"/>
      <c r="G16" s="88"/>
      <c r="H16" s="88"/>
      <c r="I16" s="88"/>
      <c r="J16" s="88"/>
      <c r="K16" s="88"/>
      <c r="M16" s="88"/>
      <c r="N16" s="88"/>
      <c r="O16" s="88"/>
      <c r="P16" s="88"/>
      <c r="Q16" s="88"/>
      <c r="R16" s="88"/>
      <c r="S16" s="88"/>
      <c r="T16" s="88"/>
      <c r="U16" s="88"/>
      <c r="V16" s="88"/>
      <c r="W16" s="88"/>
      <c r="Y16" s="52"/>
      <c r="Z16" s="52"/>
      <c r="AA16" s="52"/>
      <c r="AB16" s="52"/>
      <c r="AC16" s="52"/>
      <c r="AD16" s="52"/>
      <c r="AE16" s="52"/>
    </row>
    <row r="17" spans="1:31">
      <c r="A17" s="88"/>
      <c r="B17" s="88"/>
      <c r="C17" s="88"/>
      <c r="D17" s="88"/>
      <c r="E17" s="88"/>
      <c r="F17" s="88"/>
      <c r="G17" s="88"/>
      <c r="H17" s="88"/>
      <c r="I17" s="88"/>
      <c r="J17" s="88"/>
      <c r="K17" s="88"/>
      <c r="M17" s="88"/>
      <c r="N17" s="88"/>
      <c r="O17" s="88"/>
      <c r="P17" s="88"/>
      <c r="Q17" s="88"/>
      <c r="R17" s="88"/>
      <c r="S17" s="88"/>
      <c r="T17" s="88"/>
      <c r="U17" s="88"/>
      <c r="V17" s="88"/>
      <c r="W17" s="88"/>
      <c r="Y17" s="52"/>
      <c r="Z17" s="52"/>
      <c r="AA17" s="52"/>
      <c r="AB17" s="52"/>
      <c r="AC17" s="52"/>
      <c r="AD17" s="52"/>
      <c r="AE17" s="52"/>
    </row>
    <row r="18" spans="1:31">
      <c r="A18" s="88"/>
      <c r="B18" s="88"/>
      <c r="C18" s="88"/>
      <c r="D18" s="88"/>
      <c r="E18" s="88"/>
      <c r="F18" s="88"/>
      <c r="G18" s="88"/>
      <c r="H18" s="88"/>
      <c r="I18" s="88"/>
      <c r="J18" s="88"/>
      <c r="K18" s="88"/>
      <c r="M18" s="88"/>
      <c r="N18" s="88"/>
      <c r="O18" s="88"/>
      <c r="P18" s="88"/>
      <c r="Q18" s="88"/>
      <c r="R18" s="88"/>
      <c r="S18" s="88"/>
      <c r="T18" s="88"/>
      <c r="U18" s="88"/>
      <c r="V18" s="88"/>
      <c r="W18" s="88"/>
      <c r="Y18" s="52"/>
      <c r="Z18" s="52"/>
      <c r="AA18" s="52"/>
      <c r="AB18" s="52"/>
      <c r="AC18" s="52"/>
      <c r="AD18" s="52"/>
      <c r="AE18" s="52"/>
    </row>
    <row r="19" spans="1:31">
      <c r="A19" s="88"/>
      <c r="B19" s="88"/>
      <c r="C19" s="88"/>
      <c r="D19" s="88"/>
      <c r="E19" s="88"/>
      <c r="F19" s="88"/>
      <c r="G19" s="88"/>
      <c r="H19" s="88"/>
      <c r="I19" s="88"/>
      <c r="J19" s="88"/>
      <c r="K19" s="88"/>
      <c r="M19" s="88"/>
      <c r="N19" s="88"/>
      <c r="O19" s="88"/>
      <c r="P19" s="88"/>
      <c r="Q19" s="88"/>
      <c r="R19" s="88"/>
      <c r="S19" s="88"/>
      <c r="T19" s="88"/>
      <c r="U19" s="88"/>
      <c r="V19" s="88"/>
      <c r="W19" s="88"/>
      <c r="Y19" s="52"/>
      <c r="Z19" s="52"/>
      <c r="AA19" s="52"/>
      <c r="AB19" s="52"/>
      <c r="AC19" s="52"/>
      <c r="AD19" s="52"/>
      <c r="AE19" s="52"/>
    </row>
    <row r="20" spans="1:31">
      <c r="A20" s="88"/>
      <c r="B20" s="88"/>
      <c r="C20" s="88"/>
      <c r="D20" s="88"/>
      <c r="E20" s="88"/>
      <c r="F20" s="88"/>
      <c r="G20" s="88"/>
      <c r="H20" s="88"/>
      <c r="I20" s="88"/>
      <c r="J20" s="88"/>
      <c r="K20" s="88"/>
      <c r="M20" s="88"/>
      <c r="N20" s="88"/>
      <c r="O20" s="88"/>
      <c r="P20" s="88"/>
      <c r="Q20" s="88"/>
      <c r="R20" s="88"/>
      <c r="S20" s="88"/>
      <c r="T20" s="88"/>
      <c r="U20" s="88"/>
      <c r="V20" s="88"/>
      <c r="W20" s="88"/>
      <c r="Y20" s="52"/>
      <c r="Z20" s="52"/>
      <c r="AA20" s="52"/>
      <c r="AB20" s="52"/>
      <c r="AC20" s="52"/>
      <c r="AD20" s="52"/>
      <c r="AE20" s="52"/>
    </row>
    <row r="21" spans="1:31">
      <c r="A21" s="88"/>
      <c r="B21" s="88"/>
      <c r="C21" s="88"/>
      <c r="D21" s="88"/>
      <c r="E21" s="88"/>
      <c r="F21" s="88"/>
      <c r="G21" s="88"/>
      <c r="H21" s="88"/>
      <c r="I21" s="88"/>
      <c r="J21" s="88"/>
      <c r="K21" s="88"/>
      <c r="M21" s="88"/>
      <c r="N21" s="88"/>
      <c r="O21" s="88"/>
      <c r="P21" s="88"/>
      <c r="Q21" s="88"/>
      <c r="R21" s="88"/>
      <c r="S21" s="88"/>
      <c r="T21" s="88"/>
      <c r="U21" s="88"/>
      <c r="V21" s="88"/>
      <c r="W21" s="88"/>
      <c r="Y21" s="52"/>
      <c r="Z21" s="52"/>
      <c r="AA21" s="52"/>
      <c r="AB21" s="52"/>
      <c r="AC21" s="52"/>
      <c r="AD21" s="52"/>
      <c r="AE21" s="52"/>
    </row>
    <row r="22" spans="1:31">
      <c r="A22" s="88"/>
      <c r="B22" s="88"/>
      <c r="C22" s="88"/>
      <c r="D22" s="88"/>
      <c r="E22" s="88"/>
      <c r="F22" s="88"/>
      <c r="G22" s="88"/>
      <c r="H22" s="88"/>
      <c r="I22" s="88"/>
      <c r="J22" s="88"/>
      <c r="K22" s="88"/>
      <c r="M22" s="88"/>
      <c r="N22" s="88"/>
      <c r="O22" s="88"/>
      <c r="P22" s="88"/>
      <c r="Q22" s="88"/>
      <c r="R22" s="88"/>
      <c r="S22" s="88"/>
      <c r="T22" s="88"/>
      <c r="U22" s="88"/>
      <c r="V22" s="88"/>
      <c r="W22" s="88"/>
      <c r="Y22" s="52"/>
      <c r="Z22" s="52"/>
      <c r="AA22" s="52"/>
      <c r="AB22" s="52"/>
      <c r="AC22" s="52"/>
      <c r="AD22" s="52"/>
      <c r="AE22" s="52"/>
    </row>
    <row r="23" spans="1:31">
      <c r="A23" s="88"/>
      <c r="B23" s="88"/>
      <c r="C23" s="88"/>
      <c r="D23" s="88"/>
      <c r="E23" s="88"/>
      <c r="F23" s="88"/>
      <c r="G23" s="88"/>
      <c r="H23" s="88"/>
      <c r="I23" s="88"/>
      <c r="J23" s="88"/>
      <c r="K23" s="88"/>
      <c r="M23" s="88"/>
      <c r="N23" s="88"/>
      <c r="O23" s="88"/>
      <c r="P23" s="88"/>
      <c r="Q23" s="88"/>
      <c r="R23" s="88"/>
      <c r="S23" s="88"/>
      <c r="T23" s="88"/>
      <c r="U23" s="88"/>
      <c r="V23" s="88"/>
      <c r="W23" s="88"/>
      <c r="Y23" s="52"/>
      <c r="Z23" s="52"/>
      <c r="AA23" s="52"/>
      <c r="AB23" s="52"/>
      <c r="AC23" s="52"/>
      <c r="AD23" s="52"/>
      <c r="AE23" s="52"/>
    </row>
    <row r="24" spans="1:31">
      <c r="A24" s="88"/>
      <c r="B24" s="88"/>
      <c r="C24" s="88"/>
      <c r="D24" s="88"/>
      <c r="E24" s="88"/>
      <c r="F24" s="88"/>
      <c r="G24" s="88"/>
      <c r="H24" s="88"/>
      <c r="I24" s="88"/>
      <c r="J24" s="88"/>
      <c r="K24" s="88"/>
      <c r="M24" s="88"/>
      <c r="N24" s="88"/>
      <c r="O24" s="88"/>
      <c r="P24" s="88"/>
      <c r="Q24" s="88"/>
      <c r="R24" s="88"/>
      <c r="S24" s="88"/>
      <c r="T24" s="88"/>
      <c r="U24" s="88"/>
      <c r="V24" s="88"/>
      <c r="W24" s="88"/>
      <c r="Y24" s="52"/>
      <c r="Z24" s="52"/>
      <c r="AA24" s="52"/>
      <c r="AB24" s="52"/>
      <c r="AC24" s="52"/>
      <c r="AD24" s="52"/>
      <c r="AE24" s="52"/>
    </row>
    <row r="25" spans="1:31">
      <c r="A25" s="88"/>
      <c r="B25" s="88"/>
      <c r="C25" s="88"/>
      <c r="D25" s="88"/>
      <c r="E25" s="88"/>
      <c r="F25" s="88"/>
      <c r="G25" s="88"/>
      <c r="H25" s="88"/>
      <c r="I25" s="88"/>
      <c r="J25" s="88"/>
      <c r="K25" s="88"/>
      <c r="M25" s="88"/>
      <c r="N25" s="88"/>
      <c r="O25" s="88"/>
      <c r="P25" s="88"/>
      <c r="Q25" s="88"/>
      <c r="R25" s="88"/>
      <c r="S25" s="88"/>
      <c r="T25" s="88"/>
      <c r="U25" s="88"/>
      <c r="V25" s="88"/>
      <c r="W25" s="88"/>
      <c r="Y25" s="52"/>
      <c r="Z25" s="52"/>
      <c r="AA25" s="52"/>
      <c r="AB25" s="52"/>
      <c r="AC25" s="52"/>
      <c r="AD25" s="52"/>
      <c r="AE25" s="52"/>
    </row>
    <row r="26" spans="1:31">
      <c r="A26" s="88"/>
      <c r="B26" s="88"/>
      <c r="C26" s="88"/>
      <c r="D26" s="88"/>
      <c r="E26" s="88"/>
      <c r="F26" s="88"/>
      <c r="G26" s="88"/>
      <c r="H26" s="88"/>
      <c r="I26" s="88"/>
      <c r="J26" s="88"/>
      <c r="K26" s="88"/>
      <c r="M26" s="88"/>
      <c r="N26" s="88"/>
      <c r="O26" s="88"/>
      <c r="P26" s="88"/>
      <c r="Q26" s="88"/>
      <c r="R26" s="88"/>
      <c r="S26" s="88"/>
      <c r="T26" s="88"/>
      <c r="U26" s="88"/>
      <c r="V26" s="88"/>
      <c r="W26" s="88"/>
      <c r="Y26" s="52"/>
      <c r="Z26" s="52"/>
      <c r="AA26" s="52"/>
      <c r="AB26" s="52"/>
      <c r="AC26" s="52"/>
      <c r="AD26" s="52"/>
      <c r="AE26" s="52"/>
    </row>
    <row r="27" spans="1:31">
      <c r="A27" s="88"/>
      <c r="B27" s="88"/>
      <c r="C27" s="88"/>
      <c r="D27" s="88"/>
      <c r="E27" s="88"/>
      <c r="F27" s="88"/>
      <c r="G27" s="88"/>
      <c r="H27" s="88"/>
      <c r="I27" s="88"/>
      <c r="J27" s="88"/>
      <c r="K27" s="88"/>
      <c r="M27" s="88"/>
      <c r="N27" s="88"/>
      <c r="O27" s="88"/>
      <c r="P27" s="88"/>
      <c r="Q27" s="88"/>
      <c r="R27" s="88"/>
      <c r="S27" s="88"/>
      <c r="T27" s="88"/>
      <c r="U27" s="88"/>
      <c r="V27" s="88"/>
      <c r="W27" s="88"/>
      <c r="Y27" s="52"/>
      <c r="Z27" s="52"/>
      <c r="AA27" s="52"/>
      <c r="AB27" s="52"/>
      <c r="AC27" s="52"/>
      <c r="AD27" s="52"/>
      <c r="AE27" s="52"/>
    </row>
    <row r="28" spans="1:31">
      <c r="A28" s="42" t="s">
        <v>207</v>
      </c>
      <c r="B28" s="42"/>
      <c r="C28" s="42"/>
      <c r="D28" s="42"/>
      <c r="E28" s="42"/>
      <c r="F28" s="42"/>
      <c r="G28" s="42"/>
      <c r="H28" s="42"/>
      <c r="I28" s="42"/>
      <c r="J28" s="42"/>
      <c r="K28" s="81" t="str">
        <f>IF(COUNTIF(K30:K43, "="&amp;IncompleteText), IncompleteText, IF(COUNTIF(K30:K43, "="&amp;ErrorText), ErrorText, OKText))</f>
        <v>OK</v>
      </c>
      <c r="M28" s="42" t="s">
        <v>208</v>
      </c>
      <c r="N28" s="42"/>
      <c r="O28" s="42"/>
      <c r="P28" s="42"/>
      <c r="Q28" s="42"/>
      <c r="R28" s="42"/>
      <c r="S28" s="42"/>
      <c r="T28" s="42"/>
      <c r="U28" s="42"/>
      <c r="V28" s="42"/>
      <c r="W28" s="81" t="str">
        <f>IF(COUNTIF(W30:W41, "="&amp;IncompleteText), IncompleteText, IF(COUNTIF(W30:W41, "="&amp;ErrorText), ErrorText, OKText))</f>
        <v>OK</v>
      </c>
    </row>
    <row r="29" spans="1:31">
      <c r="A29" s="86" t="s">
        <v>58</v>
      </c>
      <c r="B29" s="87"/>
      <c r="C29" s="24"/>
      <c r="D29" s="24"/>
      <c r="E29" s="24"/>
      <c r="F29" s="24"/>
      <c r="G29" s="24"/>
      <c r="H29" s="24"/>
      <c r="I29" s="24"/>
      <c r="J29" s="24"/>
      <c r="K29" s="82"/>
      <c r="M29" s="83" t="s">
        <v>58</v>
      </c>
      <c r="N29" s="84"/>
      <c r="O29" s="24"/>
      <c r="P29" s="24"/>
      <c r="Q29" s="24"/>
      <c r="R29" s="24"/>
      <c r="S29" s="24"/>
      <c r="T29" s="24"/>
      <c r="U29" s="24"/>
      <c r="V29" s="24"/>
      <c r="W29" s="82"/>
    </row>
    <row r="30" spans="1:31">
      <c r="A30" s="85"/>
      <c r="B30" s="85"/>
      <c r="C30" s="64" t="s">
        <v>209</v>
      </c>
      <c r="D30" s="64"/>
      <c r="E30" s="64"/>
      <c r="F30" s="64"/>
      <c r="G30" s="64"/>
      <c r="H30" s="64"/>
      <c r="I30" s="65"/>
      <c r="J30" s="3" t="b">
        <v>1</v>
      </c>
      <c r="K30" s="13" t="str">
        <f t="shared" ref="K30:K54" si="0">IF(ISBLANK(J30),IncompleteText, IF(J30, OKText, ErrorText))</f>
        <v>OK</v>
      </c>
      <c r="M30" s="85"/>
      <c r="N30" s="85"/>
      <c r="O30" s="64" t="s">
        <v>210</v>
      </c>
      <c r="P30" s="64"/>
      <c r="Q30" s="64"/>
      <c r="R30" s="64"/>
      <c r="S30" s="64"/>
      <c r="T30" s="64"/>
      <c r="U30" s="65"/>
      <c r="V30" s="3" t="b">
        <v>1</v>
      </c>
      <c r="W30" s="13" t="str">
        <f t="shared" ref="W30:W40" si="1">IF(ISBLANK(V30),IncompleteText, IF(V30, OKText, ErrorText))</f>
        <v>OK</v>
      </c>
    </row>
    <row r="31" spans="1:31">
      <c r="A31" s="80"/>
      <c r="B31" s="80"/>
      <c r="C31" s="64" t="s">
        <v>211</v>
      </c>
      <c r="D31" s="64"/>
      <c r="E31" s="64"/>
      <c r="F31" s="64"/>
      <c r="G31" s="64"/>
      <c r="H31" s="64"/>
      <c r="I31" s="65"/>
      <c r="J31" s="3" t="b">
        <v>1</v>
      </c>
      <c r="K31" s="13" t="str">
        <f t="shared" si="0"/>
        <v>OK</v>
      </c>
      <c r="M31" s="80"/>
      <c r="N31" s="80"/>
      <c r="O31" s="64" t="s">
        <v>212</v>
      </c>
      <c r="P31" s="64"/>
      <c r="Q31" s="64"/>
      <c r="R31" s="64"/>
      <c r="S31" s="64"/>
      <c r="T31" s="64"/>
      <c r="U31" s="65"/>
      <c r="V31" s="3" t="b">
        <v>1</v>
      </c>
      <c r="W31" s="13" t="str">
        <f t="shared" si="1"/>
        <v>OK</v>
      </c>
    </row>
    <row r="32" spans="1:31">
      <c r="A32" s="80"/>
      <c r="B32" s="80"/>
      <c r="C32" s="64" t="s">
        <v>212</v>
      </c>
      <c r="D32" s="64"/>
      <c r="E32" s="64"/>
      <c r="F32" s="64"/>
      <c r="G32" s="64"/>
      <c r="H32" s="64"/>
      <c r="I32" s="65"/>
      <c r="J32" s="3" t="b">
        <v>1</v>
      </c>
      <c r="K32" s="13" t="str">
        <f t="shared" si="0"/>
        <v>OK</v>
      </c>
      <c r="M32" s="80"/>
      <c r="N32" s="80"/>
      <c r="O32" s="64" t="s">
        <v>213</v>
      </c>
      <c r="P32" s="64"/>
      <c r="Q32" s="64"/>
      <c r="R32" s="64"/>
      <c r="S32" s="64"/>
      <c r="T32" s="64"/>
      <c r="U32" s="65"/>
      <c r="V32" s="3" t="b">
        <v>1</v>
      </c>
      <c r="W32" s="13" t="str">
        <f t="shared" si="1"/>
        <v>OK</v>
      </c>
    </row>
    <row r="33" spans="1:23">
      <c r="A33" s="80"/>
      <c r="B33" s="80"/>
      <c r="C33" s="64" t="s">
        <v>213</v>
      </c>
      <c r="D33" s="64"/>
      <c r="E33" s="64"/>
      <c r="F33" s="64"/>
      <c r="G33" s="64"/>
      <c r="H33" s="64"/>
      <c r="I33" s="65"/>
      <c r="J33" s="3" t="b">
        <v>1</v>
      </c>
      <c r="K33" s="13" t="str">
        <f t="shared" si="0"/>
        <v>OK</v>
      </c>
      <c r="M33" s="80"/>
      <c r="N33" s="80"/>
      <c r="O33" s="64" t="s">
        <v>214</v>
      </c>
      <c r="P33" s="64"/>
      <c r="Q33" s="64"/>
      <c r="R33" s="64"/>
      <c r="S33" s="64"/>
      <c r="T33" s="64"/>
      <c r="U33" s="65"/>
      <c r="V33" s="3" t="b">
        <v>1</v>
      </c>
      <c r="W33" s="13" t="str">
        <f t="shared" si="1"/>
        <v>OK</v>
      </c>
    </row>
    <row r="34" spans="1:23">
      <c r="A34" s="80"/>
      <c r="B34" s="80"/>
      <c r="C34" s="64" t="s">
        <v>214</v>
      </c>
      <c r="D34" s="64"/>
      <c r="E34" s="64"/>
      <c r="F34" s="64"/>
      <c r="G34" s="64"/>
      <c r="H34" s="64"/>
      <c r="I34" s="65"/>
      <c r="J34" s="3" t="b">
        <v>1</v>
      </c>
      <c r="K34" s="13" t="str">
        <f t="shared" si="0"/>
        <v>OK</v>
      </c>
      <c r="M34" s="67"/>
      <c r="N34" s="67"/>
      <c r="O34" s="64" t="s">
        <v>215</v>
      </c>
      <c r="P34" s="64"/>
      <c r="Q34" s="64"/>
      <c r="R34" s="64"/>
      <c r="S34" s="64"/>
      <c r="T34" s="64"/>
      <c r="U34" s="65"/>
      <c r="V34" s="3" t="b">
        <v>1</v>
      </c>
      <c r="W34" s="13" t="str">
        <f t="shared" si="1"/>
        <v>OK</v>
      </c>
    </row>
    <row r="35" spans="1:23">
      <c r="A35" s="80"/>
      <c r="B35" s="80"/>
      <c r="C35" s="64" t="s">
        <v>215</v>
      </c>
      <c r="D35" s="64"/>
      <c r="E35" s="64"/>
      <c r="F35" s="64"/>
      <c r="G35" s="64"/>
      <c r="H35" s="64"/>
      <c r="I35" s="65"/>
      <c r="J35" s="3" t="b">
        <v>1</v>
      </c>
      <c r="K35" s="13" t="str">
        <f t="shared" si="0"/>
        <v>OK</v>
      </c>
      <c r="M35" s="80"/>
      <c r="N35" s="80"/>
      <c r="O35" s="64" t="s">
        <v>216</v>
      </c>
      <c r="P35" s="64"/>
      <c r="Q35" s="64"/>
      <c r="R35" s="64"/>
      <c r="S35" s="64"/>
      <c r="T35" s="64"/>
      <c r="U35" s="65"/>
      <c r="V35" s="3" t="b">
        <v>1</v>
      </c>
      <c r="W35" s="13" t="str">
        <f t="shared" si="1"/>
        <v>OK</v>
      </c>
    </row>
    <row r="36" spans="1:23">
      <c r="A36" s="80"/>
      <c r="B36" s="80"/>
      <c r="C36" s="64" t="s">
        <v>217</v>
      </c>
      <c r="D36" s="64"/>
      <c r="E36" s="64"/>
      <c r="F36" s="64"/>
      <c r="G36" s="64"/>
      <c r="H36" s="64"/>
      <c r="I36" s="65"/>
      <c r="J36" s="3" t="b">
        <v>1</v>
      </c>
      <c r="K36" s="13" t="str">
        <f t="shared" si="0"/>
        <v>OK</v>
      </c>
      <c r="M36" s="80"/>
      <c r="N36" s="80"/>
      <c r="O36" s="64" t="s">
        <v>218</v>
      </c>
      <c r="P36" s="64"/>
      <c r="Q36" s="64"/>
      <c r="R36" s="64"/>
      <c r="S36" s="64"/>
      <c r="T36" s="64"/>
      <c r="U36" s="65"/>
      <c r="V36" s="3" t="b">
        <v>1</v>
      </c>
      <c r="W36" s="13" t="str">
        <f t="shared" si="1"/>
        <v>OK</v>
      </c>
    </row>
    <row r="37" spans="1:23">
      <c r="A37" s="80"/>
      <c r="B37" s="80"/>
      <c r="C37" s="64" t="s">
        <v>216</v>
      </c>
      <c r="D37" s="64"/>
      <c r="E37" s="64"/>
      <c r="F37" s="64"/>
      <c r="G37" s="64"/>
      <c r="H37" s="64"/>
      <c r="I37" s="65"/>
      <c r="J37" s="3" t="b">
        <v>1</v>
      </c>
      <c r="K37" s="13" t="str">
        <f t="shared" si="0"/>
        <v>OK</v>
      </c>
      <c r="M37" s="80"/>
      <c r="N37" s="80"/>
      <c r="O37" s="64" t="s">
        <v>219</v>
      </c>
      <c r="P37" s="64"/>
      <c r="Q37" s="64"/>
      <c r="R37" s="64"/>
      <c r="S37" s="64"/>
      <c r="T37" s="64"/>
      <c r="U37" s="65"/>
      <c r="V37" s="3" t="b">
        <v>1</v>
      </c>
      <c r="W37" s="13" t="str">
        <f t="shared" si="1"/>
        <v>OK</v>
      </c>
    </row>
    <row r="38" spans="1:23">
      <c r="A38" s="80"/>
      <c r="B38" s="80"/>
      <c r="C38" s="64" t="s">
        <v>218</v>
      </c>
      <c r="D38" s="64"/>
      <c r="E38" s="64"/>
      <c r="F38" s="64"/>
      <c r="G38" s="64"/>
      <c r="H38" s="64"/>
      <c r="I38" s="65"/>
      <c r="J38" s="3" t="b">
        <v>1</v>
      </c>
      <c r="K38" s="13" t="str">
        <f t="shared" si="0"/>
        <v>OK</v>
      </c>
      <c r="M38" s="80" t="s">
        <v>220</v>
      </c>
      <c r="N38" s="80"/>
      <c r="O38" s="64" t="s">
        <v>221</v>
      </c>
      <c r="P38" s="64"/>
      <c r="Q38" s="64"/>
      <c r="R38" s="64"/>
      <c r="S38" s="64"/>
      <c r="T38" s="64"/>
      <c r="U38" s="65"/>
      <c r="V38" s="3" t="b">
        <v>1</v>
      </c>
      <c r="W38" s="13" t="str">
        <f t="shared" si="1"/>
        <v>OK</v>
      </c>
    </row>
    <row r="39" spans="1:23">
      <c r="A39" s="80"/>
      <c r="B39" s="80"/>
      <c r="C39" s="64" t="s">
        <v>219</v>
      </c>
      <c r="D39" s="64"/>
      <c r="E39" s="64"/>
      <c r="F39" s="64"/>
      <c r="G39" s="64"/>
      <c r="H39" s="64"/>
      <c r="I39" s="65"/>
      <c r="J39" s="3" t="b">
        <v>1</v>
      </c>
      <c r="K39" s="13" t="str">
        <f t="shared" si="0"/>
        <v>OK</v>
      </c>
      <c r="M39" s="80" t="s">
        <v>222</v>
      </c>
      <c r="N39" s="80"/>
      <c r="O39" s="64" t="s">
        <v>223</v>
      </c>
      <c r="P39" s="64"/>
      <c r="Q39" s="64"/>
      <c r="R39" s="64"/>
      <c r="S39" s="64"/>
      <c r="T39" s="64"/>
      <c r="U39" s="65"/>
      <c r="V39" s="3" t="b">
        <v>1</v>
      </c>
      <c r="W39" s="13" t="str">
        <f t="shared" si="1"/>
        <v>OK</v>
      </c>
    </row>
    <row r="40" spans="1:23">
      <c r="A40" s="80" t="s">
        <v>224</v>
      </c>
      <c r="B40" s="80"/>
      <c r="C40" s="64" t="s">
        <v>225</v>
      </c>
      <c r="D40" s="64"/>
      <c r="E40" s="64"/>
      <c r="F40" s="64"/>
      <c r="G40" s="64"/>
      <c r="H40" s="64"/>
      <c r="I40" s="65"/>
      <c r="J40" s="3" t="b">
        <v>1</v>
      </c>
      <c r="K40" s="13" t="str">
        <f t="shared" si="0"/>
        <v>OK</v>
      </c>
      <c r="M40" s="80"/>
      <c r="N40" s="80"/>
      <c r="O40" s="64" t="s">
        <v>226</v>
      </c>
      <c r="P40" s="64"/>
      <c r="Q40" s="64"/>
      <c r="R40" s="64"/>
      <c r="S40" s="64"/>
      <c r="T40" s="64"/>
      <c r="U40" s="65"/>
      <c r="V40" s="3" t="b">
        <v>1</v>
      </c>
      <c r="W40" s="13" t="str">
        <f t="shared" si="1"/>
        <v>OK</v>
      </c>
    </row>
    <row r="41" spans="1:23">
      <c r="A41" s="80"/>
      <c r="B41" s="80"/>
      <c r="C41" s="64" t="s">
        <v>227</v>
      </c>
      <c r="D41" s="64"/>
      <c r="E41" s="64"/>
      <c r="F41" s="64"/>
      <c r="G41" s="64"/>
      <c r="H41" s="64"/>
      <c r="I41" s="65"/>
      <c r="J41" s="3" t="b">
        <v>1</v>
      </c>
      <c r="K41" s="13" t="str">
        <f t="shared" si="0"/>
        <v>OK</v>
      </c>
      <c r="M41" s="80"/>
      <c r="N41" s="80"/>
      <c r="O41" s="64" t="s">
        <v>228</v>
      </c>
      <c r="P41" s="64"/>
      <c r="Q41" s="64"/>
      <c r="R41" s="64"/>
      <c r="S41" s="64"/>
      <c r="T41" s="64"/>
      <c r="U41" s="65"/>
      <c r="V41" s="3" t="b">
        <v>1</v>
      </c>
      <c r="W41" s="13" t="str">
        <f t="shared" ref="W41" si="2">IF(ISBLANK(V41),IncompleteText, IF(V41, OKText, ErrorText))</f>
        <v>OK</v>
      </c>
    </row>
    <row r="42" spans="1:23">
      <c r="A42" s="80"/>
      <c r="B42" s="80"/>
      <c r="C42" s="64" t="s">
        <v>229</v>
      </c>
      <c r="D42" s="64"/>
      <c r="E42" s="64"/>
      <c r="F42" s="64"/>
      <c r="G42" s="64"/>
      <c r="H42" s="64"/>
      <c r="I42" s="65"/>
      <c r="J42" s="3" t="b">
        <v>1</v>
      </c>
      <c r="K42" s="13" t="str">
        <f t="shared" si="0"/>
        <v>OK</v>
      </c>
    </row>
    <row r="43" spans="1:23">
      <c r="A43" s="80" t="s">
        <v>230</v>
      </c>
      <c r="B43" s="80"/>
      <c r="C43" s="64" t="s">
        <v>231</v>
      </c>
      <c r="D43" s="64"/>
      <c r="E43" s="64"/>
      <c r="F43" s="64"/>
      <c r="G43" s="64"/>
      <c r="H43" s="64"/>
      <c r="I43" s="65"/>
      <c r="J43" s="3" t="b">
        <v>1</v>
      </c>
      <c r="K43" s="13" t="str">
        <f t="shared" si="0"/>
        <v>OK</v>
      </c>
    </row>
    <row r="46" spans="1:23">
      <c r="A46" s="42" t="s">
        <v>232</v>
      </c>
      <c r="B46" s="42"/>
      <c r="C46" s="42"/>
      <c r="D46" s="42"/>
      <c r="E46" s="42"/>
      <c r="F46" s="42"/>
      <c r="G46" s="42"/>
      <c r="H46" s="42"/>
      <c r="I46" s="42"/>
      <c r="J46" s="42"/>
      <c r="K46" s="82" t="str">
        <f>IF(COUNTIF(K48:K54, "="&amp;IncompleteText), IncompleteText, IF(COUNTIF(K48:K54, "="&amp;ErrorText), ErrorText, OKText))</f>
        <v>OK</v>
      </c>
    </row>
    <row r="47" spans="1:23">
      <c r="A47" s="83" t="s">
        <v>58</v>
      </c>
      <c r="B47" s="84"/>
      <c r="C47" s="24"/>
      <c r="D47" s="24"/>
      <c r="E47" s="24"/>
      <c r="F47" s="24"/>
      <c r="G47" s="24"/>
      <c r="H47" s="24"/>
      <c r="I47" s="24"/>
      <c r="J47" s="24"/>
      <c r="K47" s="82"/>
    </row>
    <row r="48" spans="1:23">
      <c r="A48" s="85" t="s">
        <v>233</v>
      </c>
      <c r="B48" s="85"/>
      <c r="C48" s="64" t="s">
        <v>102</v>
      </c>
      <c r="D48" s="64"/>
      <c r="E48" s="64"/>
      <c r="F48" s="64"/>
      <c r="G48" s="64"/>
      <c r="H48" s="64"/>
      <c r="I48" s="65"/>
      <c r="J48" s="3" t="b">
        <v>1</v>
      </c>
      <c r="K48" s="13" t="str">
        <f t="shared" si="0"/>
        <v>OK</v>
      </c>
    </row>
    <row r="49" spans="1:11">
      <c r="A49" s="80" t="s">
        <v>234</v>
      </c>
      <c r="B49" s="80"/>
      <c r="C49" s="64" t="s">
        <v>159</v>
      </c>
      <c r="D49" s="64"/>
      <c r="E49" s="64"/>
      <c r="F49" s="64"/>
      <c r="G49" s="64"/>
      <c r="H49" s="64"/>
      <c r="I49" s="65"/>
      <c r="J49" s="3" t="b">
        <v>1</v>
      </c>
      <c r="K49" s="13" t="str">
        <f t="shared" si="0"/>
        <v>OK</v>
      </c>
    </row>
    <row r="50" spans="1:11">
      <c r="A50" s="80" t="s">
        <v>235</v>
      </c>
      <c r="B50" s="80"/>
      <c r="C50" s="64" t="s">
        <v>122</v>
      </c>
      <c r="D50" s="64"/>
      <c r="E50" s="64"/>
      <c r="F50" s="64"/>
      <c r="G50" s="64"/>
      <c r="H50" s="64"/>
      <c r="I50" s="65"/>
      <c r="J50" s="3" t="b">
        <v>1</v>
      </c>
      <c r="K50" s="13" t="str">
        <f t="shared" si="0"/>
        <v>OK</v>
      </c>
    </row>
    <row r="51" spans="1:11">
      <c r="A51" s="80" t="s">
        <v>235</v>
      </c>
      <c r="B51" s="80"/>
      <c r="C51" s="64" t="s">
        <v>127</v>
      </c>
      <c r="D51" s="64"/>
      <c r="E51" s="64"/>
      <c r="F51" s="64"/>
      <c r="G51" s="64"/>
      <c r="H51" s="64"/>
      <c r="I51" s="65"/>
      <c r="J51" s="3" t="b">
        <v>1</v>
      </c>
      <c r="K51" s="13" t="str">
        <f t="shared" si="0"/>
        <v>OK</v>
      </c>
    </row>
    <row r="52" spans="1:11">
      <c r="A52" s="80" t="s">
        <v>236</v>
      </c>
      <c r="B52" s="80"/>
      <c r="C52" s="64" t="s">
        <v>164</v>
      </c>
      <c r="D52" s="64"/>
      <c r="E52" s="64"/>
      <c r="F52" s="64"/>
      <c r="G52" s="64"/>
      <c r="H52" s="64"/>
      <c r="I52" s="65"/>
      <c r="J52" s="3" t="b">
        <v>1</v>
      </c>
      <c r="K52" s="13" t="str">
        <f t="shared" si="0"/>
        <v>OK</v>
      </c>
    </row>
    <row r="53" spans="1:11">
      <c r="A53" s="80" t="s">
        <v>237</v>
      </c>
      <c r="B53" s="80"/>
      <c r="C53" s="64" t="s">
        <v>238</v>
      </c>
      <c r="D53" s="64"/>
      <c r="E53" s="64"/>
      <c r="F53" s="64"/>
      <c r="G53" s="64"/>
      <c r="H53" s="64"/>
      <c r="I53" s="65"/>
      <c r="J53" s="3" t="b">
        <v>1</v>
      </c>
      <c r="K53" s="13" t="str">
        <f t="shared" si="0"/>
        <v>OK</v>
      </c>
    </row>
    <row r="54" spans="1:11">
      <c r="A54" s="80" t="s">
        <v>237</v>
      </c>
      <c r="B54" s="80"/>
      <c r="C54" s="64" t="s">
        <v>239</v>
      </c>
      <c r="D54" s="64"/>
      <c r="E54" s="64"/>
      <c r="F54" s="64"/>
      <c r="G54" s="64"/>
      <c r="H54" s="64"/>
      <c r="I54" s="65"/>
      <c r="J54" s="3" t="b">
        <v>1</v>
      </c>
      <c r="K54" s="13" t="str">
        <f t="shared" si="0"/>
        <v>OK</v>
      </c>
    </row>
  </sheetData>
  <sheetProtection algorithmName="SHA-512" hashValue="KnKrFL5MkH14H4PyndxcrIH7RazjyhkF821IZ6ctT5tScsPLiAGtC4c3zonRo/wxCCjC5p7i74UUJaiACMcwIg==" saltValue="J8596+ZNEeq3f/NzixaZZQ==" spinCount="100000" sheet="1" scenarios="1" insertHyperlinks="0"/>
  <mergeCells count="79">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 ref="A54:B54"/>
    <mergeCell ref="C48:I48"/>
    <mergeCell ref="C49:I49"/>
    <mergeCell ref="C50:I50"/>
    <mergeCell ref="C51:I51"/>
    <mergeCell ref="C52:I52"/>
    <mergeCell ref="C53:I53"/>
    <mergeCell ref="C54:I54"/>
    <mergeCell ref="A48:B48"/>
    <mergeCell ref="A49:B49"/>
    <mergeCell ref="A50:B50"/>
    <mergeCell ref="A51:B51"/>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M40:N40"/>
    <mergeCell ref="M37:N37"/>
    <mergeCell ref="M36:N36"/>
    <mergeCell ref="O41:U41"/>
    <mergeCell ref="O40:U40"/>
    <mergeCell ref="O39:U39"/>
    <mergeCell ref="O38:U38"/>
    <mergeCell ref="O37:U37"/>
    <mergeCell ref="M35:N35"/>
    <mergeCell ref="O34:U34"/>
    <mergeCell ref="O35:U35"/>
    <mergeCell ref="O36:U36"/>
    <mergeCell ref="M39:N39"/>
    <mergeCell ref="M38:N38"/>
  </mergeCells>
  <dataValidations count="1">
    <dataValidation type="list" allowBlank="1" showInputMessage="1" showErrorMessage="1" sqref="V30:V42 J48:J54 J30:J45"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K30:K43 K48:K54</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zoomScale="90" zoomScaleNormal="78" workbookViewId="0">
      <pane ySplit="1" topLeftCell="F2" activePane="bottomLeft" state="frozen"/>
      <selection pane="bottomLeft" activeCell="O13" sqref="O13"/>
    </sheetView>
  </sheetViews>
  <sheetFormatPr defaultColWidth="8.69921875" defaultRowHeight="14.1"/>
  <cols>
    <col min="1" max="2" width="8.69921875" style="2" customWidth="1"/>
    <col min="3" max="4" width="8.69921875" style="2"/>
    <col min="5" max="5" width="10.296875" style="2" customWidth="1"/>
    <col min="6" max="7" width="8.69921875" style="2"/>
    <col min="8" max="8" width="13.69921875" style="2" bestFit="1" customWidth="1"/>
    <col min="9" max="13" width="8.69921875" style="2"/>
    <col min="14" max="14" width="8.8984375" style="2" bestFit="1" customWidth="1"/>
    <col min="15" max="16" width="8.69921875" style="2"/>
    <col min="17" max="17" width="13.69921875" style="2" bestFit="1" customWidth="1"/>
    <col min="18" max="25" width="8.69921875" style="2"/>
    <col min="26" max="26" width="13.69921875" style="2" bestFit="1" customWidth="1"/>
    <col min="27" max="34" width="8.69921875" style="2"/>
    <col min="35" max="35" width="13.69921875" style="2" bestFit="1" customWidth="1"/>
    <col min="36" max="43" width="8.69921875" style="2"/>
    <col min="44" max="44" width="13.69921875" style="2" bestFit="1" customWidth="1"/>
    <col min="45" max="52" width="8.69921875" style="2"/>
    <col min="53" max="53" width="13.69921875" style="2" bestFit="1" customWidth="1"/>
    <col min="54" max="16384" width="8.69921875" style="2"/>
  </cols>
  <sheetData>
    <row r="1" spans="1:37">
      <c r="A1" s="28" t="s">
        <v>1</v>
      </c>
      <c r="B1" s="13" t="str" cm="1">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OK</v>
      </c>
    </row>
    <row r="3" spans="1:37">
      <c r="A3" s="64" t="s">
        <v>240</v>
      </c>
      <c r="B3" s="64"/>
      <c r="C3" s="64"/>
      <c r="D3" s="65"/>
      <c r="E3" s="3" t="s">
        <v>241</v>
      </c>
      <c r="G3" s="13" t="str">
        <f>IF(ISBLANK(E3), IncompleteText, OKText)</f>
        <v>OK</v>
      </c>
    </row>
    <row r="4" spans="1:37">
      <c r="A4" s="64" t="s">
        <v>242</v>
      </c>
      <c r="B4" s="64"/>
      <c r="C4" s="64"/>
      <c r="D4" s="65"/>
      <c r="E4" s="4" cm="1">
        <f t="array" ref="E4">IF(E3="Series",SUM(C12:C29)*BattCellMaxV,C12*BattCellMaxV*SUM(IF(FREQUENCY(E12:E29,E12:E29)&gt;0,1)))</f>
        <v>403.20000000000005</v>
      </c>
      <c r="F4" t="s">
        <v>17</v>
      </c>
      <c r="G4" s="13" t="str">
        <f>IF(E4 &gt; 600, ErrorText, OKText)</f>
        <v>OK</v>
      </c>
    </row>
    <row r="5" spans="1:37">
      <c r="A5" s="64" t="s">
        <v>243</v>
      </c>
      <c r="B5" s="64"/>
      <c r="C5" s="64"/>
      <c r="D5" s="65"/>
      <c r="E5" s="4" cm="1">
        <f t="array" ref="E5">IF(E3="Series",SUM(C12:C29)*BattCellNomV,C12*BattCellNomV*SUM(IF(FREQUENCY(E12:E29,E12:E29)&gt;0,1)))</f>
        <v>345.6</v>
      </c>
      <c r="F5" t="s">
        <v>17</v>
      </c>
    </row>
    <row r="6" spans="1:37">
      <c r="A6" s="64" t="s">
        <v>244</v>
      </c>
      <c r="B6" s="64"/>
      <c r="C6" s="64"/>
      <c r="D6" s="65"/>
      <c r="E6" s="4">
        <f>SUMPRODUCT(B12:B29,C12:C29)</f>
        <v>480</v>
      </c>
      <c r="F6"/>
    </row>
    <row r="8" spans="1:37">
      <c r="A8" s="42" t="s">
        <v>245</v>
      </c>
      <c r="B8" s="42"/>
      <c r="C8" s="42"/>
      <c r="D8" s="42"/>
      <c r="E8" s="42"/>
      <c r="F8" s="42"/>
      <c r="G8" s="42"/>
      <c r="H8" s="42"/>
      <c r="I8" s="42"/>
      <c r="J8" s="13" t="str">
        <f>IF(COUNTIF(J9:J29, "="&amp;IncompleteText), IncompleteText, IF(COUNTIF(J9:J29, "="&amp;ErrorText), ErrorText, OKText))</f>
        <v>OK</v>
      </c>
      <c r="K8" s="42" t="s">
        <v>246</v>
      </c>
      <c r="L8" s="42"/>
      <c r="M8" s="42"/>
      <c r="N8" s="42"/>
      <c r="O8" s="42"/>
      <c r="P8" s="42"/>
      <c r="Q8" s="13" t="str">
        <f ca="1">IF(COUNTIF(Q9:Q30, "="&amp;IncompleteText), IncompleteText, IF(COUNTIF(Q9:Q30, "="&amp;ErrorText), ErrorText, OKText))</f>
        <v>OK</v>
      </c>
      <c r="R8" s="42" t="s">
        <v>192</v>
      </c>
      <c r="S8" s="42"/>
      <c r="T8" s="42"/>
      <c r="U8" s="42"/>
      <c r="V8" s="42"/>
      <c r="W8" s="13" t="str">
        <f ca="1">IF(COUNTIF(W9:W21, "="&amp;IncompleteText), IncompleteText, IF(COUNTIF(W9:W21, "="&amp;ErrorText), ErrorText, OKText))</f>
        <v>OK</v>
      </c>
      <c r="X8" s="42" t="s">
        <v>193</v>
      </c>
      <c r="Y8" s="42"/>
      <c r="Z8" s="42"/>
      <c r="AA8" s="42"/>
      <c r="AB8" s="42"/>
      <c r="AC8" s="42"/>
      <c r="AD8" s="13" t="str">
        <f ca="1">IF(COUNTIF(AD9:AD17, "="&amp;IncompleteText), IncompleteText, IF(COUNTIF(AD9:AD17, "="&amp;ErrorText), ErrorText, OKText))</f>
        <v>OK</v>
      </c>
      <c r="AE8" s="42" t="s">
        <v>20</v>
      </c>
      <c r="AF8" s="42"/>
      <c r="AG8" s="42"/>
      <c r="AH8" s="42"/>
      <c r="AI8" s="42"/>
      <c r="AJ8" s="42"/>
      <c r="AK8" s="42"/>
    </row>
    <row r="9" spans="1:37" ht="13.7" customHeight="1">
      <c r="A9" s="64" t="s">
        <v>247</v>
      </c>
      <c r="B9" s="64"/>
      <c r="C9" s="65"/>
      <c r="D9" s="68" t="s">
        <v>248</v>
      </c>
      <c r="E9" s="70"/>
      <c r="F9"/>
      <c r="G9"/>
      <c r="H9"/>
      <c r="I9"/>
      <c r="J9" s="13" t="str">
        <f>IF(ISBLANK(D9), IncompleteText, OKText)</f>
        <v>OK</v>
      </c>
      <c r="K9" s="64" t="s">
        <v>249</v>
      </c>
      <c r="L9" s="64"/>
      <c r="M9" s="64"/>
      <c r="N9" s="65"/>
      <c r="O9" s="58" t="s">
        <v>250</v>
      </c>
      <c r="P9" s="58"/>
      <c r="Q9" s="13" t="str">
        <f>IF(ISBLANK(O9), IncompleteText, OKText)</f>
        <v>OK</v>
      </c>
      <c r="R9" s="64" t="s">
        <v>251</v>
      </c>
      <c r="S9" s="64"/>
      <c r="T9" s="65"/>
      <c r="U9" s="68" t="s">
        <v>252</v>
      </c>
      <c r="V9" s="70"/>
      <c r="W9" s="13" t="str">
        <f>IF(ISBLANK(U9), IncompleteText, OKText)</f>
        <v>OK</v>
      </c>
      <c r="X9" s="64" t="s">
        <v>253</v>
      </c>
      <c r="Y9" s="64"/>
      <c r="Z9" s="64"/>
      <c r="AA9" s="65"/>
      <c r="AB9" s="58" t="s">
        <v>254</v>
      </c>
      <c r="AC9" s="58"/>
      <c r="AD9" s="13" t="str">
        <f>IF(ISBLANK(AB9), IncompleteText, OKText)</f>
        <v>OK</v>
      </c>
      <c r="AE9" s="115"/>
      <c r="AF9" s="115"/>
      <c r="AG9" s="115"/>
      <c r="AH9" s="115"/>
      <c r="AI9" s="115"/>
      <c r="AJ9" s="115"/>
      <c r="AK9" s="115"/>
    </row>
    <row r="10" spans="1:37" ht="13.7" customHeight="1">
      <c r="A10" s="67" t="s">
        <v>255</v>
      </c>
      <c r="B10" s="71" t="s">
        <v>256</v>
      </c>
      <c r="C10" s="71" t="s">
        <v>257</v>
      </c>
      <c r="D10" s="71" t="s">
        <v>258</v>
      </c>
      <c r="E10" s="71" t="s">
        <v>259</v>
      </c>
      <c r="F10" s="67" t="s">
        <v>260</v>
      </c>
      <c r="G10" s="67"/>
      <c r="H10" s="71" t="s">
        <v>261</v>
      </c>
      <c r="I10" s="71"/>
      <c r="J10"/>
      <c r="K10" s="64" t="s">
        <v>262</v>
      </c>
      <c r="L10" s="64"/>
      <c r="M10" s="64"/>
      <c r="N10" s="65"/>
      <c r="O10" s="58" t="s">
        <v>263</v>
      </c>
      <c r="P10" s="58"/>
      <c r="Q10" s="13" t="str">
        <f>IF(ISBLANK(O10), IncompleteText, OKText)</f>
        <v>OK</v>
      </c>
      <c r="R10" s="64" t="s">
        <v>264</v>
      </c>
      <c r="S10" s="64"/>
      <c r="T10" s="65"/>
      <c r="U10" s="1">
        <f ca="1">VLOOKUP(U9, ConnectorsTable, 5, FALSE)</f>
        <v>200</v>
      </c>
      <c r="V10" t="s">
        <v>19</v>
      </c>
      <c r="W10" s="13" t="str">
        <f ca="1">IF(ISERROR(U10),IncompleteText,IF(E3="Series",IF(U10&gt;=U20,OKText,ErrorText),IF(E3="Parallel",IF(U10&gt;=U12,OKText,ErrorText),IncompleteText)))</f>
        <v>OK</v>
      </c>
      <c r="X10" s="64" t="s">
        <v>265</v>
      </c>
      <c r="Y10" s="64"/>
      <c r="Z10" s="64"/>
      <c r="AA10" s="65"/>
      <c r="AB10" s="1">
        <f ca="1">VLOOKUP(AB9, InsulationsTable, 6, FALSE)</f>
        <v>8250</v>
      </c>
      <c r="AC10" s="29" t="s">
        <v>17</v>
      </c>
      <c r="AD10" s="13" t="str">
        <f ca="1">IF(ISERROR(AB10), IncompleteText, IF(AB10 &lt; MaxTSVoltage,  ErrorText, OKText))</f>
        <v>OK</v>
      </c>
      <c r="AE10" s="115"/>
      <c r="AF10" s="115"/>
      <c r="AG10" s="115"/>
      <c r="AH10" s="115"/>
      <c r="AI10" s="115"/>
      <c r="AJ10" s="115"/>
      <c r="AK10" s="115"/>
    </row>
    <row r="11" spans="1:37">
      <c r="A11" s="67"/>
      <c r="B11" s="71"/>
      <c r="C11" s="71"/>
      <c r="D11" s="71"/>
      <c r="E11" s="71"/>
      <c r="F11" s="67"/>
      <c r="G11" s="67"/>
      <c r="H11" s="71"/>
      <c r="I11" s="71"/>
      <c r="J11"/>
      <c r="K11" s="28" t="s">
        <v>30</v>
      </c>
      <c r="L11" s="58" t="s">
        <v>266</v>
      </c>
      <c r="M11" s="58"/>
      <c r="N11" s="28" t="s">
        <v>32</v>
      </c>
      <c r="O11" s="58" t="s">
        <v>267</v>
      </c>
      <c r="P11" s="58"/>
      <c r="Q11" s="13" t="str">
        <f>IF(O10="Purchased", IF(OR(ISBLANK(L11), ISBLANK(O11)), IncompleteText, OKText), "")</f>
        <v>OK</v>
      </c>
      <c r="R11" s="64" t="s">
        <v>268</v>
      </c>
      <c r="S11" s="64"/>
      <c r="T11" s="65"/>
      <c r="U11" s="68"/>
      <c r="V11" s="70"/>
      <c r="W11" s="13" t="str">
        <f>IF(E3="Series","",IF(ISBLANK(U11), IncompleteText, OKText))</f>
        <v/>
      </c>
      <c r="X11" s="64" t="s">
        <v>269</v>
      </c>
      <c r="Y11" s="64"/>
      <c r="Z11" s="64"/>
      <c r="AA11" s="65"/>
      <c r="AB11" s="1">
        <f ca="1">VLOOKUP(AB9, InsulationsTable, 7, FALSE)</f>
        <v>400</v>
      </c>
      <c r="AC11" s="29" t="s">
        <v>42</v>
      </c>
      <c r="AD11" s="13" t="str">
        <f ca="1">IF(ISERROR(AB11), IncompleteText, IF(AB11 &lt; 90,  ErrorText, OKText))</f>
        <v>OK</v>
      </c>
      <c r="AE11" s="115"/>
      <c r="AF11" s="115"/>
      <c r="AG11" s="115"/>
      <c r="AH11" s="115"/>
      <c r="AI11" s="115"/>
      <c r="AJ11" s="115"/>
      <c r="AK11" s="115"/>
    </row>
    <row r="12" spans="1:37">
      <c r="A12">
        <v>1</v>
      </c>
      <c r="B12" s="3">
        <v>5</v>
      </c>
      <c r="C12" s="3">
        <v>12</v>
      </c>
      <c r="D12" s="3">
        <v>12</v>
      </c>
      <c r="E12" s="3">
        <v>1</v>
      </c>
      <c r="F12" s="89">
        <f t="shared" ref="F12:F29" si="0">C12*BattCellMaxV</f>
        <v>50.400000000000006</v>
      </c>
      <c r="G12" s="89"/>
      <c r="H12" s="89">
        <f t="shared" ref="H12:H29" si="1">F12*B12*BattCellCapacity*0.0036</f>
        <v>2.8304640000000005</v>
      </c>
      <c r="I12" s="89"/>
      <c r="J12" s="13" t="str">
        <f>IF(COUNTBLANK(A12:E12) &gt; 0, IncompleteText, IF(OR(F12&gt;120, H12&gt;6), ErrorText, OKText))</f>
        <v>OK</v>
      </c>
      <c r="K12" s="64" t="s">
        <v>270</v>
      </c>
      <c r="L12" s="64"/>
      <c r="M12" s="64"/>
      <c r="N12" s="65"/>
      <c r="O12" s="3">
        <v>2500</v>
      </c>
      <c r="P12" t="s">
        <v>17</v>
      </c>
      <c r="Q12" s="13" t="str">
        <f>IF(ISBLANK(O12), IncompleteText, IF(O12&lt;E4, ErrorText, OKText))</f>
        <v>OK</v>
      </c>
      <c r="R12" s="64" t="s">
        <v>271</v>
      </c>
      <c r="S12" s="64"/>
      <c r="T12" s="65"/>
      <c r="U12" s="1" t="e">
        <f ca="1">VLOOKUP(U11, FusesTable, 6, FALSE)</f>
        <v>#N/A</v>
      </c>
      <c r="V12" t="s">
        <v>19</v>
      </c>
      <c r="W12"/>
      <c r="X12" s="64" t="s">
        <v>272</v>
      </c>
      <c r="Y12" s="64"/>
      <c r="Z12" s="64"/>
      <c r="AA12" s="65"/>
      <c r="AB12" s="58" t="s">
        <v>254</v>
      </c>
      <c r="AC12" s="58"/>
      <c r="AD12" s="13" t="str">
        <f>IF(ISBLANK(AB12), IncompleteText, OKText)</f>
        <v>OK</v>
      </c>
      <c r="AE12" s="115"/>
      <c r="AF12" s="115"/>
      <c r="AG12" s="115"/>
      <c r="AH12" s="115"/>
      <c r="AI12" s="115"/>
      <c r="AJ12" s="115"/>
      <c r="AK12" s="115"/>
    </row>
    <row r="13" spans="1:37">
      <c r="A13">
        <v>2</v>
      </c>
      <c r="B13" s="3">
        <v>5</v>
      </c>
      <c r="C13" s="3">
        <v>12</v>
      </c>
      <c r="D13" s="3">
        <v>12</v>
      </c>
      <c r="E13" s="3">
        <v>1</v>
      </c>
      <c r="F13" s="89">
        <f t="shared" si="0"/>
        <v>50.400000000000006</v>
      </c>
      <c r="G13" s="89"/>
      <c r="H13" s="89">
        <f t="shared" si="1"/>
        <v>2.8304640000000005</v>
      </c>
      <c r="I13" s="89"/>
      <c r="J13" s="13" t="str">
        <f t="shared" ref="J13:J29" si="2">IF(COUNTBLANK(A13:E13)=4,"",IF(COUNTBLANK(A13:E13) &gt; 0, IncompleteText, IF(OR(F13&gt;120, H13&gt;6), ErrorText, OKText)))</f>
        <v>OK</v>
      </c>
      <c r="K13" s="64" t="s">
        <v>273</v>
      </c>
      <c r="L13" s="64"/>
      <c r="M13" s="64"/>
      <c r="N13" s="65"/>
      <c r="O13" s="3">
        <v>100</v>
      </c>
      <c r="P13" t="s">
        <v>17</v>
      </c>
      <c r="Q13" s="13" t="str">
        <f>IF(ISBLANK(O13), IncompleteText, IF(O13&lt;MAX(F12:G29), ErrorText, OKText))</f>
        <v>OK</v>
      </c>
      <c r="R13" s="42" t="s">
        <v>274</v>
      </c>
      <c r="S13" s="42"/>
      <c r="T13" s="42"/>
      <c r="U13" s="42"/>
      <c r="V13" s="42"/>
      <c r="W13"/>
      <c r="X13" s="64" t="s">
        <v>265</v>
      </c>
      <c r="Y13" s="64"/>
      <c r="Z13" s="64"/>
      <c r="AA13" s="65"/>
      <c r="AB13" s="1">
        <f ca="1">VLOOKUP(AB12, InsulationsTable, 6, FALSE)</f>
        <v>8250</v>
      </c>
      <c r="AC13" s="29" t="s">
        <v>17</v>
      </c>
      <c r="AD13" s="13" t="str">
        <f ca="1">IF(ISERROR(AB13), IncompleteText, IF(AB13 &lt; MaxTSVoltage,  ErrorText, OKText))</f>
        <v>OK</v>
      </c>
      <c r="AE13" s="115"/>
      <c r="AF13" s="115"/>
      <c r="AG13" s="115"/>
      <c r="AH13" s="115"/>
      <c r="AI13" s="115"/>
      <c r="AJ13" s="115"/>
      <c r="AK13" s="115"/>
    </row>
    <row r="14" spans="1:37">
      <c r="A14">
        <v>3</v>
      </c>
      <c r="B14" s="3">
        <v>5</v>
      </c>
      <c r="C14" s="3">
        <v>12</v>
      </c>
      <c r="D14" s="3">
        <v>12</v>
      </c>
      <c r="E14" s="3">
        <v>1</v>
      </c>
      <c r="F14" s="89">
        <f t="shared" si="0"/>
        <v>50.400000000000006</v>
      </c>
      <c r="G14" s="89"/>
      <c r="H14" s="89">
        <f t="shared" si="1"/>
        <v>2.8304640000000005</v>
      </c>
      <c r="I14" s="89"/>
      <c r="J14" s="13" t="str">
        <f t="shared" si="2"/>
        <v>OK</v>
      </c>
      <c r="K14" s="64" t="s">
        <v>275</v>
      </c>
      <c r="L14" s="64"/>
      <c r="M14" s="64"/>
      <c r="N14" s="65"/>
      <c r="O14" s="58"/>
      <c r="P14" s="58"/>
      <c r="Q14" s="13" t="str">
        <f>IF($O$10="Team Built", IF(ISBLANK(O14), IncompleteText, OKText), "")</f>
        <v/>
      </c>
      <c r="R14" s="64" t="s">
        <v>276</v>
      </c>
      <c r="S14" s="64"/>
      <c r="T14" s="65"/>
      <c r="U14" s="68" t="s">
        <v>277</v>
      </c>
      <c r="V14" s="70"/>
      <c r="W14" s="13" t="str">
        <f>IF(ISBLANK(U14), IncompleteText, OKText)</f>
        <v>OK</v>
      </c>
      <c r="X14" s="64" t="s">
        <v>269</v>
      </c>
      <c r="Y14" s="64"/>
      <c r="Z14" s="64"/>
      <c r="AA14" s="65"/>
      <c r="AB14" s="1">
        <f ca="1">VLOOKUP(AB12, InsulationsTable, 7, FALSE)</f>
        <v>400</v>
      </c>
      <c r="AC14" s="29" t="s">
        <v>42</v>
      </c>
      <c r="AD14" s="13" t="str">
        <f ca="1">IF(ISERROR(AB14), IncompleteText, IF(AB14 &lt; 90,  ErrorText, OKText))</f>
        <v>OK</v>
      </c>
      <c r="AE14" s="115"/>
      <c r="AF14" s="115"/>
      <c r="AG14" s="115"/>
      <c r="AH14" s="115"/>
      <c r="AI14" s="115"/>
      <c r="AJ14" s="115"/>
      <c r="AK14" s="115"/>
    </row>
    <row r="15" spans="1:37">
      <c r="A15">
        <v>4</v>
      </c>
      <c r="B15" s="3">
        <v>5</v>
      </c>
      <c r="C15" s="3">
        <v>12</v>
      </c>
      <c r="D15" s="3">
        <v>12</v>
      </c>
      <c r="E15" s="3">
        <v>1</v>
      </c>
      <c r="F15" s="89">
        <f t="shared" si="0"/>
        <v>50.400000000000006</v>
      </c>
      <c r="G15" s="89"/>
      <c r="H15" s="89">
        <f t="shared" si="1"/>
        <v>2.8304640000000005</v>
      </c>
      <c r="I15" s="89"/>
      <c r="J15" s="13" t="str">
        <f t="shared" si="2"/>
        <v>OK</v>
      </c>
      <c r="K15" s="64" t="s">
        <v>278</v>
      </c>
      <c r="L15" s="64"/>
      <c r="M15" s="64"/>
      <c r="N15" s="65"/>
      <c r="O15" s="58"/>
      <c r="P15" s="58"/>
      <c r="Q15" s="13" t="str">
        <f>IF($O$10="Team Built", IF(ISBLANK(O15), IncompleteText, OKText), "")</f>
        <v/>
      </c>
      <c r="R15" s="64" t="s">
        <v>279</v>
      </c>
      <c r="S15" s="64"/>
      <c r="T15" s="65"/>
      <c r="U15" s="1">
        <f ca="1">VLOOKUP(U14, ContactorsTable, 4, FALSE)</f>
        <v>800</v>
      </c>
      <c r="V15" t="s">
        <v>17</v>
      </c>
      <c r="W15" s="13" t="str">
        <f ca="1">IF(ISERROR(U15), IncompleteText, IF(U15 &lt; MaxTSVoltage,  ErrorText, OKText))</f>
        <v>OK</v>
      </c>
      <c r="X15" s="64" t="s">
        <v>280</v>
      </c>
      <c r="Y15" s="64"/>
      <c r="Z15" s="64"/>
      <c r="AA15" s="65"/>
      <c r="AB15" s="90" t="s">
        <v>254</v>
      </c>
      <c r="AC15" s="91"/>
      <c r="AD15" s="13" t="str">
        <f>IF(ISBLANK(AB15), IncompleteText, OKText)</f>
        <v>OK</v>
      </c>
      <c r="AE15" s="115"/>
      <c r="AF15" s="115"/>
      <c r="AG15" s="115"/>
      <c r="AH15" s="115"/>
      <c r="AI15" s="115"/>
      <c r="AJ15" s="115"/>
      <c r="AK15" s="115"/>
    </row>
    <row r="16" spans="1:37">
      <c r="A16">
        <v>5</v>
      </c>
      <c r="B16" s="3">
        <v>5</v>
      </c>
      <c r="C16" s="3">
        <v>12</v>
      </c>
      <c r="D16" s="3">
        <v>12</v>
      </c>
      <c r="E16" s="3">
        <v>1</v>
      </c>
      <c r="F16" s="89">
        <f t="shared" si="0"/>
        <v>50.400000000000006</v>
      </c>
      <c r="G16" s="89"/>
      <c r="H16" s="89">
        <f t="shared" si="1"/>
        <v>2.8304640000000005</v>
      </c>
      <c r="I16" s="89"/>
      <c r="J16" s="13" t="str">
        <f t="shared" si="2"/>
        <v>OK</v>
      </c>
      <c r="K16" s="101" t="s">
        <v>281</v>
      </c>
      <c r="L16" s="101"/>
      <c r="M16" s="101"/>
      <c r="N16" s="101"/>
      <c r="O16" s="101"/>
      <c r="P16" s="101"/>
      <c r="Q16"/>
      <c r="R16" s="64" t="s">
        <v>282</v>
      </c>
      <c r="S16" s="64"/>
      <c r="T16" s="65"/>
      <c r="U16" s="1">
        <f ca="1">VLOOKUP(U14, ContactorsTable, 6, FALSE)</f>
        <v>900</v>
      </c>
      <c r="V16" t="s">
        <v>19</v>
      </c>
      <c r="W16"/>
      <c r="X16" s="64" t="s">
        <v>265</v>
      </c>
      <c r="Y16" s="64"/>
      <c r="Z16" s="64"/>
      <c r="AA16" s="65"/>
      <c r="AB16" s="1">
        <f ca="1">VLOOKUP(AB15, InsulationsTable, 6, FALSE)</f>
        <v>8250</v>
      </c>
      <c r="AC16" s="29" t="s">
        <v>17</v>
      </c>
      <c r="AD16" s="13" t="str">
        <f ca="1">IF(ISERROR(AB16), IncompleteText, IF(AB16 &lt; MaxTSVoltage,  ErrorText, OKText))</f>
        <v>OK</v>
      </c>
      <c r="AE16" s="115"/>
      <c r="AF16" s="115"/>
      <c r="AG16" s="115"/>
      <c r="AH16" s="115"/>
      <c r="AI16" s="115"/>
      <c r="AJ16" s="115"/>
      <c r="AK16" s="115"/>
    </row>
    <row r="17" spans="1:37">
      <c r="A17">
        <v>6</v>
      </c>
      <c r="B17" s="3">
        <v>5</v>
      </c>
      <c r="C17" s="3">
        <v>12</v>
      </c>
      <c r="D17" s="3">
        <v>12</v>
      </c>
      <c r="E17" s="3">
        <v>1</v>
      </c>
      <c r="F17" s="89">
        <f t="shared" si="0"/>
        <v>50.400000000000006</v>
      </c>
      <c r="G17" s="89"/>
      <c r="H17" s="89">
        <f t="shared" si="1"/>
        <v>2.8304640000000005</v>
      </c>
      <c r="I17" s="89"/>
      <c r="J17" s="13" t="str">
        <f t="shared" si="2"/>
        <v>OK</v>
      </c>
      <c r="K17" s="64" t="s">
        <v>283</v>
      </c>
      <c r="L17" s="64"/>
      <c r="M17" s="64"/>
      <c r="N17" s="65"/>
      <c r="O17" s="3">
        <v>55</v>
      </c>
      <c r="P17" t="s">
        <v>284</v>
      </c>
      <c r="Q17" s="13" t="str">
        <f>IF(ISBLANK(O17), IncompleteText, OKText)</f>
        <v>OK</v>
      </c>
      <c r="R17" s="64" t="s">
        <v>40</v>
      </c>
      <c r="S17" s="64"/>
      <c r="T17" s="65"/>
      <c r="U17" s="1">
        <f ca="1">VLOOKUP(U14, ContactorsTable, 5, FALSE)</f>
        <v>325</v>
      </c>
      <c r="V17" t="s">
        <v>19</v>
      </c>
      <c r="W17" s="13" t="str">
        <f ca="1">IF(ISERROR(U17), IncompleteText, IF(U17&gt;=U20, OKText, ErrorText))</f>
        <v>OK</v>
      </c>
      <c r="X17" s="64" t="s">
        <v>269</v>
      </c>
      <c r="Y17" s="64"/>
      <c r="Z17" s="64"/>
      <c r="AA17" s="65"/>
      <c r="AB17" s="1">
        <f ca="1">VLOOKUP(AB15, InsulationsTable, 7, FALSE)</f>
        <v>400</v>
      </c>
      <c r="AC17" s="29" t="s">
        <v>42</v>
      </c>
      <c r="AD17" s="13" t="str">
        <f ca="1">IF(ISERROR(AB17), IncompleteText, IF(AB17 &lt; 90,  ErrorText, OKText))</f>
        <v>OK</v>
      </c>
      <c r="AE17" s="115"/>
      <c r="AF17" s="115"/>
      <c r="AG17" s="115"/>
      <c r="AH17" s="115"/>
      <c r="AI17" s="115"/>
      <c r="AJ17" s="115"/>
      <c r="AK17" s="115"/>
    </row>
    <row r="18" spans="1:37">
      <c r="A18">
        <v>7</v>
      </c>
      <c r="B18" s="3">
        <v>5</v>
      </c>
      <c r="C18" s="3">
        <v>12</v>
      </c>
      <c r="D18" s="3">
        <v>12</v>
      </c>
      <c r="E18" s="3">
        <v>1</v>
      </c>
      <c r="F18" s="89">
        <f t="shared" si="0"/>
        <v>50.400000000000006</v>
      </c>
      <c r="G18" s="89"/>
      <c r="H18" s="89">
        <f t="shared" si="1"/>
        <v>2.8304640000000005</v>
      </c>
      <c r="I18" s="89"/>
      <c r="J18" s="13" t="str">
        <f t="shared" si="2"/>
        <v>OK</v>
      </c>
      <c r="K18" s="99" t="s">
        <v>285</v>
      </c>
      <c r="L18" s="99"/>
      <c r="M18" s="99"/>
      <c r="N18" s="100"/>
      <c r="O18" s="58" t="s">
        <v>286</v>
      </c>
      <c r="P18" s="58"/>
      <c r="Q18" s="13" t="str">
        <f>IF(ISBLANK(O18), IncompleteText, OKText)</f>
        <v>OK</v>
      </c>
      <c r="R18" s="42" t="s">
        <v>287</v>
      </c>
      <c r="S18" s="42"/>
      <c r="T18" s="42"/>
      <c r="U18" s="42"/>
      <c r="V18" s="42"/>
      <c r="W18"/>
      <c r="AE18" s="115"/>
      <c r="AF18" s="115"/>
      <c r="AG18" s="115"/>
      <c r="AH18" s="115"/>
      <c r="AI18" s="115"/>
      <c r="AJ18" s="115"/>
      <c r="AK18" s="115"/>
    </row>
    <row r="19" spans="1:37">
      <c r="A19">
        <v>8</v>
      </c>
      <c r="B19" s="3">
        <v>5</v>
      </c>
      <c r="C19" s="3">
        <v>12</v>
      </c>
      <c r="D19" s="3">
        <v>12</v>
      </c>
      <c r="E19" s="3">
        <v>1</v>
      </c>
      <c r="F19" s="89">
        <f t="shared" si="0"/>
        <v>50.400000000000006</v>
      </c>
      <c r="G19" s="89"/>
      <c r="H19" s="89">
        <f t="shared" si="1"/>
        <v>2.8304640000000005</v>
      </c>
      <c r="I19" s="89"/>
      <c r="J19" s="13" t="str">
        <f t="shared" si="2"/>
        <v>OK</v>
      </c>
      <c r="K19" s="64" t="s">
        <v>288</v>
      </c>
      <c r="L19" s="64"/>
      <c r="M19" s="64"/>
      <c r="N19" s="65"/>
      <c r="O19" s="58" t="s">
        <v>10</v>
      </c>
      <c r="P19" s="58"/>
      <c r="Q19" s="13" t="str">
        <f>IF(ISBLANK(O19), IncompleteText, OKText)</f>
        <v>OK</v>
      </c>
      <c r="R19" s="64" t="s">
        <v>287</v>
      </c>
      <c r="S19" s="64"/>
      <c r="T19" s="65"/>
      <c r="U19" s="68" t="s">
        <v>289</v>
      </c>
      <c r="V19" s="70"/>
      <c r="W19" s="13" t="str">
        <f>IF(ISBLANK(U19), IncompleteText, OKText)</f>
        <v>OK</v>
      </c>
      <c r="AE19" s="115"/>
      <c r="AF19" s="115"/>
      <c r="AG19" s="115"/>
      <c r="AH19" s="115"/>
      <c r="AI19" s="115"/>
      <c r="AJ19" s="115"/>
      <c r="AK19" s="115"/>
    </row>
    <row r="20" spans="1:37">
      <c r="A20">
        <v>9</v>
      </c>
      <c r="B20" s="3"/>
      <c r="C20" s="3"/>
      <c r="D20" s="3"/>
      <c r="E20" s="3"/>
      <c r="F20" s="89">
        <f t="shared" si="0"/>
        <v>0</v>
      </c>
      <c r="G20" s="89"/>
      <c r="H20" s="89">
        <f t="shared" si="1"/>
        <v>0</v>
      </c>
      <c r="I20" s="89"/>
      <c r="J20" s="13" t="str">
        <f t="shared" si="2"/>
        <v/>
      </c>
      <c r="K20" s="64" t="s">
        <v>290</v>
      </c>
      <c r="L20" s="64"/>
      <c r="M20" s="64"/>
      <c r="N20" s="65"/>
      <c r="O20" s="66" t="s">
        <v>291</v>
      </c>
      <c r="P20" s="66"/>
      <c r="Q20" s="13" t="str">
        <f>IF(O19="Other", IF(ISBLANK(O20), IncompleteText, OKText), "")</f>
        <v>OK</v>
      </c>
      <c r="R20" s="64" t="s">
        <v>292</v>
      </c>
      <c r="S20" s="64"/>
      <c r="T20" s="65"/>
      <c r="U20" s="1">
        <f ca="1">VLOOKUP(U19, FusesTable, 6, FALSE)</f>
        <v>75</v>
      </c>
      <c r="V20" t="s">
        <v>19</v>
      </c>
      <c r="W20"/>
      <c r="AE20" s="115"/>
      <c r="AF20" s="115"/>
      <c r="AG20" s="115"/>
      <c r="AH20" s="115"/>
      <c r="AI20" s="115"/>
      <c r="AJ20" s="115"/>
      <c r="AK20" s="115"/>
    </row>
    <row r="21" spans="1:37">
      <c r="A21">
        <v>10</v>
      </c>
      <c r="B21" s="3"/>
      <c r="C21" s="3"/>
      <c r="D21" s="3"/>
      <c r="E21" s="3"/>
      <c r="F21" s="89">
        <f t="shared" si="0"/>
        <v>0</v>
      </c>
      <c r="G21" s="89"/>
      <c r="H21" s="89">
        <f t="shared" si="1"/>
        <v>0</v>
      </c>
      <c r="I21" s="89"/>
      <c r="J21" s="13" t="str">
        <f t="shared" si="2"/>
        <v/>
      </c>
      <c r="K21" s="64" t="s">
        <v>293</v>
      </c>
      <c r="L21" s="64"/>
      <c r="M21" s="64"/>
      <c r="N21" s="65"/>
      <c r="O21" s="102">
        <f ca="1">VLOOKUP(O18, FusesTable, 4, FALSE)</f>
        <v>400</v>
      </c>
      <c r="P21" s="102"/>
      <c r="Q21" s="13" t="str">
        <f ca="1">IF(ISERROR(O21), IncompleteText, IF(AND(O21 &lt; MAX(F12:G29), O9 = "Centralized"),  ErrorText, OKText))</f>
        <v>OK</v>
      </c>
      <c r="R21" s="64" t="s">
        <v>294</v>
      </c>
      <c r="S21" s="64"/>
      <c r="T21" s="65"/>
      <c r="U21" s="1">
        <f ca="1">VLOOKUP(U19, FusesTable, 4, FALSE)</f>
        <v>500</v>
      </c>
      <c r="V21" t="s">
        <v>17</v>
      </c>
      <c r="W21" s="13" t="str">
        <f ca="1">IF(U21 &lt; MaxTSVoltage, ErrorText, OKText)</f>
        <v>OK</v>
      </c>
      <c r="AE21" s="115"/>
      <c r="AF21" s="115"/>
      <c r="AG21" s="115"/>
      <c r="AH21" s="115"/>
      <c r="AI21" s="115"/>
      <c r="AJ21" s="115"/>
      <c r="AK21" s="115"/>
    </row>
    <row r="22" spans="1:37">
      <c r="A22">
        <v>11</v>
      </c>
      <c r="B22" s="3"/>
      <c r="C22" s="3"/>
      <c r="D22" s="3"/>
      <c r="E22" s="3"/>
      <c r="F22" s="89">
        <f t="shared" si="0"/>
        <v>0</v>
      </c>
      <c r="G22" s="89"/>
      <c r="H22" s="89">
        <f t="shared" si="1"/>
        <v>0</v>
      </c>
      <c r="I22" s="89"/>
      <c r="J22" s="13" t="str">
        <f t="shared" si="2"/>
        <v/>
      </c>
      <c r="K22" s="101" t="s">
        <v>295</v>
      </c>
      <c r="L22" s="101"/>
      <c r="M22" s="101"/>
      <c r="N22" s="101"/>
      <c r="O22" s="101"/>
      <c r="P22" s="101"/>
      <c r="Q22"/>
      <c r="AE22" s="115"/>
      <c r="AF22" s="115"/>
      <c r="AG22" s="115"/>
      <c r="AH22" s="115"/>
      <c r="AI22" s="115"/>
      <c r="AJ22" s="115"/>
      <c r="AK22" s="115"/>
    </row>
    <row r="23" spans="1:37">
      <c r="A23">
        <v>12</v>
      </c>
      <c r="B23" s="3"/>
      <c r="C23" s="3"/>
      <c r="D23" s="3"/>
      <c r="E23" s="3"/>
      <c r="F23" s="89">
        <f t="shared" si="0"/>
        <v>0</v>
      </c>
      <c r="G23" s="89"/>
      <c r="H23" s="89">
        <f t="shared" si="1"/>
        <v>0</v>
      </c>
      <c r="I23" s="89"/>
      <c r="J23" s="13" t="str">
        <f t="shared" si="2"/>
        <v/>
      </c>
      <c r="K23" s="64" t="s">
        <v>296</v>
      </c>
      <c r="L23" s="64"/>
      <c r="M23" s="64"/>
      <c r="N23" s="65"/>
      <c r="O23" s="68" t="s">
        <v>297</v>
      </c>
      <c r="P23" s="70"/>
      <c r="Q23" s="13" t="str">
        <f>IF(ISBLANK(O23), IncompleteText, OKText)</f>
        <v>OK</v>
      </c>
      <c r="AE23" s="115"/>
      <c r="AF23" s="115"/>
      <c r="AG23" s="115"/>
      <c r="AH23" s="115"/>
      <c r="AI23" s="115"/>
      <c r="AJ23" s="115"/>
      <c r="AK23" s="115"/>
    </row>
    <row r="24" spans="1:37">
      <c r="A24">
        <v>13</v>
      </c>
      <c r="B24" s="3"/>
      <c r="C24" s="3"/>
      <c r="D24" s="3"/>
      <c r="E24" s="3"/>
      <c r="F24" s="89">
        <f t="shared" si="0"/>
        <v>0</v>
      </c>
      <c r="G24" s="89"/>
      <c r="H24" s="89">
        <f t="shared" si="1"/>
        <v>0</v>
      </c>
      <c r="I24" s="89"/>
      <c r="J24" s="13" t="str">
        <f t="shared" si="2"/>
        <v/>
      </c>
      <c r="K24" s="64" t="s">
        <v>298</v>
      </c>
      <c r="L24" s="64"/>
      <c r="M24" s="64"/>
      <c r="N24" s="65"/>
      <c r="O24" s="3"/>
      <c r="P24" t="s">
        <v>299</v>
      </c>
      <c r="Q24" s="13" t="str">
        <f>IF(O23="On cell terminal","",IF(ISBLANK(O24),IncompleteText,IF(O24&lt;10,OKText,ErrorText)))</f>
        <v/>
      </c>
      <c r="AE24" s="115"/>
      <c r="AF24" s="115"/>
      <c r="AG24" s="115"/>
      <c r="AH24" s="115"/>
      <c r="AI24" s="115"/>
      <c r="AJ24" s="115"/>
      <c r="AK24" s="115"/>
    </row>
    <row r="25" spans="1:37">
      <c r="A25">
        <v>14</v>
      </c>
      <c r="B25" s="3"/>
      <c r="C25" s="3"/>
      <c r="D25" s="3"/>
      <c r="E25" s="3"/>
      <c r="F25" s="89">
        <f t="shared" si="0"/>
        <v>0</v>
      </c>
      <c r="G25" s="89"/>
      <c r="H25" s="89">
        <f t="shared" si="1"/>
        <v>0</v>
      </c>
      <c r="I25" s="89"/>
      <c r="J25" s="13" t="str">
        <f t="shared" si="2"/>
        <v/>
      </c>
      <c r="K25" s="64" t="s">
        <v>300</v>
      </c>
      <c r="L25" s="64"/>
      <c r="M25" s="64"/>
      <c r="N25" s="65"/>
      <c r="O25" s="3">
        <v>5</v>
      </c>
      <c r="P25" t="s">
        <v>301</v>
      </c>
      <c r="Q25" s="13" t="str">
        <f>IF(ISBLANK(O25), IncompleteText, OKText)</f>
        <v>OK</v>
      </c>
      <c r="AE25" s="115"/>
      <c r="AF25" s="115"/>
      <c r="AG25" s="115"/>
      <c r="AH25" s="115"/>
      <c r="AI25" s="115"/>
      <c r="AJ25" s="115"/>
      <c r="AK25" s="115"/>
    </row>
    <row r="26" spans="1:37">
      <c r="A26">
        <v>15</v>
      </c>
      <c r="B26" s="3"/>
      <c r="C26" s="3"/>
      <c r="D26" s="3"/>
      <c r="E26" s="3"/>
      <c r="F26" s="89">
        <f t="shared" si="0"/>
        <v>0</v>
      </c>
      <c r="G26" s="89"/>
      <c r="H26" s="89">
        <f t="shared" si="1"/>
        <v>0</v>
      </c>
      <c r="I26" s="89"/>
      <c r="J26" s="13" t="str">
        <f t="shared" si="2"/>
        <v/>
      </c>
      <c r="K26" s="64" t="s">
        <v>302</v>
      </c>
      <c r="L26" s="64"/>
      <c r="M26" s="64"/>
      <c r="N26" s="65"/>
      <c r="O26" s="31"/>
      <c r="P26" s="32"/>
      <c r="Q26" s="26"/>
      <c r="AE26" s="115"/>
      <c r="AF26" s="115"/>
      <c r="AG26" s="115"/>
      <c r="AH26" s="115"/>
      <c r="AI26" s="115"/>
      <c r="AJ26" s="115"/>
      <c r="AK26" s="115"/>
    </row>
    <row r="27" spans="1:37">
      <c r="A27">
        <v>16</v>
      </c>
      <c r="B27" s="3"/>
      <c r="C27" s="3"/>
      <c r="D27" s="3"/>
      <c r="E27" s="3"/>
      <c r="F27" s="89">
        <f t="shared" si="0"/>
        <v>0</v>
      </c>
      <c r="G27" s="89"/>
      <c r="H27" s="89">
        <f t="shared" si="1"/>
        <v>0</v>
      </c>
      <c r="I27" s="89"/>
      <c r="J27" s="13" t="str">
        <f t="shared" si="2"/>
        <v/>
      </c>
      <c r="K27" s="64" t="s">
        <v>303</v>
      </c>
      <c r="L27" s="64"/>
      <c r="M27" s="64"/>
      <c r="N27" s="65"/>
      <c r="O27" s="31"/>
      <c r="P27" s="32"/>
      <c r="Q27" s="13" t="str">
        <f>IF(ISBLANK($O$26), "", IF(ISBLANK(O27), IncompleteText, OKText))</f>
        <v/>
      </c>
      <c r="AE27" s="115"/>
      <c r="AF27" s="115"/>
      <c r="AG27" s="115"/>
      <c r="AH27" s="115"/>
      <c r="AI27" s="115"/>
      <c r="AJ27" s="115"/>
      <c r="AK27" s="115"/>
    </row>
    <row r="28" spans="1:37" ht="15">
      <c r="A28">
        <v>17</v>
      </c>
      <c r="B28" s="3"/>
      <c r="C28" s="3"/>
      <c r="D28" s="3"/>
      <c r="E28" s="3"/>
      <c r="F28" s="89">
        <f t="shared" si="0"/>
        <v>0</v>
      </c>
      <c r="G28" s="89"/>
      <c r="H28" s="89">
        <f t="shared" si="1"/>
        <v>0</v>
      </c>
      <c r="I28" s="89"/>
      <c r="J28" s="13" t="str">
        <f t="shared" si="2"/>
        <v/>
      </c>
      <c r="K28" s="64" t="s">
        <v>304</v>
      </c>
      <c r="L28" s="64"/>
      <c r="M28" s="64"/>
      <c r="N28" s="65"/>
      <c r="O28" s="3"/>
      <c r="P28" t="s">
        <v>305</v>
      </c>
      <c r="Q28" s="13" t="str">
        <f>IF(ISBLANK($O$26), "", IF(ISBLANK(O28), IncompleteText, OKText))</f>
        <v/>
      </c>
      <c r="AE28" s="115"/>
      <c r="AF28" s="115"/>
      <c r="AG28" s="115"/>
      <c r="AH28" s="115"/>
      <c r="AI28" s="115"/>
      <c r="AJ28" s="115"/>
      <c r="AK28" s="115"/>
    </row>
    <row r="29" spans="1:37">
      <c r="A29">
        <v>18</v>
      </c>
      <c r="B29" s="3"/>
      <c r="C29" s="3"/>
      <c r="D29" s="3"/>
      <c r="E29" s="3"/>
      <c r="F29" s="89">
        <f t="shared" si="0"/>
        <v>0</v>
      </c>
      <c r="G29" s="89"/>
      <c r="H29" s="89">
        <f t="shared" si="1"/>
        <v>0</v>
      </c>
      <c r="I29" s="89"/>
      <c r="J29" s="13" t="str">
        <f t="shared" si="2"/>
        <v/>
      </c>
      <c r="K29" s="64" t="s">
        <v>306</v>
      </c>
      <c r="L29" s="64"/>
      <c r="M29" s="64"/>
      <c r="N29" s="65"/>
      <c r="O29" s="3"/>
      <c r="P29" t="s">
        <v>299</v>
      </c>
      <c r="Q29" s="13" t="str">
        <f>IF(ISBLANK($O$26), "", IF(ISBLANK(O29), IncompleteText, OKText))</f>
        <v/>
      </c>
      <c r="AE29" s="115"/>
      <c r="AF29" s="115"/>
      <c r="AG29" s="115"/>
      <c r="AH29" s="115"/>
      <c r="AI29" s="115"/>
      <c r="AJ29" s="115"/>
      <c r="AK29" s="115"/>
    </row>
    <row r="30" spans="1:37">
      <c r="K30" s="64" t="s">
        <v>307</v>
      </c>
      <c r="L30" s="64"/>
      <c r="M30" s="64"/>
      <c r="N30" s="65"/>
      <c r="O30" s="4">
        <f>SUMIF(J12:J29, "=OK", D12:D29)*CellsPerTempSensor/TotalCells*100</f>
        <v>100</v>
      </c>
      <c r="P30" t="s">
        <v>308</v>
      </c>
      <c r="Q30" s="13" t="str">
        <f>IF(ISERROR(O30),IncompleteText,IF(O30&lt;20,ErrorText,OKText))</f>
        <v>OK</v>
      </c>
    </row>
    <row r="33" spans="1:53">
      <c r="A33" s="116" t="s">
        <v>309</v>
      </c>
      <c r="B33" s="116"/>
      <c r="C33" s="116"/>
      <c r="D33" s="116"/>
      <c r="E33" s="116"/>
      <c r="F33" s="116"/>
      <c r="G33" s="116"/>
      <c r="H33" s="116"/>
      <c r="J33" s="118" t="s">
        <v>310</v>
      </c>
      <c r="K33" s="116"/>
      <c r="L33" s="116"/>
      <c r="M33" s="116"/>
      <c r="N33" s="116"/>
      <c r="O33" s="116"/>
      <c r="P33" s="116"/>
      <c r="Q33" s="116"/>
      <c r="S33" s="116" t="s">
        <v>311</v>
      </c>
      <c r="T33" s="116"/>
      <c r="U33" s="116"/>
      <c r="V33" s="116"/>
      <c r="W33" s="116"/>
      <c r="X33" s="116"/>
      <c r="Y33" s="116"/>
      <c r="Z33" s="116"/>
      <c r="AB33" s="116" t="s">
        <v>312</v>
      </c>
      <c r="AC33" s="116"/>
      <c r="AD33" s="116"/>
      <c r="AE33" s="116"/>
      <c r="AF33" s="116"/>
      <c r="AG33" s="116"/>
      <c r="AH33" s="116"/>
      <c r="AI33" s="116"/>
      <c r="AK33" s="118" t="s">
        <v>313</v>
      </c>
      <c r="AL33" s="118"/>
      <c r="AM33" s="118"/>
      <c r="AN33" s="118"/>
      <c r="AO33" s="118"/>
      <c r="AP33" s="118"/>
      <c r="AQ33" s="118"/>
      <c r="AR33" s="118"/>
      <c r="AT33" s="116" t="s">
        <v>314</v>
      </c>
      <c r="AU33" s="116"/>
      <c r="AV33" s="116"/>
      <c r="AW33" s="116"/>
      <c r="AX33" s="116"/>
      <c r="AY33" s="116"/>
      <c r="AZ33" s="116"/>
      <c r="BA33" s="116"/>
    </row>
    <row r="34" spans="1:53">
      <c r="A34" s="116"/>
      <c r="B34" s="116"/>
      <c r="C34" s="116"/>
      <c r="D34" s="116"/>
      <c r="E34" s="116"/>
      <c r="F34" s="116"/>
      <c r="G34" s="116"/>
      <c r="H34" s="116"/>
      <c r="J34" s="116"/>
      <c r="K34" s="116"/>
      <c r="L34" s="116"/>
      <c r="M34" s="116"/>
      <c r="N34" s="116"/>
      <c r="O34" s="116"/>
      <c r="P34" s="116"/>
      <c r="Q34" s="116"/>
      <c r="S34" s="116"/>
      <c r="T34" s="116"/>
      <c r="U34" s="116"/>
      <c r="V34" s="116"/>
      <c r="W34" s="116"/>
      <c r="X34" s="116"/>
      <c r="Y34" s="116"/>
      <c r="Z34" s="116"/>
      <c r="AB34" s="116"/>
      <c r="AC34" s="116"/>
      <c r="AD34" s="116"/>
      <c r="AE34" s="116"/>
      <c r="AF34" s="116"/>
      <c r="AG34" s="116"/>
      <c r="AH34" s="116"/>
      <c r="AI34" s="116"/>
      <c r="AK34" s="118"/>
      <c r="AL34" s="118"/>
      <c r="AM34" s="118"/>
      <c r="AN34" s="118"/>
      <c r="AO34" s="118"/>
      <c r="AP34" s="118"/>
      <c r="AQ34" s="118"/>
      <c r="AR34" s="118"/>
      <c r="AT34" s="116"/>
      <c r="AU34" s="116"/>
      <c r="AV34" s="116"/>
      <c r="AW34" s="116"/>
      <c r="AX34" s="116"/>
      <c r="AY34" s="116"/>
      <c r="AZ34" s="116"/>
      <c r="BA34" s="116"/>
    </row>
    <row r="35" spans="1:53">
      <c r="A35" s="116"/>
      <c r="B35" s="116"/>
      <c r="C35" s="116"/>
      <c r="D35" s="116"/>
      <c r="E35" s="116"/>
      <c r="F35" s="116"/>
      <c r="G35" s="116"/>
      <c r="H35" s="116"/>
      <c r="J35" s="116"/>
      <c r="K35" s="116"/>
      <c r="L35" s="116"/>
      <c r="M35" s="116"/>
      <c r="N35" s="116"/>
      <c r="O35" s="116"/>
      <c r="P35" s="116"/>
      <c r="Q35" s="116"/>
      <c r="S35" s="116"/>
      <c r="T35" s="116"/>
      <c r="U35" s="116"/>
      <c r="V35" s="116"/>
      <c r="W35" s="116"/>
      <c r="X35" s="116"/>
      <c r="Y35" s="116"/>
      <c r="Z35" s="116"/>
      <c r="AB35" s="116"/>
      <c r="AC35" s="116"/>
      <c r="AD35" s="116"/>
      <c r="AE35" s="116"/>
      <c r="AF35" s="116"/>
      <c r="AG35" s="116"/>
      <c r="AH35" s="116"/>
      <c r="AI35" s="116"/>
      <c r="AK35" s="118"/>
      <c r="AL35" s="118"/>
      <c r="AM35" s="118"/>
      <c r="AN35" s="118"/>
      <c r="AO35" s="118"/>
      <c r="AP35" s="118"/>
      <c r="AQ35" s="118"/>
      <c r="AR35" s="118"/>
      <c r="AT35" s="116"/>
      <c r="AU35" s="116"/>
      <c r="AV35" s="116"/>
      <c r="AW35" s="116"/>
      <c r="AX35" s="116"/>
      <c r="AY35" s="116"/>
      <c r="AZ35" s="116"/>
      <c r="BA35" s="116"/>
    </row>
    <row r="36" spans="1:53">
      <c r="A36" s="116"/>
      <c r="B36" s="116"/>
      <c r="C36" s="116"/>
      <c r="D36" s="116"/>
      <c r="E36" s="116"/>
      <c r="F36" s="116"/>
      <c r="G36" s="116"/>
      <c r="H36" s="116"/>
      <c r="J36" s="116"/>
      <c r="K36" s="116"/>
      <c r="L36" s="116"/>
      <c r="M36" s="116"/>
      <c r="N36" s="116"/>
      <c r="O36" s="116"/>
      <c r="P36" s="116"/>
      <c r="Q36" s="116"/>
      <c r="S36" s="116"/>
      <c r="T36" s="116"/>
      <c r="U36" s="116"/>
      <c r="V36" s="116"/>
      <c r="W36" s="116"/>
      <c r="X36" s="116"/>
      <c r="Y36" s="116"/>
      <c r="Z36" s="116"/>
      <c r="AB36" s="116"/>
      <c r="AC36" s="116"/>
      <c r="AD36" s="116"/>
      <c r="AE36" s="116"/>
      <c r="AF36" s="116"/>
      <c r="AG36" s="116"/>
      <c r="AH36" s="116"/>
      <c r="AI36" s="116"/>
      <c r="AK36" s="118"/>
      <c r="AL36" s="118"/>
      <c r="AM36" s="118"/>
      <c r="AN36" s="118"/>
      <c r="AO36" s="118"/>
      <c r="AP36" s="118"/>
      <c r="AQ36" s="118"/>
      <c r="AR36" s="118"/>
      <c r="AT36" s="116"/>
      <c r="AU36" s="116"/>
      <c r="AV36" s="116"/>
      <c r="AW36" s="116"/>
      <c r="AX36" s="116"/>
      <c r="AY36" s="116"/>
      <c r="AZ36" s="116"/>
      <c r="BA36" s="116"/>
    </row>
    <row r="37" spans="1:53">
      <c r="A37" s="116"/>
      <c r="B37" s="116"/>
      <c r="C37" s="116"/>
      <c r="D37" s="116"/>
      <c r="E37" s="116"/>
      <c r="F37" s="116"/>
      <c r="G37" s="116"/>
      <c r="H37" s="116"/>
      <c r="J37" s="116"/>
      <c r="K37" s="116"/>
      <c r="L37" s="116"/>
      <c r="M37" s="116"/>
      <c r="N37" s="116"/>
      <c r="O37" s="116"/>
      <c r="P37" s="116"/>
      <c r="Q37" s="116"/>
      <c r="S37" s="116"/>
      <c r="T37" s="116"/>
      <c r="U37" s="116"/>
      <c r="V37" s="116"/>
      <c r="W37" s="116"/>
      <c r="X37" s="116"/>
      <c r="Y37" s="116"/>
      <c r="Z37" s="116"/>
      <c r="AB37" s="116"/>
      <c r="AC37" s="116"/>
      <c r="AD37" s="116"/>
      <c r="AE37" s="116"/>
      <c r="AF37" s="116"/>
      <c r="AG37" s="116"/>
      <c r="AH37" s="116"/>
      <c r="AI37" s="116"/>
      <c r="AK37" s="118"/>
      <c r="AL37" s="118"/>
      <c r="AM37" s="118"/>
      <c r="AN37" s="118"/>
      <c r="AO37" s="118"/>
      <c r="AP37" s="118"/>
      <c r="AQ37" s="118"/>
      <c r="AR37" s="118"/>
      <c r="AT37" s="116"/>
      <c r="AU37" s="116"/>
      <c r="AV37" s="116"/>
      <c r="AW37" s="116"/>
      <c r="AX37" s="116"/>
      <c r="AY37" s="116"/>
      <c r="AZ37" s="116"/>
      <c r="BA37" s="116"/>
    </row>
    <row r="38" spans="1:53">
      <c r="A38" s="116"/>
      <c r="B38" s="116"/>
      <c r="C38" s="116"/>
      <c r="D38" s="116"/>
      <c r="E38" s="116"/>
      <c r="F38" s="116"/>
      <c r="G38" s="116"/>
      <c r="H38" s="116"/>
      <c r="J38" s="116"/>
      <c r="K38" s="116"/>
      <c r="L38" s="116"/>
      <c r="M38" s="116"/>
      <c r="N38" s="116"/>
      <c r="O38" s="116"/>
      <c r="P38" s="116"/>
      <c r="Q38" s="116"/>
      <c r="S38" s="116"/>
      <c r="T38" s="116"/>
      <c r="U38" s="116"/>
      <c r="V38" s="116"/>
      <c r="W38" s="116"/>
      <c r="X38" s="116"/>
      <c r="Y38" s="116"/>
      <c r="Z38" s="116"/>
      <c r="AB38" s="116"/>
      <c r="AC38" s="116"/>
      <c r="AD38" s="116"/>
      <c r="AE38" s="116"/>
      <c r="AF38" s="116"/>
      <c r="AG38" s="116"/>
      <c r="AH38" s="116"/>
      <c r="AI38" s="116"/>
      <c r="AK38" s="118"/>
      <c r="AL38" s="118"/>
      <c r="AM38" s="118"/>
      <c r="AN38" s="118"/>
      <c r="AO38" s="118"/>
      <c r="AP38" s="118"/>
      <c r="AQ38" s="118"/>
      <c r="AR38" s="118"/>
      <c r="AT38" s="116"/>
      <c r="AU38" s="116"/>
      <c r="AV38" s="116"/>
      <c r="AW38" s="116"/>
      <c r="AX38" s="116"/>
      <c r="AY38" s="116"/>
      <c r="AZ38" s="116"/>
      <c r="BA38" s="116"/>
    </row>
    <row r="39" spans="1:53">
      <c r="A39" s="116"/>
      <c r="B39" s="116"/>
      <c r="C39" s="116"/>
      <c r="D39" s="116"/>
      <c r="E39" s="116"/>
      <c r="F39" s="116"/>
      <c r="G39" s="116"/>
      <c r="H39" s="116"/>
      <c r="J39" s="116"/>
      <c r="K39" s="116"/>
      <c r="L39" s="116"/>
      <c r="M39" s="116"/>
      <c r="N39" s="116"/>
      <c r="O39" s="116"/>
      <c r="P39" s="116"/>
      <c r="Q39" s="116"/>
      <c r="S39" s="116"/>
      <c r="T39" s="116"/>
      <c r="U39" s="116"/>
      <c r="V39" s="116"/>
      <c r="W39" s="116"/>
      <c r="X39" s="116"/>
      <c r="Y39" s="116"/>
      <c r="Z39" s="116"/>
      <c r="AB39" s="116"/>
      <c r="AC39" s="116"/>
      <c r="AD39" s="116"/>
      <c r="AE39" s="116"/>
      <c r="AF39" s="116"/>
      <c r="AG39" s="116"/>
      <c r="AH39" s="116"/>
      <c r="AI39" s="116"/>
      <c r="AK39" s="118"/>
      <c r="AL39" s="118"/>
      <c r="AM39" s="118"/>
      <c r="AN39" s="118"/>
      <c r="AO39" s="118"/>
      <c r="AP39" s="118"/>
      <c r="AQ39" s="118"/>
      <c r="AR39" s="118"/>
      <c r="AT39" s="116"/>
      <c r="AU39" s="116"/>
      <c r="AV39" s="116"/>
      <c r="AW39" s="116"/>
      <c r="AX39" s="116"/>
      <c r="AY39" s="116"/>
      <c r="AZ39" s="116"/>
      <c r="BA39" s="116"/>
    </row>
    <row r="40" spans="1:53">
      <c r="A40" s="116"/>
      <c r="B40" s="116"/>
      <c r="C40" s="116"/>
      <c r="D40" s="116"/>
      <c r="E40" s="116"/>
      <c r="F40" s="116"/>
      <c r="G40" s="116"/>
      <c r="H40" s="116"/>
      <c r="J40" s="116"/>
      <c r="K40" s="116"/>
      <c r="L40" s="116"/>
      <c r="M40" s="116"/>
      <c r="N40" s="116"/>
      <c r="O40" s="116"/>
      <c r="P40" s="116"/>
      <c r="Q40" s="116"/>
      <c r="S40" s="116"/>
      <c r="T40" s="116"/>
      <c r="U40" s="116"/>
      <c r="V40" s="116"/>
      <c r="W40" s="116"/>
      <c r="X40" s="116"/>
      <c r="Y40" s="116"/>
      <c r="Z40" s="116"/>
      <c r="AB40" s="116"/>
      <c r="AC40" s="116"/>
      <c r="AD40" s="116"/>
      <c r="AE40" s="116"/>
      <c r="AF40" s="116"/>
      <c r="AG40" s="116"/>
      <c r="AH40" s="116"/>
      <c r="AI40" s="116"/>
      <c r="AK40" s="118"/>
      <c r="AL40" s="118"/>
      <c r="AM40" s="118"/>
      <c r="AN40" s="118"/>
      <c r="AO40" s="118"/>
      <c r="AP40" s="118"/>
      <c r="AQ40" s="118"/>
      <c r="AR40" s="118"/>
      <c r="AT40" s="116"/>
      <c r="AU40" s="116"/>
      <c r="AV40" s="116"/>
      <c r="AW40" s="116"/>
      <c r="AX40" s="116"/>
      <c r="AY40" s="116"/>
      <c r="AZ40" s="116"/>
      <c r="BA40" s="116"/>
    </row>
    <row r="41" spans="1:53">
      <c r="A41" s="116"/>
      <c r="B41" s="116"/>
      <c r="C41" s="116"/>
      <c r="D41" s="116"/>
      <c r="E41" s="116"/>
      <c r="F41" s="116"/>
      <c r="G41" s="116"/>
      <c r="H41" s="116"/>
      <c r="J41" s="116"/>
      <c r="K41" s="116"/>
      <c r="L41" s="116"/>
      <c r="M41" s="116"/>
      <c r="N41" s="116"/>
      <c r="O41" s="116"/>
      <c r="P41" s="116"/>
      <c r="Q41" s="116"/>
      <c r="S41" s="116"/>
      <c r="T41" s="116"/>
      <c r="U41" s="116"/>
      <c r="V41" s="116"/>
      <c r="W41" s="116"/>
      <c r="X41" s="116"/>
      <c r="Y41" s="116"/>
      <c r="Z41" s="116"/>
      <c r="AB41" s="116"/>
      <c r="AC41" s="116"/>
      <c r="AD41" s="116"/>
      <c r="AE41" s="116"/>
      <c r="AF41" s="116"/>
      <c r="AG41" s="116"/>
      <c r="AH41" s="116"/>
      <c r="AI41" s="116"/>
      <c r="AK41" s="118"/>
      <c r="AL41" s="118"/>
      <c r="AM41" s="118"/>
      <c r="AN41" s="118"/>
      <c r="AO41" s="118"/>
      <c r="AP41" s="118"/>
      <c r="AQ41" s="118"/>
      <c r="AR41" s="118"/>
      <c r="AT41" s="116"/>
      <c r="AU41" s="116"/>
      <c r="AV41" s="116"/>
      <c r="AW41" s="116"/>
      <c r="AX41" s="116"/>
      <c r="AY41" s="116"/>
      <c r="AZ41" s="116"/>
      <c r="BA41" s="116"/>
    </row>
    <row r="42" spans="1:53">
      <c r="A42" s="116"/>
      <c r="B42" s="116"/>
      <c r="C42" s="116"/>
      <c r="D42" s="116"/>
      <c r="E42" s="116"/>
      <c r="F42" s="116"/>
      <c r="G42" s="116"/>
      <c r="H42" s="116"/>
      <c r="J42" s="116"/>
      <c r="K42" s="116"/>
      <c r="L42" s="116"/>
      <c r="M42" s="116"/>
      <c r="N42" s="116"/>
      <c r="O42" s="116"/>
      <c r="P42" s="116"/>
      <c r="Q42" s="116"/>
      <c r="S42" s="116"/>
      <c r="T42" s="116"/>
      <c r="U42" s="116"/>
      <c r="V42" s="116"/>
      <c r="W42" s="116"/>
      <c r="X42" s="116"/>
      <c r="Y42" s="116"/>
      <c r="Z42" s="116"/>
      <c r="AB42" s="116"/>
      <c r="AC42" s="116"/>
      <c r="AD42" s="116"/>
      <c r="AE42" s="116"/>
      <c r="AF42" s="116"/>
      <c r="AG42" s="116"/>
      <c r="AH42" s="116"/>
      <c r="AI42" s="116"/>
      <c r="AK42" s="118"/>
      <c r="AL42" s="118"/>
      <c r="AM42" s="118"/>
      <c r="AN42" s="118"/>
      <c r="AO42" s="118"/>
      <c r="AP42" s="118"/>
      <c r="AQ42" s="118"/>
      <c r="AR42" s="118"/>
      <c r="AT42" s="116"/>
      <c r="AU42" s="116"/>
      <c r="AV42" s="116"/>
      <c r="AW42" s="116"/>
      <c r="AX42" s="116"/>
      <c r="AY42" s="116"/>
      <c r="AZ42" s="116"/>
      <c r="BA42" s="116"/>
    </row>
    <row r="43" spans="1:53">
      <c r="A43" s="116"/>
      <c r="B43" s="116"/>
      <c r="C43" s="116"/>
      <c r="D43" s="116"/>
      <c r="E43" s="116"/>
      <c r="F43" s="116"/>
      <c r="G43" s="116"/>
      <c r="H43" s="116"/>
      <c r="J43" s="116"/>
      <c r="K43" s="116"/>
      <c r="L43" s="116"/>
      <c r="M43" s="116"/>
      <c r="N43" s="116"/>
      <c r="O43" s="116"/>
      <c r="P43" s="116"/>
      <c r="Q43" s="116"/>
      <c r="S43" s="116"/>
      <c r="T43" s="116"/>
      <c r="U43" s="116"/>
      <c r="V43" s="116"/>
      <c r="W43" s="116"/>
      <c r="X43" s="116"/>
      <c r="Y43" s="116"/>
      <c r="Z43" s="116"/>
      <c r="AB43" s="116"/>
      <c r="AC43" s="116"/>
      <c r="AD43" s="116"/>
      <c r="AE43" s="116"/>
      <c r="AF43" s="116"/>
      <c r="AG43" s="116"/>
      <c r="AH43" s="116"/>
      <c r="AI43" s="116"/>
      <c r="AK43" s="118"/>
      <c r="AL43" s="118"/>
      <c r="AM43" s="118"/>
      <c r="AN43" s="118"/>
      <c r="AO43" s="118"/>
      <c r="AP43" s="118"/>
      <c r="AQ43" s="118"/>
      <c r="AR43" s="118"/>
      <c r="AT43" s="116"/>
      <c r="AU43" s="116"/>
      <c r="AV43" s="116"/>
      <c r="AW43" s="116"/>
      <c r="AX43" s="116"/>
      <c r="AY43" s="116"/>
      <c r="AZ43" s="116"/>
      <c r="BA43" s="116"/>
    </row>
    <row r="44" spans="1:53">
      <c r="A44" s="116"/>
      <c r="B44" s="116"/>
      <c r="C44" s="116"/>
      <c r="D44" s="116"/>
      <c r="E44" s="116"/>
      <c r="F44" s="116"/>
      <c r="G44" s="116"/>
      <c r="H44" s="116"/>
      <c r="J44" s="116"/>
      <c r="K44" s="116"/>
      <c r="L44" s="116"/>
      <c r="M44" s="116"/>
      <c r="N44" s="116"/>
      <c r="O44" s="116"/>
      <c r="P44" s="116"/>
      <c r="Q44" s="116"/>
      <c r="S44" s="116"/>
      <c r="T44" s="116"/>
      <c r="U44" s="116"/>
      <c r="V44" s="116"/>
      <c r="W44" s="116"/>
      <c r="X44" s="116"/>
      <c r="Y44" s="116"/>
      <c r="Z44" s="116"/>
      <c r="AB44" s="116"/>
      <c r="AC44" s="116"/>
      <c r="AD44" s="116"/>
      <c r="AE44" s="116"/>
      <c r="AF44" s="116"/>
      <c r="AG44" s="116"/>
      <c r="AH44" s="116"/>
      <c r="AI44" s="116"/>
      <c r="AK44" s="118"/>
      <c r="AL44" s="118"/>
      <c r="AM44" s="118"/>
      <c r="AN44" s="118"/>
      <c r="AO44" s="118"/>
      <c r="AP44" s="118"/>
      <c r="AQ44" s="118"/>
      <c r="AR44" s="118"/>
      <c r="AT44" s="116"/>
      <c r="AU44" s="116"/>
      <c r="AV44" s="116"/>
      <c r="AW44" s="116"/>
      <c r="AX44" s="116"/>
      <c r="AY44" s="116"/>
      <c r="AZ44" s="116"/>
      <c r="BA44" s="116"/>
    </row>
    <row r="45" spans="1:53">
      <c r="A45" s="116"/>
      <c r="B45" s="116"/>
      <c r="C45" s="116"/>
      <c r="D45" s="116"/>
      <c r="E45" s="116"/>
      <c r="F45" s="116"/>
      <c r="G45" s="116"/>
      <c r="H45" s="116"/>
      <c r="J45" s="116"/>
      <c r="K45" s="116"/>
      <c r="L45" s="116"/>
      <c r="M45" s="116"/>
      <c r="N45" s="116"/>
      <c r="O45" s="116"/>
      <c r="P45" s="116"/>
      <c r="Q45" s="116"/>
      <c r="S45" s="116"/>
      <c r="T45" s="116"/>
      <c r="U45" s="116"/>
      <c r="V45" s="116"/>
      <c r="W45" s="116"/>
      <c r="X45" s="116"/>
      <c r="Y45" s="116"/>
      <c r="Z45" s="116"/>
      <c r="AB45" s="116"/>
      <c r="AC45" s="116"/>
      <c r="AD45" s="116"/>
      <c r="AE45" s="116"/>
      <c r="AF45" s="116"/>
      <c r="AG45" s="116"/>
      <c r="AH45" s="116"/>
      <c r="AI45" s="116"/>
      <c r="AK45" s="118"/>
      <c r="AL45" s="118"/>
      <c r="AM45" s="118"/>
      <c r="AN45" s="118"/>
      <c r="AO45" s="118"/>
      <c r="AP45" s="118"/>
      <c r="AQ45" s="118"/>
      <c r="AR45" s="118"/>
      <c r="AT45" s="116"/>
      <c r="AU45" s="116"/>
      <c r="AV45" s="116"/>
      <c r="AW45" s="116"/>
      <c r="AX45" s="116"/>
      <c r="AY45" s="116"/>
      <c r="AZ45" s="116"/>
      <c r="BA45" s="116"/>
    </row>
    <row r="46" spans="1:53">
      <c r="A46" s="116"/>
      <c r="B46" s="116"/>
      <c r="C46" s="116"/>
      <c r="D46" s="116"/>
      <c r="E46" s="116"/>
      <c r="F46" s="116"/>
      <c r="G46" s="116"/>
      <c r="H46" s="116"/>
      <c r="J46" s="116"/>
      <c r="K46" s="116"/>
      <c r="L46" s="116"/>
      <c r="M46" s="116"/>
      <c r="N46" s="116"/>
      <c r="O46" s="116"/>
      <c r="P46" s="116"/>
      <c r="Q46" s="116"/>
      <c r="S46" s="116"/>
      <c r="T46" s="116"/>
      <c r="U46" s="116"/>
      <c r="V46" s="116"/>
      <c r="W46" s="116"/>
      <c r="X46" s="116"/>
      <c r="Y46" s="116"/>
      <c r="Z46" s="116"/>
      <c r="AB46" s="116"/>
      <c r="AC46" s="116"/>
      <c r="AD46" s="116"/>
      <c r="AE46" s="116"/>
      <c r="AF46" s="116"/>
      <c r="AG46" s="116"/>
      <c r="AH46" s="116"/>
      <c r="AI46" s="116"/>
      <c r="AK46" s="118"/>
      <c r="AL46" s="118"/>
      <c r="AM46" s="118"/>
      <c r="AN46" s="118"/>
      <c r="AO46" s="118"/>
      <c r="AP46" s="118"/>
      <c r="AQ46" s="118"/>
      <c r="AR46" s="118"/>
      <c r="AT46" s="116"/>
      <c r="AU46" s="116"/>
      <c r="AV46" s="116"/>
      <c r="AW46" s="116"/>
      <c r="AX46" s="116"/>
      <c r="AY46" s="116"/>
      <c r="AZ46" s="116"/>
      <c r="BA46" s="116"/>
    </row>
    <row r="47" spans="1:53">
      <c r="A47" s="116"/>
      <c r="B47" s="116"/>
      <c r="C47" s="116"/>
      <c r="D47" s="116"/>
      <c r="E47" s="116"/>
      <c r="F47" s="116"/>
      <c r="G47" s="116"/>
      <c r="H47" s="116"/>
      <c r="J47" s="116"/>
      <c r="K47" s="116"/>
      <c r="L47" s="116"/>
      <c r="M47" s="116"/>
      <c r="N47" s="116"/>
      <c r="O47" s="116"/>
      <c r="P47" s="116"/>
      <c r="Q47" s="116"/>
      <c r="S47" s="116"/>
      <c r="T47" s="116"/>
      <c r="U47" s="116"/>
      <c r="V47" s="116"/>
      <c r="W47" s="116"/>
      <c r="X47" s="116"/>
      <c r="Y47" s="116"/>
      <c r="Z47" s="116"/>
      <c r="AB47" s="116"/>
      <c r="AC47" s="116"/>
      <c r="AD47" s="116"/>
      <c r="AE47" s="116"/>
      <c r="AF47" s="116"/>
      <c r="AG47" s="116"/>
      <c r="AH47" s="116"/>
      <c r="AI47" s="116"/>
      <c r="AK47" s="118"/>
      <c r="AL47" s="118"/>
      <c r="AM47" s="118"/>
      <c r="AN47" s="118"/>
      <c r="AO47" s="118"/>
      <c r="AP47" s="118"/>
      <c r="AQ47" s="118"/>
      <c r="AR47" s="118"/>
      <c r="AT47" s="116"/>
      <c r="AU47" s="116"/>
      <c r="AV47" s="116"/>
      <c r="AW47" s="116"/>
      <c r="AX47" s="116"/>
      <c r="AY47" s="116"/>
      <c r="AZ47" s="116"/>
      <c r="BA47" s="116"/>
    </row>
    <row r="48" spans="1:53">
      <c r="A48" s="116"/>
      <c r="B48" s="116"/>
      <c r="C48" s="116"/>
      <c r="D48" s="116"/>
      <c r="E48" s="116"/>
      <c r="F48" s="116"/>
      <c r="G48" s="116"/>
      <c r="H48" s="116"/>
      <c r="J48" s="116"/>
      <c r="K48" s="116"/>
      <c r="L48" s="116"/>
      <c r="M48" s="116"/>
      <c r="N48" s="116"/>
      <c r="O48" s="116"/>
      <c r="P48" s="116"/>
      <c r="Q48" s="116"/>
      <c r="S48" s="116"/>
      <c r="T48" s="116"/>
      <c r="U48" s="116"/>
      <c r="V48" s="116"/>
      <c r="W48" s="116"/>
      <c r="X48" s="116"/>
      <c r="Y48" s="116"/>
      <c r="Z48" s="116"/>
      <c r="AB48" s="116"/>
      <c r="AC48" s="116"/>
      <c r="AD48" s="116"/>
      <c r="AE48" s="116"/>
      <c r="AF48" s="116"/>
      <c r="AG48" s="116"/>
      <c r="AH48" s="116"/>
      <c r="AI48" s="116"/>
      <c r="AK48" s="118"/>
      <c r="AL48" s="118"/>
      <c r="AM48" s="118"/>
      <c r="AN48" s="118"/>
      <c r="AO48" s="118"/>
      <c r="AP48" s="118"/>
      <c r="AQ48" s="118"/>
      <c r="AR48" s="118"/>
      <c r="AT48" s="116"/>
      <c r="AU48" s="116"/>
      <c r="AV48" s="116"/>
      <c r="AW48" s="116"/>
      <c r="AX48" s="116"/>
      <c r="AY48" s="116"/>
      <c r="AZ48" s="116"/>
      <c r="BA48" s="116"/>
    </row>
    <row r="49" spans="1:53">
      <c r="A49" s="116"/>
      <c r="B49" s="116"/>
      <c r="C49" s="116"/>
      <c r="D49" s="116"/>
      <c r="E49" s="116"/>
      <c r="F49" s="116"/>
      <c r="G49" s="116"/>
      <c r="H49" s="116"/>
      <c r="J49" s="116"/>
      <c r="K49" s="116"/>
      <c r="L49" s="116"/>
      <c r="M49" s="116"/>
      <c r="N49" s="116"/>
      <c r="O49" s="116"/>
      <c r="P49" s="116"/>
      <c r="Q49" s="116"/>
      <c r="S49" s="116"/>
      <c r="T49" s="116"/>
      <c r="U49" s="116"/>
      <c r="V49" s="116"/>
      <c r="W49" s="116"/>
      <c r="X49" s="116"/>
      <c r="Y49" s="116"/>
      <c r="Z49" s="116"/>
      <c r="AB49" s="116"/>
      <c r="AC49" s="116"/>
      <c r="AD49" s="116"/>
      <c r="AE49" s="116"/>
      <c r="AF49" s="116"/>
      <c r="AG49" s="116"/>
      <c r="AH49" s="116"/>
      <c r="AI49" s="116"/>
      <c r="AK49" s="118"/>
      <c r="AL49" s="118"/>
      <c r="AM49" s="118"/>
      <c r="AN49" s="118"/>
      <c r="AO49" s="118"/>
      <c r="AP49" s="118"/>
      <c r="AQ49" s="118"/>
      <c r="AR49" s="118"/>
      <c r="AT49" s="116"/>
      <c r="AU49" s="116"/>
      <c r="AV49" s="116"/>
      <c r="AW49" s="116"/>
      <c r="AX49" s="116"/>
      <c r="AY49" s="116"/>
      <c r="AZ49" s="116"/>
      <c r="BA49" s="116"/>
    </row>
    <row r="50" spans="1:53">
      <c r="A50" s="116"/>
      <c r="B50" s="116"/>
      <c r="C50" s="116"/>
      <c r="D50" s="116"/>
      <c r="E50" s="116"/>
      <c r="F50" s="116"/>
      <c r="G50" s="116"/>
      <c r="H50" s="116"/>
      <c r="J50" s="116"/>
      <c r="K50" s="116"/>
      <c r="L50" s="116"/>
      <c r="M50" s="116"/>
      <c r="N50" s="116"/>
      <c r="O50" s="116"/>
      <c r="P50" s="116"/>
      <c r="Q50" s="116"/>
      <c r="S50" s="116"/>
      <c r="T50" s="116"/>
      <c r="U50" s="116"/>
      <c r="V50" s="116"/>
      <c r="W50" s="116"/>
      <c r="X50" s="116"/>
      <c r="Y50" s="116"/>
      <c r="Z50" s="116"/>
      <c r="AB50" s="116"/>
      <c r="AC50" s="116"/>
      <c r="AD50" s="116"/>
      <c r="AE50" s="116"/>
      <c r="AF50" s="116"/>
      <c r="AG50" s="116"/>
      <c r="AH50" s="116"/>
      <c r="AI50" s="116"/>
      <c r="AK50" s="118"/>
      <c r="AL50" s="118"/>
      <c r="AM50" s="118"/>
      <c r="AN50" s="118"/>
      <c r="AO50" s="118"/>
      <c r="AP50" s="118"/>
      <c r="AQ50" s="118"/>
      <c r="AR50" s="118"/>
      <c r="AT50" s="116"/>
      <c r="AU50" s="116"/>
      <c r="AV50" s="116"/>
      <c r="AW50" s="116"/>
      <c r="AX50" s="116"/>
      <c r="AY50" s="116"/>
      <c r="AZ50" s="116"/>
      <c r="BA50" s="116"/>
    </row>
    <row r="51" spans="1:53">
      <c r="A51" s="116"/>
      <c r="B51" s="116"/>
      <c r="C51" s="116"/>
      <c r="D51" s="116"/>
      <c r="E51" s="116"/>
      <c r="F51" s="116"/>
      <c r="G51" s="116"/>
      <c r="H51" s="116"/>
      <c r="J51" s="116"/>
      <c r="K51" s="116"/>
      <c r="L51" s="116"/>
      <c r="M51" s="116"/>
      <c r="N51" s="116"/>
      <c r="O51" s="116"/>
      <c r="P51" s="116"/>
      <c r="Q51" s="116"/>
      <c r="S51" s="116"/>
      <c r="T51" s="116"/>
      <c r="U51" s="116"/>
      <c r="V51" s="116"/>
      <c r="W51" s="116"/>
      <c r="X51" s="116"/>
      <c r="Y51" s="116"/>
      <c r="Z51" s="116"/>
      <c r="AB51" s="116"/>
      <c r="AC51" s="116"/>
      <c r="AD51" s="116"/>
      <c r="AE51" s="116"/>
      <c r="AF51" s="116"/>
      <c r="AG51" s="116"/>
      <c r="AH51" s="116"/>
      <c r="AI51" s="116"/>
      <c r="AK51" s="118"/>
      <c r="AL51" s="118"/>
      <c r="AM51" s="118"/>
      <c r="AN51" s="118"/>
      <c r="AO51" s="118"/>
      <c r="AP51" s="118"/>
      <c r="AQ51" s="118"/>
      <c r="AR51" s="118"/>
      <c r="AT51" s="116"/>
      <c r="AU51" s="116"/>
      <c r="AV51" s="116"/>
      <c r="AW51" s="116"/>
      <c r="AX51" s="116"/>
      <c r="AY51" s="116"/>
      <c r="AZ51" s="116"/>
      <c r="BA51" s="116"/>
    </row>
    <row r="52" spans="1:53">
      <c r="A52" s="42" t="s">
        <v>315</v>
      </c>
      <c r="B52" s="42"/>
      <c r="C52" s="42"/>
      <c r="D52" s="42"/>
      <c r="E52" s="42"/>
      <c r="F52" s="42"/>
      <c r="G52" s="42"/>
      <c r="H52" s="13" t="str">
        <f>IF(COUNTIF(H53:H55, "="&amp;IncompleteText), IncompleteText, IF(COUNTIF(H53:H55, "="&amp;ErrorText), ErrorText, OKText))</f>
        <v>OK</v>
      </c>
      <c r="J52" s="42" t="s">
        <v>316</v>
      </c>
      <c r="K52" s="42"/>
      <c r="L52" s="42"/>
      <c r="M52" s="42"/>
      <c r="N52" s="42"/>
      <c r="O52" s="42"/>
      <c r="P52" s="42"/>
      <c r="Q52" s="13" t="str">
        <f>IF(COUNTIF(Q53:Q54, "="&amp;IncompleteText), IncompleteText, IF(COUNTIF(Q53:Q54, "="&amp;ErrorText), ErrorText, OKText))</f>
        <v>OK</v>
      </c>
      <c r="S52" s="42" t="s">
        <v>317</v>
      </c>
      <c r="T52" s="42"/>
      <c r="U52" s="42"/>
      <c r="V52" s="42"/>
      <c r="W52" s="42"/>
      <c r="X52" s="42"/>
      <c r="Y52" s="42"/>
      <c r="Z52" s="13" t="str">
        <f>IF(COUNTIF(Z53:Z54, "="&amp;IncompleteText), IncompleteText, IF(COUNTIF(Z53:Z54, "="&amp;ErrorText), ErrorText, OKText))</f>
        <v>OK</v>
      </c>
      <c r="AB52" s="42" t="s">
        <v>318</v>
      </c>
      <c r="AC52" s="42"/>
      <c r="AD52" s="42"/>
      <c r="AE52" s="42"/>
      <c r="AF52" s="42"/>
      <c r="AG52" s="42"/>
      <c r="AH52" s="42"/>
      <c r="AI52" s="13" t="str">
        <f>IF(COUNTIF(AI53, "="&amp;IncompleteText), IncompleteText, IF(COUNTIF(AI53, "="&amp;ErrorText), ErrorText, OKText))</f>
        <v>OK</v>
      </c>
      <c r="AK52" s="42" t="s">
        <v>319</v>
      </c>
      <c r="AL52" s="42"/>
      <c r="AM52" s="42"/>
      <c r="AN52" s="42"/>
      <c r="AO52" s="42"/>
      <c r="AP52" s="42"/>
      <c r="AQ52" s="42"/>
      <c r="AR52" s="13" t="str">
        <f>IF(COUNTIF(AR53, "="&amp;IncompleteText), IncompleteText, IF(COUNTIF(AR53, "="&amp;ErrorText), ErrorText, OKText))</f>
        <v>OK</v>
      </c>
      <c r="AT52" s="42" t="s">
        <v>319</v>
      </c>
      <c r="AU52" s="42"/>
      <c r="AV52" s="42"/>
      <c r="AW52" s="42"/>
      <c r="AX52" s="42"/>
      <c r="AY52" s="42"/>
      <c r="AZ52" s="42"/>
      <c r="BA52" s="13" t="str">
        <f>IF(COUNTIF(BA53, "="&amp;IncompleteText), IncompleteText, IF(COUNTIF(BA53, "="&amp;ErrorText), ErrorText, OKText))</f>
        <v>OK</v>
      </c>
    </row>
    <row r="53" spans="1:53">
      <c r="A53" s="64" t="s">
        <v>320</v>
      </c>
      <c r="B53" s="64"/>
      <c r="C53" s="64"/>
      <c r="D53" s="64"/>
      <c r="E53" s="64"/>
      <c r="F53" s="64"/>
      <c r="G53" s="3" t="b">
        <v>1</v>
      </c>
      <c r="H53" s="13" t="str">
        <f>IF(ISBLANK(G53),IncompleteText, IF(G53, OKText, ErrorText))</f>
        <v>OK</v>
      </c>
      <c r="J53" s="64" t="s">
        <v>321</v>
      </c>
      <c r="K53" s="64"/>
      <c r="L53" s="64"/>
      <c r="M53" s="64"/>
      <c r="N53" s="64"/>
      <c r="O53" s="65"/>
      <c r="P53" s="3" t="b">
        <v>1</v>
      </c>
      <c r="Q53" s="13" t="str">
        <f>IF(ISBLANK(P53),IncompleteText, IF(P53, OKText, ErrorText))</f>
        <v>OK</v>
      </c>
      <c r="S53" s="64" t="s">
        <v>322</v>
      </c>
      <c r="T53" s="64"/>
      <c r="U53" s="64"/>
      <c r="V53" s="64"/>
      <c r="W53" s="64"/>
      <c r="X53" s="65"/>
      <c r="Y53" s="3" t="b">
        <v>1</v>
      </c>
      <c r="Z53" s="13" t="str">
        <f>IF(ISBLANK(Y53),IncompleteText, IF(Y53, OKText, ErrorText))</f>
        <v>OK</v>
      </c>
      <c r="AB53" s="64" t="s">
        <v>323</v>
      </c>
      <c r="AC53" s="64"/>
      <c r="AD53" s="64"/>
      <c r="AE53" s="64"/>
      <c r="AF53" s="64"/>
      <c r="AG53" s="65"/>
      <c r="AH53" s="3" t="b">
        <v>1</v>
      </c>
      <c r="AI53" s="13" t="str">
        <f>IF(ISBLANK(AH53),IncompleteText, IF(AH53, OKText, ErrorText))</f>
        <v>OK</v>
      </c>
      <c r="AK53" s="64" t="s">
        <v>324</v>
      </c>
      <c r="AL53" s="64"/>
      <c r="AM53" s="64"/>
      <c r="AN53" s="64"/>
      <c r="AO53" s="64"/>
      <c r="AP53" s="65"/>
      <c r="AQ53" s="3" t="b">
        <v>1</v>
      </c>
      <c r="AR53" s="13" t="str">
        <f>IF(ISBLANK(AQ53),IncompleteText, IF(AQ53, OKText, ErrorText))</f>
        <v>OK</v>
      </c>
      <c r="AT53" s="64" t="s">
        <v>325</v>
      </c>
      <c r="AU53" s="64"/>
      <c r="AV53" s="64"/>
      <c r="AW53" s="64"/>
      <c r="AX53" s="64"/>
      <c r="AY53" s="65"/>
      <c r="AZ53" s="3" t="b">
        <v>1</v>
      </c>
      <c r="BA53" s="13" t="str">
        <f>IF(ISBLANK(AZ53),IncompleteText, IF(AZ53, OKText, ErrorText))</f>
        <v>OK</v>
      </c>
    </row>
    <row r="54" spans="1:53">
      <c r="A54" s="64" t="s">
        <v>326</v>
      </c>
      <c r="B54" s="64"/>
      <c r="C54" s="64"/>
      <c r="D54" s="64"/>
      <c r="E54" s="64"/>
      <c r="F54" s="64"/>
      <c r="G54" s="3" t="b">
        <v>1</v>
      </c>
      <c r="H54" s="13" t="str">
        <f>IF(ISBLANK(G54),IncompleteText, IF(G54, OKText, ErrorText))</f>
        <v>OK</v>
      </c>
      <c r="J54" s="64" t="s">
        <v>327</v>
      </c>
      <c r="K54" s="64"/>
      <c r="L54" s="64"/>
      <c r="M54" s="64"/>
      <c r="N54" s="64"/>
      <c r="O54" s="65"/>
      <c r="P54" s="3" t="b">
        <v>1</v>
      </c>
      <c r="Q54" s="13" t="str">
        <f>IF(ISBLANK(P54),IncompleteText, IF(P54, OKText, ErrorText))</f>
        <v>OK</v>
      </c>
      <c r="S54" s="64" t="s">
        <v>328</v>
      </c>
      <c r="T54" s="64"/>
      <c r="U54" s="64"/>
      <c r="V54" s="64"/>
      <c r="W54" s="64"/>
      <c r="X54" s="65"/>
      <c r="Y54" s="3" t="b">
        <v>1</v>
      </c>
      <c r="Z54" s="13" t="str">
        <f>IF(ISBLANK(Y54),IncompleteText, IF(Y54, OKText, ErrorText))</f>
        <v>OK</v>
      </c>
      <c r="AB54" s="42" t="s">
        <v>20</v>
      </c>
      <c r="AC54" s="42"/>
      <c r="AD54" s="42"/>
      <c r="AE54" s="42"/>
      <c r="AF54" s="42"/>
      <c r="AG54" s="42"/>
      <c r="AH54" s="42"/>
      <c r="AI54" s="16" t="s">
        <v>58</v>
      </c>
      <c r="AK54" s="42" t="s">
        <v>20</v>
      </c>
      <c r="AL54" s="42"/>
      <c r="AM54" s="42"/>
      <c r="AN54" s="42"/>
      <c r="AO54" s="42"/>
      <c r="AP54" s="42"/>
      <c r="AQ54" s="42"/>
      <c r="AR54" s="16" t="s">
        <v>58</v>
      </c>
      <c r="AT54" s="42" t="s">
        <v>20</v>
      </c>
      <c r="AU54" s="42"/>
      <c r="AV54" s="42"/>
      <c r="AW54" s="42"/>
      <c r="AX54" s="42"/>
      <c r="AY54" s="42"/>
      <c r="AZ54" s="42"/>
      <c r="BA54" s="16" t="s">
        <v>58</v>
      </c>
    </row>
    <row r="55" spans="1:53">
      <c r="A55" s="64" t="s">
        <v>329</v>
      </c>
      <c r="B55" s="64"/>
      <c r="C55" s="64"/>
      <c r="D55" s="64"/>
      <c r="E55" s="64"/>
      <c r="F55" s="64"/>
      <c r="G55" s="3" t="b">
        <v>1</v>
      </c>
      <c r="H55" s="13" t="str">
        <f>IF(ISBLANK(G55),IncompleteText, IF(G55, OKText, ErrorText))</f>
        <v>OK</v>
      </c>
      <c r="J55" s="42" t="s">
        <v>20</v>
      </c>
      <c r="K55" s="42"/>
      <c r="L55" s="42"/>
      <c r="M55" s="42"/>
      <c r="N55" s="42"/>
      <c r="O55" s="42"/>
      <c r="P55" s="42"/>
      <c r="Q55" s="16" t="s">
        <v>58</v>
      </c>
      <c r="S55" s="42" t="s">
        <v>20</v>
      </c>
      <c r="T55" s="42"/>
      <c r="U55" s="42"/>
      <c r="V55" s="42"/>
      <c r="W55" s="42"/>
      <c r="X55" s="42"/>
      <c r="Y55" s="42"/>
      <c r="Z55" s="16" t="s">
        <v>58</v>
      </c>
      <c r="AB55" s="115"/>
      <c r="AC55" s="115"/>
      <c r="AD55" s="115"/>
      <c r="AE55" s="115"/>
      <c r="AF55" s="115"/>
      <c r="AG55" s="115"/>
      <c r="AH55" s="115"/>
      <c r="AI55" s="103" t="s">
        <v>330</v>
      </c>
      <c r="AK55" s="115"/>
      <c r="AL55" s="115"/>
      <c r="AM55" s="115"/>
      <c r="AN55" s="115"/>
      <c r="AO55" s="115"/>
      <c r="AP55" s="115"/>
      <c r="AQ55" s="115"/>
      <c r="AR55" s="117" t="s">
        <v>331</v>
      </c>
      <c r="AT55" s="115"/>
      <c r="AU55" s="115"/>
      <c r="AV55" s="115"/>
      <c r="AW55" s="115"/>
      <c r="AX55" s="115"/>
      <c r="AY55" s="115"/>
      <c r="AZ55" s="115"/>
      <c r="BA55" s="117" t="s">
        <v>331</v>
      </c>
    </row>
    <row r="56" spans="1:53" s="11" customFormat="1">
      <c r="A56" s="42" t="s">
        <v>20</v>
      </c>
      <c r="B56" s="42"/>
      <c r="C56" s="42"/>
      <c r="D56" s="42"/>
      <c r="E56" s="42"/>
      <c r="F56" s="42"/>
      <c r="G56" s="42"/>
      <c r="H56" s="16" t="s">
        <v>58</v>
      </c>
      <c r="J56" s="115"/>
      <c r="K56" s="115"/>
      <c r="L56" s="115"/>
      <c r="M56" s="115"/>
      <c r="N56" s="115"/>
      <c r="O56" s="115"/>
      <c r="P56" s="115"/>
      <c r="Q56" s="117" t="s">
        <v>332</v>
      </c>
      <c r="S56" s="115"/>
      <c r="T56" s="115"/>
      <c r="U56" s="115"/>
      <c r="V56" s="115"/>
      <c r="W56" s="115"/>
      <c r="X56" s="115"/>
      <c r="Y56" s="115"/>
      <c r="Z56" s="103" t="s">
        <v>333</v>
      </c>
      <c r="AB56" s="115"/>
      <c r="AC56" s="115"/>
      <c r="AD56" s="115"/>
      <c r="AE56" s="115"/>
      <c r="AF56" s="115"/>
      <c r="AG56" s="115"/>
      <c r="AH56" s="115"/>
      <c r="AI56" s="104"/>
      <c r="AK56" s="115"/>
      <c r="AL56" s="115"/>
      <c r="AM56" s="115"/>
      <c r="AN56" s="115"/>
      <c r="AO56" s="115"/>
      <c r="AP56" s="115"/>
      <c r="AQ56" s="115"/>
      <c r="AR56" s="104"/>
      <c r="AT56" s="115"/>
      <c r="AU56" s="115"/>
      <c r="AV56" s="115"/>
      <c r="AW56" s="115"/>
      <c r="AX56" s="115"/>
      <c r="AY56" s="115"/>
      <c r="AZ56" s="115"/>
      <c r="BA56" s="104"/>
    </row>
    <row r="57" spans="1:53" s="11" customFormat="1">
      <c r="A57" s="106" t="s">
        <v>334</v>
      </c>
      <c r="B57" s="107"/>
      <c r="C57" s="107"/>
      <c r="D57" s="107"/>
      <c r="E57" s="107"/>
      <c r="F57" s="107"/>
      <c r="G57" s="108"/>
      <c r="H57" s="103" t="s">
        <v>222</v>
      </c>
      <c r="J57" s="115"/>
      <c r="K57" s="115"/>
      <c r="L57" s="115"/>
      <c r="M57" s="115"/>
      <c r="N57" s="115"/>
      <c r="O57" s="115"/>
      <c r="P57" s="115"/>
      <c r="Q57" s="104"/>
      <c r="S57" s="115"/>
      <c r="T57" s="115"/>
      <c r="U57" s="115"/>
      <c r="V57" s="115"/>
      <c r="W57" s="115"/>
      <c r="X57" s="115"/>
      <c r="Y57" s="115"/>
      <c r="Z57" s="104"/>
      <c r="AB57" s="115"/>
      <c r="AC57" s="115"/>
      <c r="AD57" s="115"/>
      <c r="AE57" s="115"/>
      <c r="AF57" s="115"/>
      <c r="AG57" s="115"/>
      <c r="AH57" s="115"/>
      <c r="AI57" s="104"/>
      <c r="AK57" s="115"/>
      <c r="AL57" s="115"/>
      <c r="AM57" s="115"/>
      <c r="AN57" s="115"/>
      <c r="AO57" s="115"/>
      <c r="AP57" s="115"/>
      <c r="AQ57" s="115"/>
      <c r="AR57" s="104"/>
      <c r="AT57" s="115"/>
      <c r="AU57" s="115"/>
      <c r="AV57" s="115"/>
      <c r="AW57" s="115"/>
      <c r="AX57" s="115"/>
      <c r="AY57" s="115"/>
      <c r="AZ57" s="115"/>
      <c r="BA57" s="104"/>
    </row>
    <row r="58" spans="1:53" s="11" customFormat="1">
      <c r="A58" s="109"/>
      <c r="B58" s="110"/>
      <c r="C58" s="110"/>
      <c r="D58" s="110"/>
      <c r="E58" s="110"/>
      <c r="F58" s="110"/>
      <c r="G58" s="111"/>
      <c r="H58" s="104"/>
      <c r="J58" s="115"/>
      <c r="K58" s="115"/>
      <c r="L58" s="115"/>
      <c r="M58" s="115"/>
      <c r="N58" s="115"/>
      <c r="O58" s="115"/>
      <c r="P58" s="115"/>
      <c r="Q58" s="104"/>
      <c r="S58" s="115"/>
      <c r="T58" s="115"/>
      <c r="U58" s="115"/>
      <c r="V58" s="115"/>
      <c r="W58" s="115"/>
      <c r="X58" s="115"/>
      <c r="Y58" s="115"/>
      <c r="Z58" s="104"/>
      <c r="AB58" s="115"/>
      <c r="AC58" s="115"/>
      <c r="AD58" s="115"/>
      <c r="AE58" s="115"/>
      <c r="AF58" s="115"/>
      <c r="AG58" s="115"/>
      <c r="AH58" s="115"/>
      <c r="AI58" s="105"/>
      <c r="AK58" s="115"/>
      <c r="AL58" s="115"/>
      <c r="AM58" s="115"/>
      <c r="AN58" s="115"/>
      <c r="AO58" s="115"/>
      <c r="AP58" s="115"/>
      <c r="AQ58" s="115"/>
      <c r="AR58" s="105"/>
      <c r="AT58" s="115"/>
      <c r="AU58" s="115"/>
      <c r="AV58" s="115"/>
      <c r="AW58" s="115"/>
      <c r="AX58" s="115"/>
      <c r="AY58" s="115"/>
      <c r="AZ58" s="115"/>
      <c r="BA58" s="105"/>
    </row>
    <row r="59" spans="1:53" s="11" customFormat="1">
      <c r="A59" s="112"/>
      <c r="B59" s="113"/>
      <c r="C59" s="113"/>
      <c r="D59" s="113"/>
      <c r="E59" s="113"/>
      <c r="F59" s="113"/>
      <c r="G59" s="114"/>
      <c r="H59" s="105"/>
      <c r="J59" s="115"/>
      <c r="K59" s="115"/>
      <c r="L59" s="115"/>
      <c r="M59" s="115"/>
      <c r="N59" s="115"/>
      <c r="O59" s="115"/>
      <c r="P59" s="115"/>
      <c r="Q59" s="105"/>
      <c r="S59" s="115"/>
      <c r="T59" s="115"/>
      <c r="U59" s="115"/>
      <c r="V59" s="115"/>
      <c r="W59" s="115"/>
      <c r="X59" s="115"/>
      <c r="Y59" s="115"/>
      <c r="Z59" s="105"/>
    </row>
    <row r="61" spans="1:53">
      <c r="A61" s="42" t="s">
        <v>335</v>
      </c>
      <c r="B61" s="42"/>
      <c r="C61" s="42"/>
      <c r="D61" s="42"/>
      <c r="E61" s="42"/>
      <c r="F61" s="13" t="str">
        <f ca="1">IF(AND(B12=1), OKText, IF(COUNTIF(F62:F71, "="&amp;IncompleteText), IncompleteText, IF(COUNTIF(F62:F71, "="&amp;ErrorText), ErrorText, OKText)))</f>
        <v>OK</v>
      </c>
      <c r="G61" s="92" t="s">
        <v>336</v>
      </c>
      <c r="H61" s="93"/>
    </row>
    <row r="62" spans="1:53">
      <c r="A62" s="64" t="s">
        <v>337</v>
      </c>
      <c r="B62" s="64"/>
      <c r="C62" s="65"/>
      <c r="D62" s="90" t="s">
        <v>263</v>
      </c>
      <c r="E62" s="91"/>
      <c r="F62" s="13" t="str">
        <f>IF(B12 &lt;&gt; 1, IF(ISBLANK(D62),IncompleteText,OKText), "")</f>
        <v>OK</v>
      </c>
      <c r="G62" s="72" t="s">
        <v>338</v>
      </c>
      <c r="H62" s="94"/>
    </row>
    <row r="63" spans="1:53">
      <c r="A63" s="64" t="s">
        <v>276</v>
      </c>
      <c r="B63" s="64"/>
      <c r="C63" s="65"/>
      <c r="D63" s="90" t="s">
        <v>339</v>
      </c>
      <c r="E63" s="91"/>
      <c r="F63" s="13" t="str">
        <f>IF(D62 = "Purchased", IF(ISBLANK(D63), IncompleteText, OKText), "")</f>
        <v>OK</v>
      </c>
      <c r="G63" s="95"/>
      <c r="H63" s="96"/>
    </row>
    <row r="64" spans="1:53">
      <c r="A64" s="64" t="s">
        <v>340</v>
      </c>
      <c r="B64" s="64"/>
      <c r="C64" s="65"/>
      <c r="D64" s="4">
        <f ca="1">VLOOKUP(D63, FusesTable, 6, FALSE)</f>
        <v>45</v>
      </c>
      <c r="E64" t="s">
        <v>19</v>
      </c>
      <c r="F64" s="13" t="str">
        <f ca="1">IF(D62="Purchased",  _xlfn.IFNA(IF(D64*B12/3 &gt;= U20, OKText, ErrorText),IncompleteText), "")</f>
        <v>OK</v>
      </c>
      <c r="G64" s="95"/>
      <c r="H64" s="96"/>
    </row>
    <row r="65" spans="1:9">
      <c r="A65" s="64" t="s">
        <v>340</v>
      </c>
      <c r="B65" s="64"/>
      <c r="C65" s="65"/>
      <c r="D65" s="3"/>
      <c r="E65" t="s">
        <v>19</v>
      </c>
      <c r="F65" s="13" t="str">
        <f ca="1">IF(D62="Team Designed", _xlfn.IFNA(IF(D65*B12/3 &gt;= U20, OKText, ErrorText),IncompleteText), "")</f>
        <v/>
      </c>
      <c r="G65" s="97"/>
      <c r="H65" s="98"/>
    </row>
    <row r="67" spans="1:9">
      <c r="A67" s="42" t="s">
        <v>341</v>
      </c>
      <c r="B67" s="42"/>
      <c r="C67" s="42"/>
      <c r="D67" s="42"/>
      <c r="E67" s="42"/>
    </row>
    <row r="68" spans="1:9">
      <c r="A68" s="64" t="s">
        <v>342</v>
      </c>
      <c r="B68" s="64"/>
      <c r="C68" s="65"/>
      <c r="D68" s="1">
        <f>COUNTIFS(C75:C90, "&lt;300", C75:C90, "&gt;30")</f>
        <v>0</v>
      </c>
      <c r="E68"/>
      <c r="F68" s="13" t="str">
        <f>IF(D$62 = "Team Designed",IF(D68&gt;=4, OKText, ErrorText), "")</f>
        <v/>
      </c>
    </row>
    <row r="69" spans="1:9">
      <c r="A69" s="64" t="s">
        <v>343</v>
      </c>
      <c r="B69" s="64"/>
      <c r="C69" s="65"/>
      <c r="D69" s="1">
        <f>COUNTIFS(C75:C90, "&lt;15", C75:C90, "&gt;5")</f>
        <v>0</v>
      </c>
      <c r="E69"/>
      <c r="F69" s="13" t="str">
        <f>IF(D$62 = "Team Designed",IF(D69&gt;=4, OKText, ErrorText), "")</f>
        <v/>
      </c>
      <c r="H69" s="2" t="e">
        <f>10^ROUNDDOWN(LOG10(MIN(C75:C90)), 0)</f>
        <v>#NUM!</v>
      </c>
      <c r="I69" s="2">
        <f>D65</f>
        <v>0</v>
      </c>
    </row>
    <row r="70" spans="1:9">
      <c r="A70" s="64" t="s">
        <v>344</v>
      </c>
      <c r="B70" s="64"/>
      <c r="C70" s="65"/>
      <c r="D70" s="1">
        <f>COUNTIFS(C75:C90, "&lt;1", C75:C90, "&gt;0.2")</f>
        <v>0</v>
      </c>
      <c r="E70"/>
      <c r="F70" s="13" t="str">
        <f>IF(D$62 = "Team Designed",IF(D70&gt;=4, OKText, ErrorText), "")</f>
        <v/>
      </c>
      <c r="H70" s="2" t="e">
        <f>10^ROUNDUP(LOG10(MAX(C75:C90)), 0)</f>
        <v>#NUM!</v>
      </c>
      <c r="I70" s="2">
        <f>D65</f>
        <v>0</v>
      </c>
    </row>
    <row r="71" spans="1:9">
      <c r="A71" s="64" t="s">
        <v>345</v>
      </c>
      <c r="B71" s="64"/>
      <c r="C71" s="65"/>
      <c r="D71" s="1">
        <f>COUNTIFS(C75:C90, "&lt;0.15", C75:C90, "&gt;0.05")</f>
        <v>0</v>
      </c>
      <c r="E71"/>
      <c r="F71" s="13" t="str">
        <f>IF(D$62 = "Team Designed",IF(D71&gt;=4, OKText, ErrorText), "")</f>
        <v/>
      </c>
    </row>
    <row r="72" spans="1:9">
      <c r="A72" s="2" t="s">
        <v>346</v>
      </c>
    </row>
    <row r="74" spans="1:9" ht="30">
      <c r="A74" t="s">
        <v>347</v>
      </c>
      <c r="B74" s="18" t="s">
        <v>348</v>
      </c>
      <c r="C74" s="18" t="s">
        <v>349</v>
      </c>
    </row>
    <row r="75" spans="1:9">
      <c r="A75" t="s">
        <v>350</v>
      </c>
      <c r="B75" s="3"/>
      <c r="C75" s="3"/>
    </row>
    <row r="76" spans="1:9">
      <c r="A76" t="s">
        <v>351</v>
      </c>
      <c r="B76" s="3"/>
      <c r="C76" s="3"/>
    </row>
    <row r="77" spans="1:9">
      <c r="A77" t="s">
        <v>352</v>
      </c>
      <c r="B77" s="3"/>
      <c r="C77" s="3"/>
    </row>
    <row r="78" spans="1:9">
      <c r="A78" t="s">
        <v>353</v>
      </c>
      <c r="B78" s="3"/>
      <c r="C78" s="3"/>
    </row>
    <row r="79" spans="1:9">
      <c r="A79" t="s">
        <v>354</v>
      </c>
      <c r="B79" s="3"/>
      <c r="C79" s="3"/>
    </row>
    <row r="80" spans="1:9">
      <c r="A80" t="s">
        <v>355</v>
      </c>
      <c r="B80" s="3"/>
      <c r="C80" s="3"/>
    </row>
    <row r="81" spans="1:3">
      <c r="A81" t="s">
        <v>356</v>
      </c>
      <c r="B81" s="3"/>
      <c r="C81" s="3"/>
    </row>
    <row r="82" spans="1:3">
      <c r="A82" t="s">
        <v>357</v>
      </c>
      <c r="B82" s="3"/>
      <c r="C82" s="3"/>
    </row>
    <row r="83" spans="1:3">
      <c r="A83" t="s">
        <v>358</v>
      </c>
      <c r="B83" s="3"/>
      <c r="C83" s="3"/>
    </row>
    <row r="84" spans="1:3">
      <c r="A84" t="s">
        <v>359</v>
      </c>
      <c r="B84" s="3"/>
      <c r="C84" s="3"/>
    </row>
    <row r="85" spans="1:3">
      <c r="A85" t="s">
        <v>360</v>
      </c>
      <c r="B85" s="3"/>
      <c r="C85" s="3"/>
    </row>
    <row r="86" spans="1:3">
      <c r="A86" t="s">
        <v>361</v>
      </c>
      <c r="B86" s="3"/>
      <c r="C86" s="3"/>
    </row>
    <row r="87" spans="1:3">
      <c r="A87" t="s">
        <v>362</v>
      </c>
      <c r="B87" s="3"/>
      <c r="C87" s="3"/>
    </row>
    <row r="88" spans="1:3">
      <c r="A88" t="s">
        <v>363</v>
      </c>
      <c r="B88" s="3"/>
      <c r="C88" s="3"/>
    </row>
    <row r="89" spans="1:3">
      <c r="A89" t="s">
        <v>364</v>
      </c>
      <c r="B89" s="3"/>
      <c r="C89" s="3"/>
    </row>
    <row r="90" spans="1:3">
      <c r="A90" t="s">
        <v>365</v>
      </c>
      <c r="B90" s="3"/>
      <c r="C90" s="3"/>
    </row>
  </sheetData>
  <sheetProtection algorithmName="SHA-512" hashValue="5G0AmqaoDrsIRuy5+I3R/L2IZTkzNtWi6TI3gjFgF23irMptfaaqq0HUvxAkprKqKmEVLraT5Rwbd9jNbOdcOw==" saltValue="eyHSNWMo9+kDPUMtBH3J0w==" spinCount="100000" sheet="1" scenarios="1" insertHyperlinks="0"/>
  <mergeCells count="170">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AK55:AQ58"/>
    <mergeCell ref="S54:X54"/>
    <mergeCell ref="R17:T17"/>
    <mergeCell ref="U19:V19"/>
    <mergeCell ref="R19:T19"/>
    <mergeCell ref="AB52:AH52"/>
    <mergeCell ref="AB53:AG53"/>
    <mergeCell ref="R20:T20"/>
    <mergeCell ref="K23:N23"/>
    <mergeCell ref="BA55:BA58"/>
    <mergeCell ref="AT54:AZ54"/>
    <mergeCell ref="AT55:AZ58"/>
    <mergeCell ref="AT33:BA51"/>
    <mergeCell ref="AT52:AZ52"/>
    <mergeCell ref="AT53:AY53"/>
    <mergeCell ref="S53:X53"/>
    <mergeCell ref="K30:N30"/>
    <mergeCell ref="S33:Z51"/>
    <mergeCell ref="J52:P52"/>
    <mergeCell ref="J53:O53"/>
    <mergeCell ref="J54:O54"/>
    <mergeCell ref="K29:N29"/>
    <mergeCell ref="J33:Q51"/>
    <mergeCell ref="S52:Y52"/>
    <mergeCell ref="H57:H59"/>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Q56:Q59"/>
    <mergeCell ref="AB33:AI51"/>
    <mergeCell ref="X8:AC8"/>
    <mergeCell ref="R12:T12"/>
    <mergeCell ref="R10:T10"/>
    <mergeCell ref="X9:AA9"/>
    <mergeCell ref="X10:AA10"/>
    <mergeCell ref="X12:AA12"/>
    <mergeCell ref="R8:V8"/>
    <mergeCell ref="X11:AA11"/>
    <mergeCell ref="R11:T11"/>
    <mergeCell ref="U11:V11"/>
    <mergeCell ref="AB9:AC9"/>
    <mergeCell ref="AB12:AC12"/>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R14:T14"/>
    <mergeCell ref="R15:T15"/>
    <mergeCell ref="R16:T16"/>
    <mergeCell ref="R9:T9"/>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H17:I17"/>
    <mergeCell ref="K24:N24"/>
    <mergeCell ref="K25:N25"/>
    <mergeCell ref="K26:N26"/>
    <mergeCell ref="K27:N27"/>
    <mergeCell ref="K28:N28"/>
    <mergeCell ref="H21:I21"/>
    <mergeCell ref="K22:P22"/>
    <mergeCell ref="K21:N21"/>
    <mergeCell ref="O21:P21"/>
    <mergeCell ref="F23:G23"/>
    <mergeCell ref="H23:I23"/>
    <mergeCell ref="F24:G24"/>
    <mergeCell ref="H24:I24"/>
    <mergeCell ref="F25:G25"/>
    <mergeCell ref="H25:I25"/>
    <mergeCell ref="F26:G26"/>
    <mergeCell ref="H26:I26"/>
    <mergeCell ref="H27:I27"/>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A3:D3"/>
    <mergeCell ref="A4:D4"/>
    <mergeCell ref="A5:D5"/>
    <mergeCell ref="A6:D6"/>
    <mergeCell ref="D9:E9"/>
    <mergeCell ref="A9:C9"/>
    <mergeCell ref="O23:P23"/>
    <mergeCell ref="R18:V18"/>
    <mergeCell ref="R21:T21"/>
    <mergeCell ref="F14:G14"/>
    <mergeCell ref="F15:G15"/>
    <mergeCell ref="F16:G16"/>
    <mergeCell ref="F17:G17"/>
    <mergeCell ref="H14:I14"/>
    <mergeCell ref="H15:I15"/>
    <mergeCell ref="F12:G12"/>
    <mergeCell ref="F13:G13"/>
    <mergeCell ref="A8:I8"/>
    <mergeCell ref="E10:E11"/>
    <mergeCell ref="U14:V14"/>
    <mergeCell ref="L11:M11"/>
    <mergeCell ref="O10:P10"/>
    <mergeCell ref="O11:P11"/>
    <mergeCell ref="O14:P14"/>
  </mergeCells>
  <conditionalFormatting sqref="A65 D65:F65 A74:C90">
    <cfRule type="expression" dxfId="19" priority="12">
      <formula>$D$62 = "Purchased"</formula>
    </cfRule>
  </conditionalFormatting>
  <conditionalFormatting sqref="D63 A63:A64 F63:F64 D64:E64">
    <cfRule type="expression" dxfId="18" priority="13">
      <formula>$D$62 = "Team Designed"</formula>
    </cfRule>
  </conditionalFormatting>
  <conditionalFormatting sqref="H53:H55">
    <cfRule type="expression" dxfId="17" priority="11">
      <formula>$D$62 = "Team Designed"</formula>
    </cfRule>
  </conditionalFormatting>
  <conditionalFormatting sqref="K14:K15 O14:O15">
    <cfRule type="expression" dxfId="16" priority="15">
      <formula>$O$10="Purchased"</formula>
    </cfRule>
  </conditionalFormatting>
  <conditionalFormatting sqref="K20 O20:P20">
    <cfRule type="expression" dxfId="15" priority="14">
      <formula>$O$19&lt;&gt;"Other"</formula>
    </cfRule>
  </conditionalFormatting>
  <conditionalFormatting sqref="K24 O24:Q24">
    <cfRule type="expression" dxfId="14" priority="5">
      <formula>$O$23="On cell terminal"</formula>
    </cfRule>
  </conditionalFormatting>
  <conditionalFormatting sqref="K11:L11 N11:O11">
    <cfRule type="expression" dxfId="13" priority="16">
      <formula>$O$10="Team Built"</formula>
    </cfRule>
  </conditionalFormatting>
  <conditionalFormatting sqref="Q53:Q54">
    <cfRule type="expression" dxfId="12" priority="10">
      <formula>$D$62 = "Team Designed"</formula>
    </cfRule>
  </conditionalFormatting>
  <conditionalFormatting sqref="R11:W12">
    <cfRule type="expression" dxfId="11" priority="18">
      <formula>$E$3 ="Series"</formula>
    </cfRule>
  </conditionalFormatting>
  <conditionalFormatting sqref="V12">
    <cfRule type="expression" dxfId="10" priority="17">
      <formula>$N$23="On cell terminal"</formula>
    </cfRule>
  </conditionalFormatting>
  <conditionalFormatting sqref="Z53:Z54">
    <cfRule type="expression" dxfId="9" priority="9">
      <formula>$D$62 = "Team Designed"</formula>
    </cfRule>
  </conditionalFormatting>
  <conditionalFormatting sqref="AI53">
    <cfRule type="expression" dxfId="8" priority="8">
      <formula>$D$62 = "Team Designed"</formula>
    </cfRule>
  </conditionalFormatting>
  <conditionalFormatting sqref="AR53">
    <cfRule type="expression" dxfId="7" priority="7">
      <formula>$D$62 = "Team Designed"</formula>
    </cfRule>
  </conditionalFormatting>
  <conditionalFormatting sqref="BA53">
    <cfRule type="expression" dxfId="6" priority="6">
      <formula>$D$62 = "Team Designed"</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G53:G55 P53:P54 Y53:Y54 AH53 AZ53 AQ53" xr:uid="{00000000-0002-0000-0300-00000A000000}">
      <formula1>"TRUE,FALSE"</formula1>
    </dataValidation>
    <dataValidation type="list" allowBlank="1" showInputMessage="1" showErrorMessage="1" sqref="O23" xr:uid="{00000000-0002-0000-0300-00000B000000}">
      <formula1>"On cell terminal,On bus bar"</formula1>
    </dataValidation>
    <dataValidation type="list" allowBlank="1" showInputMessage="1" showErrorMessage="1" sqref="E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topLeftCell="A11" zoomScaleNormal="100" workbookViewId="0">
      <selection activeCell="J12" sqref="J12"/>
    </sheetView>
  </sheetViews>
  <sheetFormatPr defaultColWidth="8.69921875" defaultRowHeight="14.1"/>
  <cols>
    <col min="1" max="3" width="8.69921875" style="2" customWidth="1"/>
    <col min="4" max="4" width="8.8984375" style="2" bestFit="1" customWidth="1"/>
    <col min="5" max="16384" width="8.69921875" style="2"/>
  </cols>
  <sheetData>
    <row r="1" spans="1:20">
      <c r="A1" s="28" t="s">
        <v>1</v>
      </c>
      <c r="B1" s="13"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c r="A2" s="42" t="s">
        <v>122</v>
      </c>
      <c r="B2" s="42"/>
      <c r="C2" s="42"/>
      <c r="D2" s="42"/>
      <c r="E2" s="42"/>
      <c r="F2" s="13" t="str">
        <f ca="1">IF(COUNTIF(F3:F22, "="&amp;IncompleteText), IncompleteText, IF(COUNTIF(F3:F22, "="&amp;ErrorText), ErrorText, OKText))</f>
        <v>OK</v>
      </c>
      <c r="G2" s="42" t="s">
        <v>127</v>
      </c>
      <c r="H2" s="42"/>
      <c r="I2" s="42"/>
      <c r="J2" s="42"/>
      <c r="K2" s="42"/>
      <c r="L2" s="13" t="str">
        <f ca="1">IF(COUNTIF(L3:L16, "="&amp;IncompleteText), IncompleteText, IF(COUNTIF(L3:L16, "="&amp;ErrorText), ErrorText, OKText))</f>
        <v>OK</v>
      </c>
      <c r="M2" s="42" t="s">
        <v>130</v>
      </c>
      <c r="N2" s="42"/>
      <c r="O2" s="42"/>
      <c r="P2" s="42"/>
      <c r="Q2" s="42"/>
      <c r="R2" s="13" t="str">
        <f ca="1">IF(COUNTIF(R3:R8, "="&amp;IncompleteText), IncompleteText, IF(COUNTIF(R3:R8, "="&amp;ErrorText), ErrorText, OKText))</f>
        <v>OK</v>
      </c>
      <c r="S2" s="83" t="s">
        <v>58</v>
      </c>
      <c r="T2" s="119"/>
    </row>
    <row r="3" spans="1:20">
      <c r="A3" s="64" t="s">
        <v>366</v>
      </c>
      <c r="B3" s="64"/>
      <c r="C3" s="65"/>
      <c r="D3" s="90" t="s">
        <v>367</v>
      </c>
      <c r="E3" s="91"/>
      <c r="F3" s="13" t="str">
        <f>IF(ISBLANK(D3), IncompleteText, OKText)</f>
        <v>OK</v>
      </c>
      <c r="G3" s="64" t="s">
        <v>366</v>
      </c>
      <c r="H3" s="64"/>
      <c r="I3" s="65"/>
      <c r="J3" s="90" t="s">
        <v>368</v>
      </c>
      <c r="K3" s="91"/>
      <c r="L3" s="13" t="str">
        <f>IF(ISBLANK(J3), IncompleteText, OKText)</f>
        <v>OK</v>
      </c>
      <c r="M3" s="64" t="s">
        <v>366</v>
      </c>
      <c r="N3" s="64"/>
      <c r="O3" s="65"/>
      <c r="P3" s="90" t="s">
        <v>369</v>
      </c>
      <c r="Q3" s="91"/>
      <c r="R3" s="13" t="str">
        <f>IF(ISBLANK(P3), IncompleteText, OKText)</f>
        <v>OK</v>
      </c>
      <c r="S3" s="121" t="s">
        <v>370</v>
      </c>
      <c r="T3" s="121"/>
    </row>
    <row r="4" spans="1:20">
      <c r="A4" s="64" t="s">
        <v>371</v>
      </c>
      <c r="B4" s="64"/>
      <c r="C4" s="65"/>
      <c r="D4" s="3">
        <v>2</v>
      </c>
      <c r="E4"/>
      <c r="F4" s="13" t="str">
        <f>IF(ISBLANK(D4), IncompleteText, OKText)</f>
        <v>OK</v>
      </c>
      <c r="G4" s="64" t="s">
        <v>371</v>
      </c>
      <c r="H4" s="64"/>
      <c r="I4" s="65"/>
      <c r="J4" s="3">
        <v>4</v>
      </c>
      <c r="K4"/>
      <c r="L4" s="13" t="str">
        <f>IF(ISBLANK(J4), IncompleteText, OKText)</f>
        <v>OK</v>
      </c>
      <c r="M4" s="64" t="s">
        <v>371</v>
      </c>
      <c r="N4" s="64"/>
      <c r="O4" s="65"/>
      <c r="P4" s="66">
        <v>1</v>
      </c>
      <c r="Q4" s="66"/>
      <c r="R4" s="13" t="str">
        <f>IF(ISBLANK(P4), IncompleteText, OKText)</f>
        <v>OK</v>
      </c>
      <c r="S4" s="122"/>
      <c r="T4" s="122"/>
    </row>
    <row r="5" spans="1:20">
      <c r="A5" s="64" t="s">
        <v>372</v>
      </c>
      <c r="B5" s="64"/>
      <c r="C5" s="65"/>
      <c r="D5" s="3">
        <v>1</v>
      </c>
      <c r="E5"/>
      <c r="F5" s="13" t="str">
        <f>IF(ISBLANK(D5), IncompleteText, OKText)</f>
        <v>OK</v>
      </c>
      <c r="G5" s="64" t="s">
        <v>372</v>
      </c>
      <c r="H5" s="64"/>
      <c r="I5" s="65"/>
      <c r="J5" s="3">
        <v>1</v>
      </c>
      <c r="K5"/>
      <c r="L5" s="13" t="str">
        <f>IF(ISBLANK(J5), IncompleteText, OKText)</f>
        <v>OK</v>
      </c>
      <c r="M5" s="64" t="s">
        <v>372</v>
      </c>
      <c r="N5" s="64"/>
      <c r="O5" s="65"/>
      <c r="P5" s="66">
        <v>10</v>
      </c>
      <c r="Q5" s="66"/>
      <c r="R5" s="13" t="str">
        <f>IF(ISBLANK(P5), IncompleteText, OKText)</f>
        <v>OK</v>
      </c>
      <c r="S5" s="122"/>
      <c r="T5" s="122"/>
    </row>
    <row r="6" spans="1:20">
      <c r="A6" s="64" t="s">
        <v>373</v>
      </c>
      <c r="B6" s="64"/>
      <c r="C6" s="65"/>
      <c r="D6" s="1">
        <f ca="1">VLOOKUP(D3, ResistorsTable, 5, )*D5/D4</f>
        <v>375</v>
      </c>
      <c r="E6" t="s">
        <v>374</v>
      </c>
      <c r="G6" s="64" t="s">
        <v>373</v>
      </c>
      <c r="H6" s="64"/>
      <c r="I6" s="65"/>
      <c r="J6" s="1">
        <f ca="1">VLOOKUP(J3, ResistorsTable, 5, )*J5/J4</f>
        <v>7500</v>
      </c>
      <c r="K6" t="s">
        <v>374</v>
      </c>
      <c r="M6" s="64" t="s">
        <v>373</v>
      </c>
      <c r="N6" s="64"/>
      <c r="O6" s="65"/>
      <c r="P6" s="1">
        <f ca="1">VLOOKUP(P3, ResistorsTable, 5, )*P5/P4</f>
        <v>15000</v>
      </c>
      <c r="Q6" t="s">
        <v>374</v>
      </c>
      <c r="R6" s="13" t="str">
        <f ca="1">IF(MaxTSVoltage&lt;=200,IF(P6=5000, OKText, ErrorText),IF(MaxTSVoltage &gt; 400, IF(P6=15000, OKText, ErrorText), IF(P6=10000, OKText, ErrorText)))</f>
        <v>OK</v>
      </c>
      <c r="S6" s="122"/>
      <c r="T6" s="122"/>
    </row>
    <row r="7" spans="1:20">
      <c r="A7" s="64" t="s">
        <v>375</v>
      </c>
      <c r="B7" s="64"/>
      <c r="C7" s="65"/>
      <c r="D7" s="1">
        <f ca="1">VLOOKUP(D3, ResistorsTable, 6, FALSE)*D4*D5</f>
        <v>40</v>
      </c>
      <c r="E7" t="s">
        <v>376</v>
      </c>
      <c r="G7" s="64" t="s">
        <v>375</v>
      </c>
      <c r="H7" s="64"/>
      <c r="I7" s="65"/>
      <c r="J7" s="1">
        <f ca="1">VLOOKUP(J3, ResistorsTable, 6, FALSE)*J4*J5</f>
        <v>36</v>
      </c>
      <c r="K7" t="s">
        <v>376</v>
      </c>
      <c r="M7" s="64" t="s">
        <v>375</v>
      </c>
      <c r="N7" s="64"/>
      <c r="O7" s="65"/>
      <c r="P7" s="1">
        <f ca="1">VLOOKUP(P3, ResistorsTable, 6, FALSE)*P5*P4</f>
        <v>30</v>
      </c>
      <c r="Q7" t="s">
        <v>376</v>
      </c>
      <c r="R7" s="13" t="str">
        <f ca="1">IF(P7&lt;MaxTSVoltage^2/P6, ErrorText, OKText)</f>
        <v>OK</v>
      </c>
      <c r="S7" s="122"/>
      <c r="T7" s="122"/>
    </row>
    <row r="8" spans="1:20">
      <c r="A8" s="64" t="s">
        <v>377</v>
      </c>
      <c r="B8" s="64"/>
      <c r="C8" s="65"/>
      <c r="D8" s="1">
        <f ca="1">VLOOKUP(D3, ResistorsTable, 7, FALSE)*D4*D5</f>
        <v>400</v>
      </c>
      <c r="E8" t="s">
        <v>376</v>
      </c>
      <c r="G8" s="64" t="s">
        <v>377</v>
      </c>
      <c r="H8" s="64"/>
      <c r="I8" s="65"/>
      <c r="J8" s="1">
        <f ca="1">VLOOKUP(J3, ResistorsTable, 7, FALSE)*J4*J5</f>
        <v>36</v>
      </c>
      <c r="K8" t="s">
        <v>376</v>
      </c>
      <c r="L8" s="13" t="str">
        <f ca="1">IF(J8&lt;MaxTSVoltage^2/DischargeRes, ErrorText, OKText)</f>
        <v>OK</v>
      </c>
      <c r="M8" s="64" t="s">
        <v>378</v>
      </c>
      <c r="N8" s="64"/>
      <c r="O8" s="65"/>
      <c r="P8" s="1">
        <f ca="1">VLOOKUP(P3, ResistorsTable, 4, FALSE)*P5</f>
        <v>7500</v>
      </c>
      <c r="Q8" t="s">
        <v>17</v>
      </c>
      <c r="R8" s="13" t="str">
        <f ca="1">IF(P8&lt;MaxTSVoltage, ErrorText, OKText)</f>
        <v>OK</v>
      </c>
      <c r="S8" s="122"/>
      <c r="T8" s="122"/>
    </row>
    <row r="9" spans="1:20">
      <c r="A9" s="64" t="s">
        <v>378</v>
      </c>
      <c r="B9" s="64"/>
      <c r="C9" s="65"/>
      <c r="D9" s="1">
        <f ca="1">VLOOKUP(D3, ResistorsTable, 4, FALSE)*D5</f>
        <v>750</v>
      </c>
      <c r="E9" t="s">
        <v>17</v>
      </c>
      <c r="F9" s="13" t="str">
        <f ca="1">IF(D9&lt;MaxTSVoltage, ErrorText, OKText)</f>
        <v>OK</v>
      </c>
      <c r="G9" s="64" t="s">
        <v>378</v>
      </c>
      <c r="H9" s="64"/>
      <c r="I9" s="65"/>
      <c r="J9" s="1">
        <f ca="1">VLOOKUP(J3, ResistorsTable, 4, FALSE)*J5</f>
        <v>750</v>
      </c>
      <c r="K9" t="s">
        <v>17</v>
      </c>
      <c r="L9" s="13" t="str">
        <f ca="1">IF(J9&lt;MaxTSVoltage, ErrorText, OKText)</f>
        <v>OK</v>
      </c>
    </row>
    <row r="10" spans="1:20">
      <c r="A10" s="64" t="s">
        <v>379</v>
      </c>
      <c r="B10" s="64"/>
      <c r="C10" s="65"/>
      <c r="D10" s="27">
        <v>0.28000000000000003</v>
      </c>
      <c r="E10" t="s">
        <v>380</v>
      </c>
      <c r="F10" s="13" t="str">
        <f>IF(ISBLANK(BusCap), IncompleteText, OKText)</f>
        <v>OK</v>
      </c>
      <c r="G10" s="64" t="s">
        <v>381</v>
      </c>
      <c r="H10" s="64"/>
      <c r="I10" s="65"/>
      <c r="J10" s="1">
        <f ca="1">MaxTSVoltage^2/DischargeRes</f>
        <v>21.676032000000006</v>
      </c>
      <c r="K10" t="s">
        <v>376</v>
      </c>
    </row>
    <row r="11" spans="1:20">
      <c r="A11" s="64" t="s">
        <v>382</v>
      </c>
      <c r="B11" s="64"/>
      <c r="C11" s="65"/>
      <c r="D11" s="58" t="s">
        <v>383</v>
      </c>
      <c r="E11" s="58"/>
      <c r="F11" s="13" t="str">
        <f>IF(ISBLANK(D11), IncompleteText, OKText)</f>
        <v>OK</v>
      </c>
      <c r="G11" s="64" t="s">
        <v>384</v>
      </c>
      <c r="H11" s="64"/>
      <c r="I11" s="65"/>
      <c r="J11" s="5">
        <f ca="1">MaxTSVoltage/DischargeRes</f>
        <v>5.3760000000000009E-2</v>
      </c>
      <c r="K11" t="s">
        <v>19</v>
      </c>
    </row>
    <row r="12" spans="1:20">
      <c r="A12" s="64" t="s">
        <v>385</v>
      </c>
      <c r="B12" s="64"/>
      <c r="C12" s="65"/>
      <c r="D12" s="3">
        <v>2.1</v>
      </c>
      <c r="E12" t="s">
        <v>386</v>
      </c>
      <c r="F12" s="13" t="str">
        <f ca="1">IF(D11&lt;&gt;"Time", "", IF(ISBLANK(D12), IncompleteText, IF(D12 &lt; MAX(D17*2, D17+0.5), ErrorText, OKText)))</f>
        <v>OK</v>
      </c>
      <c r="G12" s="64" t="s">
        <v>387</v>
      </c>
      <c r="H12" s="64"/>
      <c r="I12" s="64"/>
      <c r="J12" s="1">
        <f ca="1">-LN(60/MaxTSVoltage)*DischargeRes*(BusCap/1000)</f>
        <v>4.0006851245236232</v>
      </c>
      <c r="K12" t="s">
        <v>388</v>
      </c>
    </row>
    <row r="13" spans="1:20">
      <c r="A13" s="64" t="s">
        <v>389</v>
      </c>
      <c r="B13" s="64"/>
      <c r="C13" s="65"/>
      <c r="D13" s="3"/>
      <c r="E13" t="s">
        <v>17</v>
      </c>
      <c r="F13" s="13" t="str">
        <f>IF(D11&lt;&gt;"Delta Voltage", "", IF(ISBLANK(D13), IncompleteText, IF(D13 &gt; MaxTSVoltage*0.1, ErrorText, OKText)))</f>
        <v/>
      </c>
      <c r="G13" s="64" t="s">
        <v>390</v>
      </c>
      <c r="H13" s="64"/>
      <c r="I13" s="65"/>
      <c r="J13" s="58" t="s">
        <v>391</v>
      </c>
      <c r="K13" s="58"/>
      <c r="L13" s="13" t="str">
        <f>IF(ISBLANK(J13), IncompleteText, OKText)</f>
        <v>OK</v>
      </c>
    </row>
    <row r="14" spans="1:20">
      <c r="A14" s="64" t="s">
        <v>392</v>
      </c>
      <c r="B14" s="64"/>
      <c r="C14" s="65"/>
      <c r="D14" s="3"/>
      <c r="E14" t="s">
        <v>308</v>
      </c>
      <c r="F14" s="13" t="str">
        <f>IF(D11&lt;&gt;"Ratio", "", IF(ISBLANK(D14), IncompleteText, IF(D14 &lt; 90, ErrorText, OKText)))</f>
        <v/>
      </c>
      <c r="G14" s="64" t="s">
        <v>393</v>
      </c>
      <c r="H14" s="64"/>
      <c r="I14" s="65"/>
      <c r="J14" s="1">
        <f ca="1">VLOOKUP(J13, ContactorsTable, 4, FALSE)</f>
        <v>1500</v>
      </c>
      <c r="K14" t="s">
        <v>17</v>
      </c>
      <c r="L14" s="13" t="str">
        <f ca="1">IF(J14&lt;MaxTSVoltage, ErrorText, OKText)</f>
        <v>OK</v>
      </c>
    </row>
    <row r="15" spans="1:20">
      <c r="A15" s="64" t="s">
        <v>381</v>
      </c>
      <c r="B15" s="64"/>
      <c r="C15" s="65"/>
      <c r="D15" s="1">
        <f ca="1">MaxTSVoltage^2/PrechargeRes</f>
        <v>433.52064000000013</v>
      </c>
      <c r="E15" t="s">
        <v>376</v>
      </c>
      <c r="G15" s="64" t="s">
        <v>394</v>
      </c>
      <c r="H15" s="64"/>
      <c r="I15" s="65"/>
      <c r="J15" s="1">
        <f ca="1">VLOOKUP(J13, ContactorsTable, 5, FALSE)</f>
        <v>30</v>
      </c>
      <c r="K15" t="s">
        <v>19</v>
      </c>
      <c r="L15" s="13" t="str">
        <f ca="1">IF(J15&lt;J11, ErrorText, OKText)</f>
        <v>OK</v>
      </c>
    </row>
    <row r="16" spans="1:20">
      <c r="A16" s="64" t="s">
        <v>384</v>
      </c>
      <c r="B16" s="64"/>
      <c r="C16" s="65"/>
      <c r="D16" s="5">
        <f ca="1">MaxTSVoltage/PrechargeRes</f>
        <v>1.0752000000000002</v>
      </c>
      <c r="E16" t="s">
        <v>19</v>
      </c>
      <c r="G16" s="64" t="s">
        <v>136</v>
      </c>
      <c r="H16" s="64"/>
      <c r="I16" s="65"/>
      <c r="J16" s="1" t="str">
        <f ca="1">VLOOKUP(J13, ContactorsTable, 7, FALSE)</f>
        <v>NC</v>
      </c>
      <c r="K16"/>
      <c r="L16" s="13" t="str">
        <f ca="1">IF(J16&lt;&gt; "NC", ErrorText, OKText)</f>
        <v>OK</v>
      </c>
    </row>
    <row r="17" spans="1:8">
      <c r="A17" s="64" t="s">
        <v>395</v>
      </c>
      <c r="B17" s="64"/>
      <c r="C17" s="65"/>
      <c r="D17" s="5">
        <f ca="1">-LN(0.1)*(BusCap/1000)*PrechargeRes</f>
        <v>0.24177143476437482</v>
      </c>
      <c r="E17" t="s">
        <v>386</v>
      </c>
      <c r="G17" s="83" t="s">
        <v>58</v>
      </c>
      <c r="H17" s="119"/>
    </row>
    <row r="18" spans="1:8">
      <c r="A18" s="67" t="s">
        <v>396</v>
      </c>
      <c r="B18" s="67"/>
      <c r="C18" s="120"/>
      <c r="D18" s="5">
        <f ca="1">MaxTSVoltage^2*(BusCap/1000)/2*(1-EXP(-D17*2/(PrechargeRes*(BusCap/1000))))</f>
        <v>22.532235264000011</v>
      </c>
      <c r="E18" t="s">
        <v>397</v>
      </c>
      <c r="G18" s="34" t="s">
        <v>235</v>
      </c>
      <c r="H18" s="34"/>
    </row>
    <row r="19" spans="1:8">
      <c r="A19" s="64" t="s">
        <v>398</v>
      </c>
      <c r="B19" s="64"/>
      <c r="C19" s="65"/>
      <c r="D19" s="6">
        <f ca="1">D18/D17</f>
        <v>93.196432762867275</v>
      </c>
      <c r="E19" t="s">
        <v>376</v>
      </c>
    </row>
    <row r="20" spans="1:8">
      <c r="A20" s="64" t="s">
        <v>390</v>
      </c>
      <c r="B20" s="64"/>
      <c r="C20" s="65"/>
      <c r="D20" s="58" t="s">
        <v>399</v>
      </c>
      <c r="E20" s="58"/>
      <c r="F20" s="13" t="str">
        <f>IF(ISBLANK(D20), IncompleteText, OKText)</f>
        <v>OK</v>
      </c>
    </row>
    <row r="21" spans="1:8">
      <c r="A21" s="64" t="s">
        <v>393</v>
      </c>
      <c r="B21" s="64"/>
      <c r="C21" s="65"/>
      <c r="D21" s="1">
        <f ca="1">VLOOKUP(D20, ContactorsTable, 4, FALSE)</f>
        <v>1500</v>
      </c>
      <c r="E21" t="s">
        <v>17</v>
      </c>
      <c r="F21" s="13" t="str">
        <f ca="1">IF(D21&lt;MaxTSVoltage, ErrorText, OKText)</f>
        <v>OK</v>
      </c>
    </row>
    <row r="22" spans="1:8">
      <c r="A22" s="64" t="s">
        <v>394</v>
      </c>
      <c r="B22" s="64"/>
      <c r="C22" s="65"/>
      <c r="D22" s="1">
        <f ca="1">VLOOKUP(D20, ContactorsTable, 5, FALSE)</f>
        <v>50</v>
      </c>
      <c r="E22" t="s">
        <v>19</v>
      </c>
      <c r="F22" s="13" t="str">
        <f ca="1">IF(D22&lt;D16, ErrorText, OKText)</f>
        <v>OK</v>
      </c>
    </row>
    <row r="24" spans="1:8">
      <c r="A24" s="57" t="s">
        <v>20</v>
      </c>
      <c r="B24" s="57"/>
      <c r="C24" s="57"/>
      <c r="D24" s="57"/>
      <c r="E24" s="57"/>
      <c r="F24" s="57"/>
      <c r="G24" s="57"/>
    </row>
    <row r="25" spans="1:8">
      <c r="A25" s="48" t="s">
        <v>400</v>
      </c>
      <c r="B25" s="49"/>
      <c r="C25" s="49"/>
      <c r="D25" s="49"/>
      <c r="E25" s="49"/>
      <c r="F25" s="49"/>
      <c r="G25" s="50"/>
    </row>
    <row r="26" spans="1:8">
      <c r="A26" s="51"/>
      <c r="B26" s="52"/>
      <c r="C26" s="52"/>
      <c r="D26" s="52"/>
      <c r="E26" s="52"/>
      <c r="F26" s="52"/>
      <c r="G26" s="53"/>
    </row>
    <row r="27" spans="1:8">
      <c r="A27" s="51"/>
      <c r="B27" s="52"/>
      <c r="C27" s="52"/>
      <c r="D27" s="52"/>
      <c r="E27" s="52"/>
      <c r="F27" s="52"/>
      <c r="G27" s="53"/>
    </row>
    <row r="28" spans="1:8">
      <c r="A28" s="51"/>
      <c r="B28" s="52"/>
      <c r="C28" s="52"/>
      <c r="D28" s="52"/>
      <c r="E28" s="52"/>
      <c r="F28" s="52"/>
      <c r="G28" s="53"/>
    </row>
    <row r="29" spans="1:8">
      <c r="A29" s="51"/>
      <c r="B29" s="52"/>
      <c r="C29" s="52"/>
      <c r="D29" s="52"/>
      <c r="E29" s="52"/>
      <c r="F29" s="52"/>
      <c r="G29" s="53"/>
    </row>
    <row r="30" spans="1:8">
      <c r="A30" s="51"/>
      <c r="B30" s="52"/>
      <c r="C30" s="52"/>
      <c r="D30" s="52"/>
      <c r="E30" s="52"/>
      <c r="F30" s="52"/>
      <c r="G30" s="53"/>
    </row>
    <row r="31" spans="1:8">
      <c r="A31" s="51"/>
      <c r="B31" s="52"/>
      <c r="C31" s="52"/>
      <c r="D31" s="52"/>
      <c r="E31" s="52"/>
      <c r="F31" s="52"/>
      <c r="G31" s="53"/>
    </row>
    <row r="32" spans="1:8">
      <c r="A32" s="51"/>
      <c r="B32" s="52"/>
      <c r="C32" s="52"/>
      <c r="D32" s="52"/>
      <c r="E32" s="52"/>
      <c r="F32" s="52"/>
      <c r="G32" s="53"/>
    </row>
    <row r="33" spans="1:7">
      <c r="A33" s="51"/>
      <c r="B33" s="52"/>
      <c r="C33" s="52"/>
      <c r="D33" s="52"/>
      <c r="E33" s="52"/>
      <c r="F33" s="52"/>
      <c r="G33" s="53"/>
    </row>
    <row r="34" spans="1:7">
      <c r="A34" s="51"/>
      <c r="B34" s="52"/>
      <c r="C34" s="52"/>
      <c r="D34" s="52"/>
      <c r="E34" s="52"/>
      <c r="F34" s="52"/>
      <c r="G34" s="53"/>
    </row>
    <row r="35" spans="1:7">
      <c r="A35" s="51"/>
      <c r="B35" s="52"/>
      <c r="C35" s="52"/>
      <c r="D35" s="52"/>
      <c r="E35" s="52"/>
      <c r="F35" s="52"/>
      <c r="G35" s="53"/>
    </row>
    <row r="36" spans="1:7">
      <c r="A36" s="51"/>
      <c r="B36" s="52"/>
      <c r="C36" s="52"/>
      <c r="D36" s="52"/>
      <c r="E36" s="52"/>
      <c r="F36" s="52"/>
      <c r="G36" s="53"/>
    </row>
    <row r="37" spans="1:7">
      <c r="A37" s="51"/>
      <c r="B37" s="52"/>
      <c r="C37" s="52"/>
      <c r="D37" s="52"/>
      <c r="E37" s="52"/>
      <c r="F37" s="52"/>
      <c r="G37" s="53"/>
    </row>
    <row r="38" spans="1:7">
      <c r="A38" s="51"/>
      <c r="B38" s="52"/>
      <c r="C38" s="52"/>
      <c r="D38" s="52"/>
      <c r="E38" s="52"/>
      <c r="F38" s="52"/>
      <c r="G38" s="53"/>
    </row>
    <row r="39" spans="1:7">
      <c r="A39" s="51"/>
      <c r="B39" s="52"/>
      <c r="C39" s="52"/>
      <c r="D39" s="52"/>
      <c r="E39" s="52"/>
      <c r="F39" s="52"/>
      <c r="G39" s="53"/>
    </row>
    <row r="40" spans="1:7">
      <c r="A40" s="54"/>
      <c r="B40" s="55"/>
      <c r="C40" s="55"/>
      <c r="D40" s="55"/>
      <c r="E40" s="55"/>
      <c r="F40" s="55"/>
      <c r="G40" s="56"/>
    </row>
  </sheetData>
  <sheetProtection algorithmName="SHA-512" hashValue="Uie6Up9mZNuuOviMksw684vE7s2Tx9rN8euwciuXDm6BEptKmEKT2718jjHXkQWjacPi1WWG+8sEBdw4GXCp3A==" saltValue="caFEWMACSrtFVdwIMA4kog==" spinCount="100000" sheet="1" scenarios="1" insertHyperlinks="0"/>
  <mergeCells count="56">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A24:G24"/>
    <mergeCell ref="A25:G40"/>
    <mergeCell ref="A14:C14"/>
    <mergeCell ref="G13:I13"/>
    <mergeCell ref="J13:K13"/>
    <mergeCell ref="G14:I14"/>
    <mergeCell ref="G15:I15"/>
    <mergeCell ref="A15:C15"/>
    <mergeCell ref="A13:C13"/>
    <mergeCell ref="A22:C22"/>
    <mergeCell ref="A21:C21"/>
    <mergeCell ref="G17:H17"/>
    <mergeCell ref="G16:I16"/>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topLeftCell="B1" zoomScale="50" zoomScaleNormal="190" workbookViewId="0">
      <pane ySplit="1" topLeftCell="A2" activePane="bottomLeft" state="frozen"/>
      <selection pane="bottomLeft" activeCell="A13" sqref="A13:H31"/>
    </sheetView>
  </sheetViews>
  <sheetFormatPr defaultColWidth="8.69921875" defaultRowHeight="14.1"/>
  <cols>
    <col min="1" max="16384" width="8.69921875" style="2"/>
  </cols>
  <sheetData>
    <row r="1" spans="1:17">
      <c r="A1" s="28" t="s">
        <v>1</v>
      </c>
      <c r="B1" s="13" t="str" cm="1">
        <f t="array" aca="1" ref="B1" ca="1">IF(SUM(COUNTIF(INDIRECT({"Charging!$F$2","Charging!$H$32","Charging!$Q$32"}), "="&amp;IncompleteText)), IncompleteText, IF(SUM(COUNTIF(INDIRECT({"Charging!$F$2","Charging!$H$32","Charging!$Q$32"}), "="&amp;ErrorText)), ErrorText, OKText))</f>
        <v>BLANK</v>
      </c>
    </row>
    <row r="2" spans="1:17">
      <c r="A2" s="42" t="s">
        <v>401</v>
      </c>
      <c r="B2" s="42"/>
      <c r="C2" s="42"/>
      <c r="D2" s="42"/>
      <c r="E2" s="42"/>
      <c r="F2" s="13" t="str">
        <f>IF(COUNTIF(F3:F11, "="&amp;IncompleteText), IncompleteText, IF(COUNTIF(F3:F11, "="&amp;ErrorText), ErrorText, OKText))</f>
        <v>OK</v>
      </c>
      <c r="H2" s="42" t="s">
        <v>20</v>
      </c>
      <c r="I2" s="42"/>
      <c r="J2" s="42"/>
      <c r="K2" s="42"/>
      <c r="L2" s="42"/>
      <c r="M2" s="42"/>
      <c r="N2" s="42"/>
    </row>
    <row r="3" spans="1:17">
      <c r="A3" s="64" t="s">
        <v>30</v>
      </c>
      <c r="B3" s="64"/>
      <c r="C3" s="65"/>
      <c r="D3" s="90" t="s">
        <v>402</v>
      </c>
      <c r="E3" s="91"/>
      <c r="F3" s="13" t="str">
        <f t="shared" ref="F3:F11" si="0">IF(ISBLANK(D3), IncompleteText, OKText)</f>
        <v>OK</v>
      </c>
      <c r="H3" s="49"/>
      <c r="I3" s="49"/>
      <c r="J3" s="49"/>
      <c r="K3" s="49"/>
      <c r="L3" s="49"/>
      <c r="M3" s="49"/>
      <c r="N3" s="49"/>
    </row>
    <row r="4" spans="1:17">
      <c r="A4" s="64" t="s">
        <v>32</v>
      </c>
      <c r="B4" s="64"/>
      <c r="C4" s="64"/>
      <c r="D4" s="58" t="s">
        <v>403</v>
      </c>
      <c r="E4" s="58"/>
      <c r="F4" s="13" t="str">
        <f t="shared" si="0"/>
        <v>OK</v>
      </c>
      <c r="H4" s="52"/>
      <c r="I4" s="52"/>
      <c r="J4" s="52"/>
      <c r="K4" s="52"/>
      <c r="L4" s="52"/>
      <c r="M4" s="52"/>
      <c r="N4" s="52"/>
    </row>
    <row r="5" spans="1:17">
      <c r="A5" s="64" t="s">
        <v>45</v>
      </c>
      <c r="B5" s="64"/>
      <c r="C5" s="65"/>
      <c r="D5" s="58" t="s">
        <v>404</v>
      </c>
      <c r="E5" s="58"/>
      <c r="F5" s="13" t="str">
        <f t="shared" si="0"/>
        <v>OK</v>
      </c>
      <c r="H5" s="52"/>
      <c r="I5" s="52"/>
      <c r="J5" s="52"/>
      <c r="K5" s="52"/>
      <c r="L5" s="52"/>
      <c r="M5" s="52"/>
      <c r="N5" s="52"/>
    </row>
    <row r="6" spans="1:17">
      <c r="A6" s="64" t="s">
        <v>405</v>
      </c>
      <c r="B6" s="64"/>
      <c r="C6" s="65"/>
      <c r="D6" s="27">
        <v>110</v>
      </c>
      <c r="E6" s="29" t="s">
        <v>17</v>
      </c>
      <c r="F6" s="13" t="str">
        <f t="shared" si="0"/>
        <v>OK</v>
      </c>
      <c r="H6" s="52"/>
      <c r="I6" s="52"/>
      <c r="J6" s="52"/>
      <c r="K6" s="52"/>
      <c r="L6" s="52"/>
      <c r="M6" s="52"/>
      <c r="N6" s="52"/>
    </row>
    <row r="7" spans="1:17">
      <c r="A7" s="64" t="s">
        <v>406</v>
      </c>
      <c r="B7" s="64"/>
      <c r="C7" s="65"/>
      <c r="D7" s="27">
        <v>16</v>
      </c>
      <c r="E7" s="29" t="s">
        <v>19</v>
      </c>
      <c r="F7" s="13" t="str">
        <f t="shared" si="0"/>
        <v>OK</v>
      </c>
      <c r="H7" s="52"/>
      <c r="I7" s="52"/>
      <c r="J7" s="52"/>
      <c r="K7" s="52"/>
      <c r="L7" s="52"/>
      <c r="M7" s="52"/>
      <c r="N7" s="52"/>
    </row>
    <row r="8" spans="1:17">
      <c r="A8" s="64" t="s">
        <v>407</v>
      </c>
      <c r="B8" s="64"/>
      <c r="C8" s="65"/>
      <c r="D8" s="27" t="s">
        <v>408</v>
      </c>
      <c r="E8" s="29" t="s">
        <v>17</v>
      </c>
      <c r="F8" s="13" t="str">
        <f t="shared" si="0"/>
        <v>OK</v>
      </c>
      <c r="H8" s="52"/>
      <c r="I8" s="52"/>
      <c r="J8" s="52"/>
      <c r="K8" s="52"/>
      <c r="L8" s="52"/>
      <c r="M8" s="52"/>
      <c r="N8" s="52"/>
    </row>
    <row r="9" spans="1:17">
      <c r="A9" s="64" t="s">
        <v>409</v>
      </c>
      <c r="B9" s="64"/>
      <c r="C9" s="65"/>
      <c r="D9" s="27">
        <v>9</v>
      </c>
      <c r="E9" s="29" t="s">
        <v>19</v>
      </c>
      <c r="F9" s="13" t="str">
        <f t="shared" si="0"/>
        <v>OK</v>
      </c>
      <c r="H9" s="52"/>
      <c r="I9" s="52"/>
      <c r="J9" s="52"/>
      <c r="K9" s="52"/>
      <c r="L9" s="52"/>
      <c r="M9" s="52"/>
      <c r="N9" s="52"/>
    </row>
    <row r="10" spans="1:17">
      <c r="A10" s="64" t="s">
        <v>410</v>
      </c>
      <c r="B10" s="64"/>
      <c r="C10" s="65"/>
      <c r="D10" s="27">
        <v>3300</v>
      </c>
      <c r="E10" s="29" t="s">
        <v>411</v>
      </c>
      <c r="F10" s="13" t="str">
        <f t="shared" si="0"/>
        <v>OK</v>
      </c>
      <c r="H10" s="52"/>
      <c r="I10" s="52"/>
      <c r="J10" s="52"/>
      <c r="K10" s="52"/>
      <c r="L10" s="52"/>
      <c r="M10" s="52"/>
      <c r="N10" s="52"/>
    </row>
    <row r="11" spans="1:17">
      <c r="A11" s="64" t="s">
        <v>412</v>
      </c>
      <c r="B11" s="64"/>
      <c r="C11" s="65"/>
      <c r="D11" s="90">
        <v>2000</v>
      </c>
      <c r="E11" s="91"/>
      <c r="F11" s="13" t="str">
        <f t="shared" si="0"/>
        <v>OK</v>
      </c>
    </row>
    <row r="13" spans="1:17">
      <c r="A13" s="116" t="s">
        <v>413</v>
      </c>
      <c r="B13" s="116"/>
      <c r="C13" s="116"/>
      <c r="D13" s="116"/>
      <c r="E13" s="116"/>
      <c r="F13" s="116"/>
      <c r="G13" s="116"/>
      <c r="H13" s="116"/>
      <c r="J13" s="116" t="s">
        <v>414</v>
      </c>
      <c r="K13" s="116"/>
      <c r="L13" s="116"/>
      <c r="M13" s="116"/>
      <c r="N13" s="116"/>
      <c r="O13" s="116"/>
      <c r="P13" s="116"/>
      <c r="Q13" s="116"/>
    </row>
    <row r="14" spans="1:17">
      <c r="A14" s="116"/>
      <c r="B14" s="116"/>
      <c r="C14" s="116"/>
      <c r="D14" s="116"/>
      <c r="E14" s="116"/>
      <c r="F14" s="116"/>
      <c r="G14" s="116"/>
      <c r="H14" s="116"/>
      <c r="J14" s="116"/>
      <c r="K14" s="116"/>
      <c r="L14" s="116"/>
      <c r="M14" s="116"/>
      <c r="N14" s="116"/>
      <c r="O14" s="116"/>
      <c r="P14" s="116"/>
      <c r="Q14" s="116"/>
    </row>
    <row r="15" spans="1:17">
      <c r="A15" s="116"/>
      <c r="B15" s="116"/>
      <c r="C15" s="116"/>
      <c r="D15" s="116"/>
      <c r="E15" s="116"/>
      <c r="F15" s="116"/>
      <c r="G15" s="116"/>
      <c r="H15" s="116"/>
      <c r="J15" s="116"/>
      <c r="K15" s="116"/>
      <c r="L15" s="116"/>
      <c r="M15" s="116"/>
      <c r="N15" s="116"/>
      <c r="O15" s="116"/>
      <c r="P15" s="116"/>
      <c r="Q15" s="116"/>
    </row>
    <row r="16" spans="1:17">
      <c r="A16" s="116"/>
      <c r="B16" s="116"/>
      <c r="C16" s="116"/>
      <c r="D16" s="116"/>
      <c r="E16" s="116"/>
      <c r="F16" s="116"/>
      <c r="G16" s="116"/>
      <c r="H16" s="116"/>
      <c r="J16" s="116"/>
      <c r="K16" s="116"/>
      <c r="L16" s="116"/>
      <c r="M16" s="116"/>
      <c r="N16" s="116"/>
      <c r="O16" s="116"/>
      <c r="P16" s="116"/>
      <c r="Q16" s="116"/>
    </row>
    <row r="17" spans="1:17">
      <c r="A17" s="116"/>
      <c r="B17" s="116"/>
      <c r="C17" s="116"/>
      <c r="D17" s="116"/>
      <c r="E17" s="116"/>
      <c r="F17" s="116"/>
      <c r="G17" s="116"/>
      <c r="H17" s="116"/>
      <c r="J17" s="116"/>
      <c r="K17" s="116"/>
      <c r="L17" s="116"/>
      <c r="M17" s="116"/>
      <c r="N17" s="116"/>
      <c r="O17" s="116"/>
      <c r="P17" s="116"/>
      <c r="Q17" s="116"/>
    </row>
    <row r="18" spans="1:17">
      <c r="A18" s="116"/>
      <c r="B18" s="116"/>
      <c r="C18" s="116"/>
      <c r="D18" s="116"/>
      <c r="E18" s="116"/>
      <c r="F18" s="116"/>
      <c r="G18" s="116"/>
      <c r="H18" s="116"/>
      <c r="J18" s="116"/>
      <c r="K18" s="116"/>
      <c r="L18" s="116"/>
      <c r="M18" s="116"/>
      <c r="N18" s="116"/>
      <c r="O18" s="116"/>
      <c r="P18" s="116"/>
      <c r="Q18" s="116"/>
    </row>
    <row r="19" spans="1:17">
      <c r="A19" s="116"/>
      <c r="B19" s="116"/>
      <c r="C19" s="116"/>
      <c r="D19" s="116"/>
      <c r="E19" s="116"/>
      <c r="F19" s="116"/>
      <c r="G19" s="116"/>
      <c r="H19" s="116"/>
      <c r="J19" s="116"/>
      <c r="K19" s="116"/>
      <c r="L19" s="116"/>
      <c r="M19" s="116"/>
      <c r="N19" s="116"/>
      <c r="O19" s="116"/>
      <c r="P19" s="116"/>
      <c r="Q19" s="116"/>
    </row>
    <row r="20" spans="1:17">
      <c r="A20" s="116"/>
      <c r="B20" s="116"/>
      <c r="C20" s="116"/>
      <c r="D20" s="116"/>
      <c r="E20" s="116"/>
      <c r="F20" s="116"/>
      <c r="G20" s="116"/>
      <c r="H20" s="116"/>
      <c r="J20" s="116"/>
      <c r="K20" s="116"/>
      <c r="L20" s="116"/>
      <c r="M20" s="116"/>
      <c r="N20" s="116"/>
      <c r="O20" s="116"/>
      <c r="P20" s="116"/>
      <c r="Q20" s="116"/>
    </row>
    <row r="21" spans="1:17">
      <c r="A21" s="116"/>
      <c r="B21" s="116"/>
      <c r="C21" s="116"/>
      <c r="D21" s="116"/>
      <c r="E21" s="116"/>
      <c r="F21" s="116"/>
      <c r="G21" s="116"/>
      <c r="H21" s="116"/>
      <c r="J21" s="116"/>
      <c r="K21" s="116"/>
      <c r="L21" s="116"/>
      <c r="M21" s="116"/>
      <c r="N21" s="116"/>
      <c r="O21" s="116"/>
      <c r="P21" s="116"/>
      <c r="Q21" s="116"/>
    </row>
    <row r="22" spans="1:17">
      <c r="A22" s="116"/>
      <c r="B22" s="116"/>
      <c r="C22" s="116"/>
      <c r="D22" s="116"/>
      <c r="E22" s="116"/>
      <c r="F22" s="116"/>
      <c r="G22" s="116"/>
      <c r="H22" s="116"/>
      <c r="J22" s="116"/>
      <c r="K22" s="116"/>
      <c r="L22" s="116"/>
      <c r="M22" s="116"/>
      <c r="N22" s="116"/>
      <c r="O22" s="116"/>
      <c r="P22" s="116"/>
      <c r="Q22" s="116"/>
    </row>
    <row r="23" spans="1:17">
      <c r="A23" s="116"/>
      <c r="B23" s="116"/>
      <c r="C23" s="116"/>
      <c r="D23" s="116"/>
      <c r="E23" s="116"/>
      <c r="F23" s="116"/>
      <c r="G23" s="116"/>
      <c r="H23" s="116"/>
      <c r="J23" s="116"/>
      <c r="K23" s="116"/>
      <c r="L23" s="116"/>
      <c r="M23" s="116"/>
      <c r="N23" s="116"/>
      <c r="O23" s="116"/>
      <c r="P23" s="116"/>
      <c r="Q23" s="116"/>
    </row>
    <row r="24" spans="1:17">
      <c r="A24" s="116"/>
      <c r="B24" s="116"/>
      <c r="C24" s="116"/>
      <c r="D24" s="116"/>
      <c r="E24" s="116"/>
      <c r="F24" s="116"/>
      <c r="G24" s="116"/>
      <c r="H24" s="116"/>
      <c r="J24" s="116"/>
      <c r="K24" s="116"/>
      <c r="L24" s="116"/>
      <c r="M24" s="116"/>
      <c r="N24" s="116"/>
      <c r="O24" s="116"/>
      <c r="P24" s="116"/>
      <c r="Q24" s="116"/>
    </row>
    <row r="25" spans="1:17">
      <c r="A25" s="116"/>
      <c r="B25" s="116"/>
      <c r="C25" s="116"/>
      <c r="D25" s="116"/>
      <c r="E25" s="116"/>
      <c r="F25" s="116"/>
      <c r="G25" s="116"/>
      <c r="H25" s="116"/>
      <c r="J25" s="116"/>
      <c r="K25" s="116"/>
      <c r="L25" s="116"/>
      <c r="M25" s="116"/>
      <c r="N25" s="116"/>
      <c r="O25" s="116"/>
      <c r="P25" s="116"/>
      <c r="Q25" s="116"/>
    </row>
    <row r="26" spans="1:17">
      <c r="A26" s="116"/>
      <c r="B26" s="116"/>
      <c r="C26" s="116"/>
      <c r="D26" s="116"/>
      <c r="E26" s="116"/>
      <c r="F26" s="116"/>
      <c r="G26" s="116"/>
      <c r="H26" s="116"/>
      <c r="J26" s="116"/>
      <c r="K26" s="116"/>
      <c r="L26" s="116"/>
      <c r="M26" s="116"/>
      <c r="N26" s="116"/>
      <c r="O26" s="116"/>
      <c r="P26" s="116"/>
      <c r="Q26" s="116"/>
    </row>
    <row r="27" spans="1:17">
      <c r="A27" s="116"/>
      <c r="B27" s="116"/>
      <c r="C27" s="116"/>
      <c r="D27" s="116"/>
      <c r="E27" s="116"/>
      <c r="F27" s="116"/>
      <c r="G27" s="116"/>
      <c r="H27" s="116"/>
      <c r="J27" s="116"/>
      <c r="K27" s="116"/>
      <c r="L27" s="116"/>
      <c r="M27" s="116"/>
      <c r="N27" s="116"/>
      <c r="O27" s="116"/>
      <c r="P27" s="116"/>
      <c r="Q27" s="116"/>
    </row>
    <row r="28" spans="1:17">
      <c r="A28" s="116"/>
      <c r="B28" s="116"/>
      <c r="C28" s="116"/>
      <c r="D28" s="116"/>
      <c r="E28" s="116"/>
      <c r="F28" s="116"/>
      <c r="G28" s="116"/>
      <c r="H28" s="116"/>
      <c r="J28" s="116"/>
      <c r="K28" s="116"/>
      <c r="L28" s="116"/>
      <c r="M28" s="116"/>
      <c r="N28" s="116"/>
      <c r="O28" s="116"/>
      <c r="P28" s="116"/>
      <c r="Q28" s="116"/>
    </row>
    <row r="29" spans="1:17">
      <c r="A29" s="116"/>
      <c r="B29" s="116"/>
      <c r="C29" s="116"/>
      <c r="D29" s="116"/>
      <c r="E29" s="116"/>
      <c r="F29" s="116"/>
      <c r="G29" s="116"/>
      <c r="H29" s="116"/>
      <c r="J29" s="116"/>
      <c r="K29" s="116"/>
      <c r="L29" s="116"/>
      <c r="M29" s="116"/>
      <c r="N29" s="116"/>
      <c r="O29" s="116"/>
      <c r="P29" s="116"/>
      <c r="Q29" s="116"/>
    </row>
    <row r="30" spans="1:17">
      <c r="A30" s="116"/>
      <c r="B30" s="116"/>
      <c r="C30" s="116"/>
      <c r="D30" s="116"/>
      <c r="E30" s="116"/>
      <c r="F30" s="116"/>
      <c r="G30" s="116"/>
      <c r="H30" s="116"/>
      <c r="J30" s="116"/>
      <c r="K30" s="116"/>
      <c r="L30" s="116"/>
      <c r="M30" s="116"/>
      <c r="N30" s="116"/>
      <c r="O30" s="116"/>
      <c r="P30" s="116"/>
      <c r="Q30" s="116"/>
    </row>
    <row r="31" spans="1:17">
      <c r="A31" s="116"/>
      <c r="B31" s="116"/>
      <c r="C31" s="116"/>
      <c r="D31" s="116"/>
      <c r="E31" s="116"/>
      <c r="F31" s="116"/>
      <c r="G31" s="116"/>
      <c r="H31" s="116"/>
      <c r="J31" s="116"/>
      <c r="K31" s="116"/>
      <c r="L31" s="116"/>
      <c r="M31" s="116"/>
      <c r="N31" s="116"/>
      <c r="O31" s="116"/>
      <c r="P31" s="116"/>
      <c r="Q31" s="116"/>
    </row>
    <row r="32" spans="1:17">
      <c r="A32" s="42" t="s">
        <v>415</v>
      </c>
      <c r="B32" s="42"/>
      <c r="C32" s="42"/>
      <c r="D32" s="42"/>
      <c r="E32" s="42"/>
      <c r="F32" s="42"/>
      <c r="G32" s="42"/>
      <c r="H32" s="81" t="str">
        <f>IF(COUNTIF(H34:H39, "="&amp;IncompleteText), IncompleteText, IF(COUNTIF(H34:H39, "="&amp;ErrorText), ErrorText, OKText))</f>
        <v>OK</v>
      </c>
      <c r="J32" s="42" t="s">
        <v>416</v>
      </c>
      <c r="K32" s="42"/>
      <c r="L32" s="42"/>
      <c r="M32" s="42"/>
      <c r="N32" s="42"/>
      <c r="O32" s="42"/>
      <c r="P32" s="42"/>
      <c r="Q32" s="81" t="str">
        <f>IF(COUNTIF(Q34:Q39, "="&amp;IncompleteText), IncompleteText, IF(COUNTIF(Q34:Q39, "="&amp;ErrorText), ErrorText, OKText))</f>
        <v>BLANK</v>
      </c>
    </row>
    <row r="33" spans="1:17">
      <c r="A33" s="83" t="s">
        <v>58</v>
      </c>
      <c r="B33" s="119"/>
      <c r="C33" s="24"/>
      <c r="D33" s="24"/>
      <c r="E33" s="24"/>
      <c r="F33" s="24"/>
      <c r="G33" s="24"/>
      <c r="H33" s="82"/>
      <c r="J33" s="83" t="s">
        <v>58</v>
      </c>
      <c r="K33" s="119"/>
      <c r="L33" s="24"/>
      <c r="M33" s="24"/>
      <c r="N33" s="24"/>
      <c r="O33" s="24"/>
      <c r="P33" s="24"/>
      <c r="Q33" s="82"/>
    </row>
    <row r="34" spans="1:17">
      <c r="A34" s="80"/>
      <c r="B34" s="80"/>
      <c r="C34" s="64" t="s">
        <v>417</v>
      </c>
      <c r="D34" s="64"/>
      <c r="E34" s="64"/>
      <c r="F34" s="65"/>
      <c r="G34" s="3" t="b">
        <v>1</v>
      </c>
      <c r="H34" s="13" t="str">
        <f t="shared" ref="H34:H39" si="1">IF(ISBLANK(G34),IncompleteText, IF(G34, OKText, ErrorText))</f>
        <v>OK</v>
      </c>
      <c r="J34" s="80" t="s">
        <v>418</v>
      </c>
      <c r="K34" s="80"/>
      <c r="L34" s="64" t="s">
        <v>419</v>
      </c>
      <c r="M34" s="64"/>
      <c r="N34" s="64"/>
      <c r="O34" s="65"/>
      <c r="P34" s="3" t="b">
        <v>1</v>
      </c>
      <c r="Q34" s="13" t="str">
        <f t="shared" ref="Q34:Q39" si="2">IF(ISBLANK(P34),IncompleteText, IF(P34, OKText, ErrorText))</f>
        <v>OK</v>
      </c>
    </row>
    <row r="35" spans="1:17">
      <c r="A35" s="80"/>
      <c r="B35" s="80"/>
      <c r="C35" s="64" t="s">
        <v>154</v>
      </c>
      <c r="D35" s="64"/>
      <c r="E35" s="64"/>
      <c r="F35" s="65"/>
      <c r="G35" s="3" t="b">
        <v>1</v>
      </c>
      <c r="H35" s="13" t="str">
        <f t="shared" si="1"/>
        <v>OK</v>
      </c>
      <c r="J35" s="80" t="s">
        <v>418</v>
      </c>
      <c r="K35" s="80"/>
      <c r="L35" s="64" t="s">
        <v>420</v>
      </c>
      <c r="M35" s="64"/>
      <c r="N35" s="64"/>
      <c r="O35" s="65"/>
      <c r="P35" s="3" t="b">
        <v>1</v>
      </c>
      <c r="Q35" s="13" t="str">
        <f t="shared" si="2"/>
        <v>OK</v>
      </c>
    </row>
    <row r="36" spans="1:17">
      <c r="A36" s="80"/>
      <c r="B36" s="80"/>
      <c r="C36" s="64" t="s">
        <v>421</v>
      </c>
      <c r="D36" s="64"/>
      <c r="E36" s="64"/>
      <c r="F36" s="65"/>
      <c r="G36" s="3" t="b">
        <v>1</v>
      </c>
      <c r="H36" s="13" t="str">
        <f t="shared" si="1"/>
        <v>OK</v>
      </c>
      <c r="J36" s="80" t="s">
        <v>422</v>
      </c>
      <c r="K36" s="80"/>
      <c r="L36" s="64" t="s">
        <v>423</v>
      </c>
      <c r="M36" s="64"/>
      <c r="N36" s="64"/>
      <c r="O36" s="65"/>
      <c r="P36" s="3" t="b">
        <v>1</v>
      </c>
      <c r="Q36" s="13" t="str">
        <f t="shared" si="2"/>
        <v>OK</v>
      </c>
    </row>
    <row r="37" spans="1:17">
      <c r="A37" s="80" t="s">
        <v>424</v>
      </c>
      <c r="B37" s="80"/>
      <c r="C37" s="64" t="s">
        <v>102</v>
      </c>
      <c r="D37" s="64"/>
      <c r="E37" s="64"/>
      <c r="F37" s="65"/>
      <c r="G37" s="3" t="b">
        <v>1</v>
      </c>
      <c r="H37" s="13" t="str">
        <f t="shared" si="1"/>
        <v>OK</v>
      </c>
      <c r="J37" s="80" t="s">
        <v>424</v>
      </c>
      <c r="K37" s="80"/>
      <c r="L37" s="64" t="s">
        <v>221</v>
      </c>
      <c r="M37" s="64"/>
      <c r="N37" s="64"/>
      <c r="O37" s="65"/>
      <c r="P37" s="3" t="b">
        <v>1</v>
      </c>
      <c r="Q37" s="13" t="str">
        <f t="shared" si="2"/>
        <v>OK</v>
      </c>
    </row>
    <row r="38" spans="1:17">
      <c r="A38" s="80" t="s">
        <v>425</v>
      </c>
      <c r="B38" s="80"/>
      <c r="C38" s="64" t="s">
        <v>221</v>
      </c>
      <c r="D38" s="64"/>
      <c r="E38" s="64"/>
      <c r="F38" s="65"/>
      <c r="G38" s="3" t="b">
        <v>1</v>
      </c>
      <c r="H38" s="13" t="str">
        <f t="shared" si="1"/>
        <v>OK</v>
      </c>
      <c r="J38" s="64"/>
      <c r="K38" s="64"/>
      <c r="L38" s="64" t="s">
        <v>426</v>
      </c>
      <c r="M38" s="64"/>
      <c r="N38" s="64"/>
      <c r="O38" s="65"/>
      <c r="P38" s="3" t="b">
        <v>1</v>
      </c>
      <c r="Q38" s="13" t="str">
        <f t="shared" si="2"/>
        <v>OK</v>
      </c>
    </row>
    <row r="39" spans="1:17">
      <c r="A39" s="80" t="s">
        <v>427</v>
      </c>
      <c r="B39" s="80"/>
      <c r="C39" s="64" t="s">
        <v>225</v>
      </c>
      <c r="D39" s="64"/>
      <c r="E39" s="64"/>
      <c r="F39" s="65"/>
      <c r="G39" s="3" t="b">
        <v>1</v>
      </c>
      <c r="H39" s="13" t="str">
        <f t="shared" si="1"/>
        <v>OK</v>
      </c>
      <c r="J39" s="64"/>
      <c r="K39" s="64"/>
      <c r="L39" s="64" t="s">
        <v>428</v>
      </c>
      <c r="M39" s="64"/>
      <c r="N39" s="64"/>
      <c r="O39" s="65"/>
      <c r="P39" s="3"/>
      <c r="Q39" s="13" t="str">
        <f t="shared" si="2"/>
        <v>BLANK</v>
      </c>
    </row>
    <row r="40" spans="1:17">
      <c r="A40" s="42" t="s">
        <v>20</v>
      </c>
      <c r="B40" s="42"/>
      <c r="C40" s="42"/>
      <c r="D40" s="42"/>
      <c r="E40" s="42"/>
      <c r="F40" s="42"/>
      <c r="G40" s="42"/>
      <c r="J40" s="42" t="s">
        <v>20</v>
      </c>
      <c r="K40" s="42"/>
      <c r="L40" s="42"/>
      <c r="M40" s="42"/>
      <c r="N40" s="42"/>
      <c r="O40" s="42"/>
      <c r="P40" s="42"/>
    </row>
    <row r="41" spans="1:17">
      <c r="A41" s="115"/>
      <c r="B41" s="115"/>
      <c r="C41" s="115"/>
      <c r="D41" s="115"/>
      <c r="E41" s="115"/>
      <c r="F41" s="115"/>
      <c r="G41" s="115"/>
      <c r="J41" s="115"/>
      <c r="K41" s="115"/>
      <c r="L41" s="115"/>
      <c r="M41" s="115"/>
      <c r="N41" s="115"/>
      <c r="O41" s="115"/>
      <c r="P41" s="115"/>
    </row>
    <row r="42" spans="1:17">
      <c r="A42" s="115"/>
      <c r="B42" s="115"/>
      <c r="C42" s="115"/>
      <c r="D42" s="115"/>
      <c r="E42" s="115"/>
      <c r="F42" s="115"/>
      <c r="G42" s="115"/>
      <c r="J42" s="115"/>
      <c r="K42" s="115"/>
      <c r="L42" s="115"/>
      <c r="M42" s="115"/>
      <c r="N42" s="115"/>
      <c r="O42" s="115"/>
      <c r="P42" s="115"/>
    </row>
    <row r="43" spans="1:17">
      <c r="A43" s="115"/>
      <c r="B43" s="115"/>
      <c r="C43" s="115"/>
      <c r="D43" s="115"/>
      <c r="E43" s="115"/>
      <c r="F43" s="115"/>
      <c r="G43" s="115"/>
      <c r="J43" s="115"/>
      <c r="K43" s="115"/>
      <c r="L43" s="115"/>
      <c r="M43" s="115"/>
      <c r="N43" s="115"/>
      <c r="O43" s="115"/>
      <c r="P43" s="115"/>
    </row>
    <row r="44" spans="1:17">
      <c r="A44" s="115"/>
      <c r="B44" s="115"/>
      <c r="C44" s="115"/>
      <c r="D44" s="115"/>
      <c r="E44" s="115"/>
      <c r="F44" s="115"/>
      <c r="G44" s="115"/>
      <c r="J44" s="115"/>
      <c r="K44" s="115"/>
      <c r="L44" s="115"/>
      <c r="M44" s="115"/>
      <c r="N44" s="115"/>
      <c r="O44" s="115"/>
      <c r="P44" s="115"/>
    </row>
  </sheetData>
  <sheetProtection algorithmName="SHA-512" hashValue="8UGjOur+APRSAGtBeGORuUB3xwSQHK/gTiN2NaaGNoJCBiNOH2celYgsgqnApKlO/FLGpHugjSW4GOdw/hBo+w==" saltValue="x2xWcABdJS46AOCyrtn/gw=="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InputMessage="1" showErrorMessage="1" sqref="G34:G39 P34:P39" xr:uid="{00000000-0002-0000-0500-000000000000}">
      <formula1>"TRUE,FALSE"</formula1>
    </dataValidation>
  </dataValidations>
  <hyperlinks>
    <hyperlink ref="D5:E5" r:id="rId1" display="https://www.hec-drives.nl/BRUSA_DB_EN_NLG514.pdf" xr:uid="{A5EDB3A9-CAD1-4692-A2DA-CE8CEEF02FF3}"/>
  </hyperlinks>
  <pageMargins left="0.7" right="0.7" top="0.75" bottom="0.75" header="0.3" footer="0.3"/>
  <pageSetup orientation="portrait" r:id="rId2"/>
  <headerFooter>
    <oddFooter>&amp;R&amp;1#&amp;"Calibri"&amp;10&amp;KFF0000Public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2"/>
  <sheetViews>
    <sheetView topLeftCell="J1" zoomScale="50" zoomScaleNormal="160" workbookViewId="0">
      <pane ySplit="1" topLeftCell="G32" activePane="bottomLeft" state="frozen"/>
      <selection pane="bottomLeft" activeCell="M47" sqref="M47"/>
    </sheetView>
  </sheetViews>
  <sheetFormatPr defaultColWidth="8.69921875" defaultRowHeight="14.1"/>
  <cols>
    <col min="1" max="16384" width="8.69921875" style="2"/>
  </cols>
  <sheetData>
    <row r="1" spans="1:23">
      <c r="A1" s="28" t="s">
        <v>1</v>
      </c>
      <c r="B1" s="13" t="str" cm="1">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c r="A2" s="42" t="s">
        <v>102</v>
      </c>
      <c r="B2" s="42"/>
      <c r="C2" s="42"/>
      <c r="D2" s="42"/>
      <c r="E2" s="42"/>
      <c r="F2" s="82" t="str">
        <f>IF(COUNTIF(F4:F5, "="&amp;IncompleteText), IncompleteText, IF(COUNTIF(F4:F5, "="&amp;ErrorText), ErrorText, OKText))</f>
        <v>OK</v>
      </c>
      <c r="H2" s="42" t="s">
        <v>429</v>
      </c>
      <c r="I2" s="42"/>
      <c r="J2" s="42"/>
      <c r="K2" s="42"/>
      <c r="L2" s="42"/>
      <c r="M2" s="82" t="str">
        <f>IF(COUNTIF(M4:M8, "="&amp;IncompleteText), IncompleteText, IF(COUNTIF(M4:M8, "="&amp;ErrorText), ErrorText, OKText))</f>
        <v>OK</v>
      </c>
    </row>
    <row r="3" spans="1:23">
      <c r="A3" s="125" t="s">
        <v>430</v>
      </c>
      <c r="B3" s="126"/>
      <c r="C3" s="126"/>
      <c r="D3" s="128" t="s">
        <v>233</v>
      </c>
      <c r="E3" s="129"/>
      <c r="F3" s="82"/>
      <c r="H3" s="125" t="s">
        <v>430</v>
      </c>
      <c r="I3" s="126"/>
      <c r="J3" s="127"/>
      <c r="K3" s="128" t="s">
        <v>431</v>
      </c>
      <c r="L3" s="129"/>
      <c r="M3" s="82"/>
    </row>
    <row r="4" spans="1:23">
      <c r="A4" s="64" t="s">
        <v>276</v>
      </c>
      <c r="B4" s="64"/>
      <c r="C4" s="64"/>
      <c r="D4" s="124" t="s">
        <v>432</v>
      </c>
      <c r="E4" s="124"/>
      <c r="F4" s="13" t="str">
        <f>IF(ISBLANK(D4), IncompleteText, OKText)</f>
        <v>OK</v>
      </c>
      <c r="H4" s="64" t="s">
        <v>433</v>
      </c>
      <c r="I4" s="64"/>
      <c r="J4" s="64"/>
      <c r="K4" s="123" t="s">
        <v>434</v>
      </c>
      <c r="L4" s="123"/>
      <c r="M4" s="13" t="str">
        <f>IF(ISBLANK(K4), IncompleteText, OKText)</f>
        <v>OK</v>
      </c>
    </row>
    <row r="5" spans="1:23" ht="15">
      <c r="A5" s="64" t="s">
        <v>435</v>
      </c>
      <c r="B5" s="64"/>
      <c r="C5" s="64"/>
      <c r="D5" s="3">
        <v>270</v>
      </c>
      <c r="E5" t="s">
        <v>436</v>
      </c>
      <c r="F5" s="13" t="str">
        <f>IF(ISBLANK(D5), IncompleteText, IF(D5&lt;(MaxTSVoltage*0.5), ErrorText, OKText))</f>
        <v>OK</v>
      </c>
      <c r="H5" s="64" t="s">
        <v>437</v>
      </c>
      <c r="I5" s="64"/>
      <c r="J5" s="64"/>
      <c r="K5" s="123" t="s">
        <v>438</v>
      </c>
      <c r="L5" s="123"/>
      <c r="M5" s="13" t="str">
        <f>IF(ISBLANK(K5), IncompleteText, OKText)</f>
        <v>OK</v>
      </c>
    </row>
    <row r="6" spans="1:23">
      <c r="H6" s="64" t="s">
        <v>439</v>
      </c>
      <c r="I6" s="64"/>
      <c r="J6" s="64"/>
      <c r="K6" s="3">
        <v>2.2999999999999998</v>
      </c>
      <c r="L6" t="s">
        <v>19</v>
      </c>
      <c r="M6" s="13" t="str">
        <f>IF(ISBLANK(K6),IncompleteText,IF(K6&gt;(5000/NominalTSVoltage),ErrorText,OKText))</f>
        <v>OK</v>
      </c>
    </row>
    <row r="7" spans="1:23">
      <c r="H7" s="64" t="s">
        <v>440</v>
      </c>
      <c r="I7" s="64"/>
      <c r="J7" s="64"/>
      <c r="K7" s="3">
        <v>2.5920000000000001</v>
      </c>
      <c r="L7" t="s">
        <v>17</v>
      </c>
      <c r="M7" s="13" t="str">
        <f>IF(ISBLANK(K7), IncompleteText, OKText)</f>
        <v>OK</v>
      </c>
    </row>
    <row r="8" spans="1:23">
      <c r="H8" s="64" t="s">
        <v>441</v>
      </c>
      <c r="I8" s="64"/>
      <c r="J8" s="64"/>
      <c r="K8" s="3">
        <v>2.3E-2</v>
      </c>
      <c r="L8" t="s">
        <v>19</v>
      </c>
      <c r="M8" s="13" t="str">
        <f>IF(ISBLANK(K8), IncompleteText, OKText)</f>
        <v>OK</v>
      </c>
    </row>
    <row r="10" spans="1:23">
      <c r="A10" s="88" t="s">
        <v>442</v>
      </c>
      <c r="B10" s="88"/>
      <c r="C10" s="88"/>
      <c r="D10" s="88"/>
      <c r="E10" s="88"/>
      <c r="F10" s="88"/>
      <c r="G10" s="88"/>
      <c r="H10" s="88"/>
      <c r="I10" s="88"/>
      <c r="J10" s="88"/>
      <c r="K10" s="88"/>
      <c r="M10" s="88" t="s">
        <v>443</v>
      </c>
      <c r="N10" s="88"/>
      <c r="O10" s="88"/>
      <c r="P10" s="88"/>
      <c r="Q10" s="88"/>
      <c r="R10" s="88"/>
      <c r="S10" s="88"/>
      <c r="T10" s="88"/>
      <c r="U10" s="88"/>
      <c r="V10" s="88"/>
      <c r="W10" s="88"/>
    </row>
    <row r="11" spans="1:23">
      <c r="A11" s="88"/>
      <c r="B11" s="88"/>
      <c r="C11" s="88"/>
      <c r="D11" s="88"/>
      <c r="E11" s="88"/>
      <c r="F11" s="88"/>
      <c r="G11" s="88"/>
      <c r="H11" s="88"/>
      <c r="I11" s="88"/>
      <c r="J11" s="88"/>
      <c r="K11" s="88"/>
      <c r="M11" s="88"/>
      <c r="N11" s="88"/>
      <c r="O11" s="88"/>
      <c r="P11" s="88"/>
      <c r="Q11" s="88"/>
      <c r="R11" s="88"/>
      <c r="S11" s="88"/>
      <c r="T11" s="88"/>
      <c r="U11" s="88"/>
      <c r="V11" s="88"/>
      <c r="W11" s="88"/>
    </row>
    <row r="12" spans="1:23">
      <c r="A12" s="88"/>
      <c r="B12" s="88"/>
      <c r="C12" s="88"/>
      <c r="D12" s="88"/>
      <c r="E12" s="88"/>
      <c r="F12" s="88"/>
      <c r="G12" s="88"/>
      <c r="H12" s="88"/>
      <c r="I12" s="88"/>
      <c r="J12" s="88"/>
      <c r="K12" s="88"/>
      <c r="M12" s="88"/>
      <c r="N12" s="88"/>
      <c r="O12" s="88"/>
      <c r="P12" s="88"/>
      <c r="Q12" s="88"/>
      <c r="R12" s="88"/>
      <c r="S12" s="88"/>
      <c r="T12" s="88"/>
      <c r="U12" s="88"/>
      <c r="V12" s="88"/>
      <c r="W12" s="88"/>
    </row>
    <row r="13" spans="1:23">
      <c r="A13" s="88"/>
      <c r="B13" s="88"/>
      <c r="C13" s="88"/>
      <c r="D13" s="88"/>
      <c r="E13" s="88"/>
      <c r="F13" s="88"/>
      <c r="G13" s="88"/>
      <c r="H13" s="88"/>
      <c r="I13" s="88"/>
      <c r="J13" s="88"/>
      <c r="K13" s="88"/>
      <c r="M13" s="88"/>
      <c r="N13" s="88"/>
      <c r="O13" s="88"/>
      <c r="P13" s="88"/>
      <c r="Q13" s="88"/>
      <c r="R13" s="88"/>
      <c r="S13" s="88"/>
      <c r="T13" s="88"/>
      <c r="U13" s="88"/>
      <c r="V13" s="88"/>
      <c r="W13" s="88"/>
    </row>
    <row r="14" spans="1:23">
      <c r="A14" s="88"/>
      <c r="B14" s="88"/>
      <c r="C14" s="88"/>
      <c r="D14" s="88"/>
      <c r="E14" s="88"/>
      <c r="F14" s="88"/>
      <c r="G14" s="88"/>
      <c r="H14" s="88"/>
      <c r="I14" s="88"/>
      <c r="J14" s="88"/>
      <c r="K14" s="88"/>
      <c r="M14" s="88"/>
      <c r="N14" s="88"/>
      <c r="O14" s="88"/>
      <c r="P14" s="88"/>
      <c r="Q14" s="88"/>
      <c r="R14" s="88"/>
      <c r="S14" s="88"/>
      <c r="T14" s="88"/>
      <c r="U14" s="88"/>
      <c r="V14" s="88"/>
      <c r="W14" s="88"/>
    </row>
    <row r="15" spans="1:23">
      <c r="A15" s="88"/>
      <c r="B15" s="88"/>
      <c r="C15" s="88"/>
      <c r="D15" s="88"/>
      <c r="E15" s="88"/>
      <c r="F15" s="88"/>
      <c r="G15" s="88"/>
      <c r="H15" s="88"/>
      <c r="I15" s="88"/>
      <c r="J15" s="88"/>
      <c r="K15" s="88"/>
      <c r="M15" s="88"/>
      <c r="N15" s="88"/>
      <c r="O15" s="88"/>
      <c r="P15" s="88"/>
      <c r="Q15" s="88"/>
      <c r="R15" s="88"/>
      <c r="S15" s="88"/>
      <c r="T15" s="88"/>
      <c r="U15" s="88"/>
      <c r="V15" s="88"/>
      <c r="W15" s="88"/>
    </row>
    <row r="16" spans="1:23">
      <c r="A16" s="88"/>
      <c r="B16" s="88"/>
      <c r="C16" s="88"/>
      <c r="D16" s="88"/>
      <c r="E16" s="88"/>
      <c r="F16" s="88"/>
      <c r="G16" s="88"/>
      <c r="H16" s="88"/>
      <c r="I16" s="88"/>
      <c r="J16" s="88"/>
      <c r="K16" s="88"/>
      <c r="M16" s="88"/>
      <c r="N16" s="88"/>
      <c r="O16" s="88"/>
      <c r="P16" s="88"/>
      <c r="Q16" s="88"/>
      <c r="R16" s="88"/>
      <c r="S16" s="88"/>
      <c r="T16" s="88"/>
      <c r="U16" s="88"/>
      <c r="V16" s="88"/>
      <c r="W16" s="88"/>
    </row>
    <row r="17" spans="1:23">
      <c r="A17" s="88"/>
      <c r="B17" s="88"/>
      <c r="C17" s="88"/>
      <c r="D17" s="88"/>
      <c r="E17" s="88"/>
      <c r="F17" s="88"/>
      <c r="G17" s="88"/>
      <c r="H17" s="88"/>
      <c r="I17" s="88"/>
      <c r="J17" s="88"/>
      <c r="K17" s="88"/>
      <c r="M17" s="88"/>
      <c r="N17" s="88"/>
      <c r="O17" s="88"/>
      <c r="P17" s="88"/>
      <c r="Q17" s="88"/>
      <c r="R17" s="88"/>
      <c r="S17" s="88"/>
      <c r="T17" s="88"/>
      <c r="U17" s="88"/>
      <c r="V17" s="88"/>
      <c r="W17" s="88"/>
    </row>
    <row r="18" spans="1:23">
      <c r="A18" s="88"/>
      <c r="B18" s="88"/>
      <c r="C18" s="88"/>
      <c r="D18" s="88"/>
      <c r="E18" s="88"/>
      <c r="F18" s="88"/>
      <c r="G18" s="88"/>
      <c r="H18" s="88"/>
      <c r="I18" s="88"/>
      <c r="J18" s="88"/>
      <c r="K18" s="88"/>
      <c r="M18" s="88"/>
      <c r="N18" s="88"/>
      <c r="O18" s="88"/>
      <c r="P18" s="88"/>
      <c r="Q18" s="88"/>
      <c r="R18" s="88"/>
      <c r="S18" s="88"/>
      <c r="T18" s="88"/>
      <c r="U18" s="88"/>
      <c r="V18" s="88"/>
      <c r="W18" s="88"/>
    </row>
    <row r="19" spans="1:23">
      <c r="A19" s="88"/>
      <c r="B19" s="88"/>
      <c r="C19" s="88"/>
      <c r="D19" s="88"/>
      <c r="E19" s="88"/>
      <c r="F19" s="88"/>
      <c r="G19" s="88"/>
      <c r="H19" s="88"/>
      <c r="I19" s="88"/>
      <c r="J19" s="88"/>
      <c r="K19" s="88"/>
      <c r="M19" s="88"/>
      <c r="N19" s="88"/>
      <c r="O19" s="88"/>
      <c r="P19" s="88"/>
      <c r="Q19" s="88"/>
      <c r="R19" s="88"/>
      <c r="S19" s="88"/>
      <c r="T19" s="88"/>
      <c r="U19" s="88"/>
      <c r="V19" s="88"/>
      <c r="W19" s="88"/>
    </row>
    <row r="20" spans="1:23">
      <c r="A20" s="88"/>
      <c r="B20" s="88"/>
      <c r="C20" s="88"/>
      <c r="D20" s="88"/>
      <c r="E20" s="88"/>
      <c r="F20" s="88"/>
      <c r="G20" s="88"/>
      <c r="H20" s="88"/>
      <c r="I20" s="88"/>
      <c r="J20" s="88"/>
      <c r="K20" s="88"/>
      <c r="M20" s="88"/>
      <c r="N20" s="88"/>
      <c r="O20" s="88"/>
      <c r="P20" s="88"/>
      <c r="Q20" s="88"/>
      <c r="R20" s="88"/>
      <c r="S20" s="88"/>
      <c r="T20" s="88"/>
      <c r="U20" s="88"/>
      <c r="V20" s="88"/>
      <c r="W20" s="88"/>
    </row>
    <row r="21" spans="1:23">
      <c r="A21" s="88"/>
      <c r="B21" s="88"/>
      <c r="C21" s="88"/>
      <c r="D21" s="88"/>
      <c r="E21" s="88"/>
      <c r="F21" s="88"/>
      <c r="G21" s="88"/>
      <c r="H21" s="88"/>
      <c r="I21" s="88"/>
      <c r="J21" s="88"/>
      <c r="K21" s="88"/>
      <c r="M21" s="88"/>
      <c r="N21" s="88"/>
      <c r="O21" s="88"/>
      <c r="P21" s="88"/>
      <c r="Q21" s="88"/>
      <c r="R21" s="88"/>
      <c r="S21" s="88"/>
      <c r="T21" s="88"/>
      <c r="U21" s="88"/>
      <c r="V21" s="88"/>
      <c r="W21" s="88"/>
    </row>
    <row r="22" spans="1:23">
      <c r="A22" s="88"/>
      <c r="B22" s="88"/>
      <c r="C22" s="88"/>
      <c r="D22" s="88"/>
      <c r="E22" s="88"/>
      <c r="F22" s="88"/>
      <c r="G22" s="88"/>
      <c r="H22" s="88"/>
      <c r="I22" s="88"/>
      <c r="J22" s="88"/>
      <c r="K22" s="88"/>
      <c r="M22" s="88"/>
      <c r="N22" s="88"/>
      <c r="O22" s="88"/>
      <c r="P22" s="88"/>
      <c r="Q22" s="88"/>
      <c r="R22" s="88"/>
      <c r="S22" s="88"/>
      <c r="T22" s="88"/>
      <c r="U22" s="88"/>
      <c r="V22" s="88"/>
      <c r="W22" s="88"/>
    </row>
    <row r="23" spans="1:23">
      <c r="A23" s="88"/>
      <c r="B23" s="88"/>
      <c r="C23" s="88"/>
      <c r="D23" s="88"/>
      <c r="E23" s="88"/>
      <c r="F23" s="88"/>
      <c r="G23" s="88"/>
      <c r="H23" s="88"/>
      <c r="I23" s="88"/>
      <c r="J23" s="88"/>
      <c r="K23" s="88"/>
      <c r="M23" s="88"/>
      <c r="N23" s="88"/>
      <c r="O23" s="88"/>
      <c r="P23" s="88"/>
      <c r="Q23" s="88"/>
      <c r="R23" s="88"/>
      <c r="S23" s="88"/>
      <c r="T23" s="88"/>
      <c r="U23" s="88"/>
      <c r="V23" s="88"/>
      <c r="W23" s="88"/>
    </row>
    <row r="24" spans="1:23">
      <c r="A24" s="88"/>
      <c r="B24" s="88"/>
      <c r="C24" s="88"/>
      <c r="D24" s="88"/>
      <c r="E24" s="88"/>
      <c r="F24" s="88"/>
      <c r="G24" s="88"/>
      <c r="H24" s="88"/>
      <c r="I24" s="88"/>
      <c r="J24" s="88"/>
      <c r="K24" s="88"/>
      <c r="M24" s="88"/>
      <c r="N24" s="88"/>
      <c r="O24" s="88"/>
      <c r="P24" s="88"/>
      <c r="Q24" s="88"/>
      <c r="R24" s="88"/>
      <c r="S24" s="88"/>
      <c r="T24" s="88"/>
      <c r="U24" s="88"/>
      <c r="V24" s="88"/>
      <c r="W24" s="88"/>
    </row>
    <row r="25" spans="1:23">
      <c r="A25" s="88"/>
      <c r="B25" s="88"/>
      <c r="C25" s="88"/>
      <c r="D25" s="88"/>
      <c r="E25" s="88"/>
      <c r="F25" s="88"/>
      <c r="G25" s="88"/>
      <c r="H25" s="88"/>
      <c r="I25" s="88"/>
      <c r="J25" s="88"/>
      <c r="K25" s="88"/>
      <c r="M25" s="88"/>
      <c r="N25" s="88"/>
      <c r="O25" s="88"/>
      <c r="P25" s="88"/>
      <c r="Q25" s="88"/>
      <c r="R25" s="88"/>
      <c r="S25" s="88"/>
      <c r="T25" s="88"/>
      <c r="U25" s="88"/>
      <c r="V25" s="88"/>
      <c r="W25" s="88"/>
    </row>
    <row r="26" spans="1:23">
      <c r="A26" s="88"/>
      <c r="B26" s="88"/>
      <c r="C26" s="88"/>
      <c r="D26" s="88"/>
      <c r="E26" s="88"/>
      <c r="F26" s="88"/>
      <c r="G26" s="88"/>
      <c r="H26" s="88"/>
      <c r="I26" s="88"/>
      <c r="J26" s="88"/>
      <c r="K26" s="88"/>
      <c r="M26" s="88"/>
      <c r="N26" s="88"/>
      <c r="O26" s="88"/>
      <c r="P26" s="88"/>
      <c r="Q26" s="88"/>
      <c r="R26" s="88"/>
      <c r="S26" s="88"/>
      <c r="T26" s="88"/>
      <c r="U26" s="88"/>
      <c r="V26" s="88"/>
      <c r="W26" s="88"/>
    </row>
    <row r="27" spans="1:23">
      <c r="A27" s="88"/>
      <c r="B27" s="88"/>
      <c r="C27" s="88"/>
      <c r="D27" s="88"/>
      <c r="E27" s="88"/>
      <c r="F27" s="88"/>
      <c r="G27" s="88"/>
      <c r="H27" s="88"/>
      <c r="I27" s="88"/>
      <c r="J27" s="88"/>
      <c r="K27" s="88"/>
      <c r="M27" s="88"/>
      <c r="N27" s="88"/>
      <c r="O27" s="88"/>
      <c r="P27" s="88"/>
      <c r="Q27" s="88"/>
      <c r="R27" s="88"/>
      <c r="S27" s="88"/>
      <c r="T27" s="88"/>
      <c r="U27" s="88"/>
      <c r="V27" s="88"/>
      <c r="W27" s="88"/>
    </row>
    <row r="28" spans="1:23">
      <c r="A28" s="88"/>
      <c r="B28" s="88"/>
      <c r="C28" s="88"/>
      <c r="D28" s="88"/>
      <c r="E28" s="88"/>
      <c r="F28" s="88"/>
      <c r="G28" s="88"/>
      <c r="H28" s="88"/>
      <c r="I28" s="88"/>
      <c r="J28" s="88"/>
      <c r="K28" s="88"/>
      <c r="M28" s="88"/>
      <c r="N28" s="88"/>
      <c r="O28" s="88"/>
      <c r="P28" s="88"/>
      <c r="Q28" s="88"/>
      <c r="R28" s="88"/>
      <c r="S28" s="88"/>
      <c r="T28" s="88"/>
      <c r="U28" s="88"/>
      <c r="V28" s="88"/>
      <c r="W28" s="88"/>
    </row>
    <row r="29" spans="1:23">
      <c r="A29" s="88"/>
      <c r="B29" s="88"/>
      <c r="C29" s="88"/>
      <c r="D29" s="88"/>
      <c r="E29" s="88"/>
      <c r="F29" s="88"/>
      <c r="G29" s="88"/>
      <c r="H29" s="88"/>
      <c r="I29" s="88"/>
      <c r="J29" s="88"/>
      <c r="K29" s="88"/>
      <c r="M29" s="88"/>
      <c r="N29" s="88"/>
      <c r="O29" s="88"/>
      <c r="P29" s="88"/>
      <c r="Q29" s="88"/>
      <c r="R29" s="88"/>
      <c r="S29" s="88"/>
      <c r="T29" s="88"/>
      <c r="U29" s="88"/>
      <c r="V29" s="88"/>
      <c r="W29" s="88"/>
    </row>
    <row r="30" spans="1:23">
      <c r="A30" s="88"/>
      <c r="B30" s="88"/>
      <c r="C30" s="88"/>
      <c r="D30" s="88"/>
      <c r="E30" s="88"/>
      <c r="F30" s="88"/>
      <c r="G30" s="88"/>
      <c r="H30" s="88"/>
      <c r="I30" s="88"/>
      <c r="J30" s="88"/>
      <c r="K30" s="88"/>
      <c r="M30" s="88"/>
      <c r="N30" s="88"/>
      <c r="O30" s="88"/>
      <c r="P30" s="88"/>
      <c r="Q30" s="88"/>
      <c r="R30" s="88"/>
      <c r="S30" s="88"/>
      <c r="T30" s="88"/>
      <c r="U30" s="88"/>
      <c r="V30" s="88"/>
      <c r="W30" s="88"/>
    </row>
    <row r="31" spans="1:23">
      <c r="A31" s="88"/>
      <c r="B31" s="88"/>
      <c r="C31" s="88"/>
      <c r="D31" s="88"/>
      <c r="E31" s="88"/>
      <c r="F31" s="88"/>
      <c r="G31" s="88"/>
      <c r="H31" s="88"/>
      <c r="I31" s="88"/>
      <c r="J31" s="88"/>
      <c r="K31" s="88"/>
      <c r="M31" s="88"/>
      <c r="N31" s="88"/>
      <c r="O31" s="88"/>
      <c r="P31" s="88"/>
      <c r="Q31" s="88"/>
      <c r="R31" s="88"/>
      <c r="S31" s="88"/>
      <c r="T31" s="88"/>
      <c r="U31" s="88"/>
      <c r="V31" s="88"/>
      <c r="W31" s="88"/>
    </row>
    <row r="32" spans="1:23">
      <c r="A32" s="88"/>
      <c r="B32" s="88"/>
      <c r="C32" s="88"/>
      <c r="D32" s="88"/>
      <c r="E32" s="88"/>
      <c r="F32" s="88"/>
      <c r="G32" s="88"/>
      <c r="H32" s="88"/>
      <c r="I32" s="88"/>
      <c r="J32" s="88"/>
      <c r="K32" s="88"/>
      <c r="M32" s="88"/>
      <c r="N32" s="88"/>
      <c r="O32" s="88"/>
      <c r="P32" s="88"/>
      <c r="Q32" s="88"/>
      <c r="R32" s="88"/>
      <c r="S32" s="88"/>
      <c r="T32" s="88"/>
      <c r="U32" s="88"/>
      <c r="V32" s="88"/>
      <c r="W32" s="88"/>
    </row>
    <row r="33" spans="1:23">
      <c r="A33" s="88"/>
      <c r="B33" s="88"/>
      <c r="C33" s="88"/>
      <c r="D33" s="88"/>
      <c r="E33" s="88"/>
      <c r="F33" s="88"/>
      <c r="G33" s="88"/>
      <c r="H33" s="88"/>
      <c r="I33" s="88"/>
      <c r="J33" s="88"/>
      <c r="K33" s="88"/>
      <c r="M33" s="88"/>
      <c r="N33" s="88"/>
      <c r="O33" s="88"/>
      <c r="P33" s="88"/>
      <c r="Q33" s="88"/>
      <c r="R33" s="88"/>
      <c r="S33" s="88"/>
      <c r="T33" s="88"/>
      <c r="U33" s="88"/>
      <c r="V33" s="88"/>
      <c r="W33" s="88"/>
    </row>
    <row r="34" spans="1:23">
      <c r="A34" s="88"/>
      <c r="B34" s="88"/>
      <c r="C34" s="88"/>
      <c r="D34" s="88"/>
      <c r="E34" s="88"/>
      <c r="F34" s="88"/>
      <c r="G34" s="88"/>
      <c r="H34" s="88"/>
      <c r="I34" s="88"/>
      <c r="J34" s="88"/>
      <c r="K34" s="88"/>
      <c r="M34" s="88"/>
      <c r="N34" s="88"/>
      <c r="O34" s="88"/>
      <c r="P34" s="88"/>
      <c r="Q34" s="88"/>
      <c r="R34" s="88"/>
      <c r="S34" s="88"/>
      <c r="T34" s="88"/>
      <c r="U34" s="88"/>
      <c r="V34" s="88"/>
      <c r="W34" s="88"/>
    </row>
    <row r="35" spans="1:23">
      <c r="A35" s="88"/>
      <c r="B35" s="88"/>
      <c r="C35" s="88"/>
      <c r="D35" s="88"/>
      <c r="E35" s="88"/>
      <c r="F35" s="88"/>
      <c r="G35" s="88"/>
      <c r="H35" s="88"/>
      <c r="I35" s="88"/>
      <c r="J35" s="88"/>
      <c r="K35" s="88"/>
      <c r="M35" s="88"/>
      <c r="N35" s="88"/>
      <c r="O35" s="88"/>
      <c r="P35" s="88"/>
      <c r="Q35" s="88"/>
      <c r="R35" s="88"/>
      <c r="S35" s="88"/>
      <c r="T35" s="88"/>
      <c r="U35" s="88"/>
      <c r="V35" s="88"/>
      <c r="W35" s="88"/>
    </row>
    <row r="36" spans="1:23">
      <c r="A36" s="42" t="s">
        <v>444</v>
      </c>
      <c r="B36" s="42"/>
      <c r="C36" s="42"/>
      <c r="D36" s="42"/>
      <c r="E36" s="42"/>
      <c r="F36" s="42"/>
      <c r="G36" s="42"/>
      <c r="H36" s="42"/>
      <c r="I36" s="42"/>
      <c r="J36" s="42"/>
      <c r="K36" s="81" t="str">
        <f>IF(COUNTIF(K38:K61, "="&amp;IncompleteText), IncompleteText, IF(COUNTIF(K38:K61, "="&amp;ErrorText), ErrorText, OKText))</f>
        <v>WARNING</v>
      </c>
      <c r="M36" s="42" t="s">
        <v>445</v>
      </c>
      <c r="N36" s="42"/>
      <c r="O36" s="42"/>
      <c r="P36" s="42"/>
      <c r="Q36" s="42"/>
      <c r="R36" s="42"/>
      <c r="S36" s="42"/>
      <c r="T36" s="42"/>
      <c r="U36" s="42"/>
      <c r="V36" s="42"/>
      <c r="W36" s="81" t="str">
        <f>IF(COUNTIF(W38:W40, "="&amp;IncompleteText), IncompleteText, IF(COUNTIF(W38:W40, "="&amp;ErrorText), ErrorText, OKText))</f>
        <v>OK</v>
      </c>
    </row>
    <row r="37" spans="1:23">
      <c r="A37" s="83" t="s">
        <v>58</v>
      </c>
      <c r="B37" s="119"/>
      <c r="C37" s="24"/>
      <c r="D37" s="24"/>
      <c r="E37" s="24"/>
      <c r="F37" s="24"/>
      <c r="G37" s="24"/>
      <c r="H37" s="24"/>
      <c r="I37" s="24"/>
      <c r="J37" s="24"/>
      <c r="K37" s="82"/>
      <c r="M37" s="24"/>
      <c r="N37" s="24"/>
      <c r="O37" s="24"/>
      <c r="P37" s="24"/>
      <c r="Q37" s="24"/>
      <c r="R37" s="24"/>
      <c r="S37" s="24"/>
      <c r="T37" s="24"/>
      <c r="U37" s="24"/>
      <c r="V37" s="24"/>
      <c r="W37" s="82"/>
    </row>
    <row r="38" spans="1:23">
      <c r="A38" s="80" t="s">
        <v>446</v>
      </c>
      <c r="B38" s="80"/>
      <c r="C38" s="64" t="s">
        <v>447</v>
      </c>
      <c r="D38" s="64"/>
      <c r="E38" s="64"/>
      <c r="F38" s="64"/>
      <c r="G38" s="64"/>
      <c r="H38" s="64"/>
      <c r="I38" s="65"/>
      <c r="J38" s="3" t="b">
        <v>1</v>
      </c>
      <c r="K38" s="13" t="str">
        <f t="shared" ref="K38:K61" si="0">IF(ISBLANK(J38),IncompleteText, IF(J38, OKText, ErrorText))</f>
        <v>OK</v>
      </c>
      <c r="M38" s="64" t="s">
        <v>448</v>
      </c>
      <c r="N38" s="64"/>
      <c r="O38" s="64"/>
      <c r="P38" s="64"/>
      <c r="Q38" s="64"/>
      <c r="R38" s="64"/>
      <c r="S38" s="64"/>
      <c r="T38" s="64"/>
      <c r="U38" s="65"/>
      <c r="V38" s="3" t="b">
        <v>1</v>
      </c>
      <c r="W38" s="13" t="str">
        <f>IF(ISBLANK(V38),IncompleteText, IF(V38, OKText, ErrorText))</f>
        <v>OK</v>
      </c>
    </row>
    <row r="39" spans="1:23">
      <c r="A39" s="80" t="s">
        <v>446</v>
      </c>
      <c r="B39" s="80"/>
      <c r="C39" s="64" t="s">
        <v>449</v>
      </c>
      <c r="D39" s="64"/>
      <c r="E39" s="64"/>
      <c r="F39" s="64"/>
      <c r="G39" s="64"/>
      <c r="H39" s="64"/>
      <c r="I39" s="65"/>
      <c r="J39" s="3" t="b">
        <v>1</v>
      </c>
      <c r="K39" s="13" t="str">
        <f t="shared" si="0"/>
        <v>OK</v>
      </c>
      <c r="M39" s="64" t="s">
        <v>450</v>
      </c>
      <c r="N39" s="64"/>
      <c r="O39" s="64"/>
      <c r="P39" s="64"/>
      <c r="Q39" s="64"/>
      <c r="R39" s="64"/>
      <c r="S39" s="64"/>
      <c r="T39" s="64"/>
      <c r="U39" s="65"/>
      <c r="V39" s="3" t="b">
        <v>1</v>
      </c>
      <c r="W39" s="13" t="str">
        <f>IF(ISBLANK(V39),IncompleteText, IF(V39, OKText, ErrorText))</f>
        <v>OK</v>
      </c>
    </row>
    <row r="40" spans="1:23">
      <c r="A40" s="80" t="s">
        <v>451</v>
      </c>
      <c r="B40" s="80"/>
      <c r="C40" s="64" t="s">
        <v>452</v>
      </c>
      <c r="D40" s="64"/>
      <c r="E40" s="64"/>
      <c r="F40" s="64"/>
      <c r="G40" s="64"/>
      <c r="H40" s="64"/>
      <c r="I40" s="65"/>
      <c r="J40" s="3" t="b">
        <v>1</v>
      </c>
      <c r="K40" s="13" t="str">
        <f>IF(ISBLANK(J40),IncompleteText, IF(J40, OKText, ErrorText))</f>
        <v>OK</v>
      </c>
      <c r="M40" s="64" t="s">
        <v>453</v>
      </c>
      <c r="N40" s="64"/>
      <c r="O40" s="64"/>
      <c r="P40" s="64"/>
      <c r="Q40" s="64"/>
      <c r="R40" s="64"/>
      <c r="S40" s="64"/>
      <c r="T40" s="64"/>
      <c r="U40" s="65"/>
      <c r="V40" s="3" t="b">
        <v>1</v>
      </c>
      <c r="W40" s="13" t="str">
        <f>IF(ISBLANK(V40),IncompleteText, IF(V40, OKText, ErrorText))</f>
        <v>OK</v>
      </c>
    </row>
    <row r="41" spans="1:23">
      <c r="A41" s="80" t="s">
        <v>451</v>
      </c>
      <c r="B41" s="80"/>
      <c r="C41" s="64" t="s">
        <v>454</v>
      </c>
      <c r="D41" s="64"/>
      <c r="E41" s="64"/>
      <c r="F41" s="64"/>
      <c r="G41" s="64"/>
      <c r="H41" s="64"/>
      <c r="I41" s="65"/>
      <c r="J41" s="3" t="b">
        <v>1</v>
      </c>
      <c r="K41" s="13" t="str">
        <f>IF(ISBLANK(J41),IncompleteText, IF(J41, OKText, ErrorText))</f>
        <v>OK</v>
      </c>
      <c r="M41" s="42" t="s">
        <v>20</v>
      </c>
      <c r="N41" s="42"/>
      <c r="O41" s="42"/>
      <c r="P41" s="42"/>
      <c r="Q41" s="42"/>
      <c r="R41" s="42"/>
      <c r="S41" s="42"/>
      <c r="T41" s="42"/>
      <c r="U41" s="42"/>
      <c r="V41" s="92" t="s">
        <v>58</v>
      </c>
      <c r="W41" s="93"/>
    </row>
    <row r="42" spans="1:23">
      <c r="A42" s="80" t="s">
        <v>455</v>
      </c>
      <c r="B42" s="80"/>
      <c r="C42" s="64" t="s">
        <v>456</v>
      </c>
      <c r="D42" s="64"/>
      <c r="E42" s="64"/>
      <c r="F42" s="64"/>
      <c r="G42" s="64"/>
      <c r="H42" s="64"/>
      <c r="I42" s="65"/>
      <c r="J42" s="3" t="b">
        <v>1</v>
      </c>
      <c r="K42" s="13" t="str">
        <f t="shared" si="0"/>
        <v>OK</v>
      </c>
      <c r="M42" s="51"/>
      <c r="N42" s="52"/>
      <c r="O42" s="52"/>
      <c r="P42" s="52"/>
      <c r="Q42" s="52"/>
      <c r="R42" s="52"/>
      <c r="S42" s="52"/>
      <c r="T42" s="52"/>
      <c r="U42" s="52"/>
      <c r="V42" s="72" t="s">
        <v>431</v>
      </c>
      <c r="W42" s="94"/>
    </row>
    <row r="43" spans="1:23">
      <c r="A43" s="80" t="s">
        <v>457</v>
      </c>
      <c r="B43" s="80"/>
      <c r="C43" s="64" t="s">
        <v>458</v>
      </c>
      <c r="D43" s="64"/>
      <c r="E43" s="64"/>
      <c r="F43" s="64"/>
      <c r="G43" s="64"/>
      <c r="H43" s="64"/>
      <c r="I43" s="65"/>
      <c r="J43" s="3" t="b">
        <v>1</v>
      </c>
      <c r="K43" s="13" t="str">
        <f>IF(ISBLANK(J43),IncompleteText, IF(J43, OKText, ErrorText))</f>
        <v>OK</v>
      </c>
      <c r="M43" s="51"/>
      <c r="N43" s="52"/>
      <c r="O43" s="52"/>
      <c r="P43" s="52"/>
      <c r="Q43" s="52"/>
      <c r="R43" s="52"/>
      <c r="S43" s="52"/>
      <c r="T43" s="52"/>
      <c r="U43" s="52"/>
      <c r="V43" s="95"/>
      <c r="W43" s="96"/>
    </row>
    <row r="44" spans="1:23">
      <c r="A44" s="80" t="s">
        <v>459</v>
      </c>
      <c r="B44" s="80"/>
      <c r="C44" s="64" t="s">
        <v>420</v>
      </c>
      <c r="D44" s="64"/>
      <c r="E44" s="64"/>
      <c r="F44" s="64"/>
      <c r="G44" s="64"/>
      <c r="H44" s="64"/>
      <c r="I44" s="65"/>
      <c r="J44" s="3" t="b">
        <v>1</v>
      </c>
      <c r="K44" s="13" t="str">
        <f>IF(ISBLANK(J44),IncompleteText, IF(J44, OKText, ErrorText))</f>
        <v>OK</v>
      </c>
      <c r="M44" s="51"/>
      <c r="N44" s="52"/>
      <c r="O44" s="52"/>
      <c r="P44" s="52"/>
      <c r="Q44" s="52"/>
      <c r="R44" s="52"/>
      <c r="S44" s="52"/>
      <c r="T44" s="52"/>
      <c r="U44" s="52"/>
      <c r="V44" s="95"/>
      <c r="W44" s="96"/>
    </row>
    <row r="45" spans="1:23">
      <c r="A45" s="80" t="s">
        <v>233</v>
      </c>
      <c r="B45" s="80"/>
      <c r="C45" s="64" t="s">
        <v>102</v>
      </c>
      <c r="D45" s="64"/>
      <c r="E45" s="64"/>
      <c r="F45" s="64"/>
      <c r="G45" s="64"/>
      <c r="H45" s="64"/>
      <c r="I45" s="65"/>
      <c r="J45" s="3" t="b">
        <v>1</v>
      </c>
      <c r="K45" s="13" t="str">
        <f t="shared" si="0"/>
        <v>OK</v>
      </c>
      <c r="M45" s="51"/>
      <c r="N45" s="52"/>
      <c r="O45" s="52"/>
      <c r="P45" s="52"/>
      <c r="Q45" s="52"/>
      <c r="R45" s="52"/>
      <c r="S45" s="52"/>
      <c r="T45" s="52"/>
      <c r="U45" s="52"/>
      <c r="V45" s="97"/>
      <c r="W45" s="98"/>
    </row>
    <row r="46" spans="1:23">
      <c r="A46" s="80" t="s">
        <v>431</v>
      </c>
      <c r="B46" s="80"/>
      <c r="C46" s="64" t="s">
        <v>429</v>
      </c>
      <c r="D46" s="64"/>
      <c r="E46" s="64"/>
      <c r="F46" s="64"/>
      <c r="G46" s="64"/>
      <c r="H46" s="64"/>
      <c r="I46" s="65"/>
      <c r="J46" s="3" t="b">
        <v>1</v>
      </c>
      <c r="K46" s="13" t="str">
        <f t="shared" si="0"/>
        <v>OK</v>
      </c>
    </row>
    <row r="47" spans="1:23">
      <c r="A47" s="80" t="s">
        <v>460</v>
      </c>
      <c r="B47" s="80"/>
      <c r="C47" s="64" t="s">
        <v>461</v>
      </c>
      <c r="D47" s="64"/>
      <c r="E47" s="64"/>
      <c r="F47" s="64"/>
      <c r="G47" s="64"/>
      <c r="H47" s="64"/>
      <c r="I47" s="65"/>
      <c r="J47" s="3" t="b">
        <v>1</v>
      </c>
      <c r="K47" s="13" t="str">
        <f t="shared" si="0"/>
        <v>OK</v>
      </c>
      <c r="M47" s="88" t="s">
        <v>462</v>
      </c>
      <c r="N47" s="88"/>
      <c r="O47" s="88"/>
      <c r="P47" s="88"/>
      <c r="Q47" s="88"/>
      <c r="R47" s="88"/>
      <c r="S47" s="88"/>
      <c r="T47" s="88"/>
      <c r="U47" s="88"/>
      <c r="V47" s="88"/>
      <c r="W47" s="88"/>
    </row>
    <row r="48" spans="1:23">
      <c r="A48" s="80" t="s">
        <v>463</v>
      </c>
      <c r="B48" s="80"/>
      <c r="C48" s="64" t="s">
        <v>464</v>
      </c>
      <c r="D48" s="64"/>
      <c r="E48" s="64"/>
      <c r="F48" s="64"/>
      <c r="G48" s="64"/>
      <c r="H48" s="64"/>
      <c r="I48" s="65"/>
      <c r="J48" s="3" t="b">
        <v>1</v>
      </c>
      <c r="K48" s="13" t="str">
        <f t="shared" si="0"/>
        <v>OK</v>
      </c>
      <c r="M48" s="88"/>
      <c r="N48" s="88"/>
      <c r="O48" s="88"/>
      <c r="P48" s="88"/>
      <c r="Q48" s="88"/>
      <c r="R48" s="88"/>
      <c r="S48" s="88"/>
      <c r="T48" s="88"/>
      <c r="U48" s="88"/>
      <c r="V48" s="88"/>
      <c r="W48" s="88"/>
    </row>
    <row r="49" spans="1:23">
      <c r="A49" s="80" t="s">
        <v>465</v>
      </c>
      <c r="B49" s="80"/>
      <c r="C49" s="64" t="s">
        <v>466</v>
      </c>
      <c r="D49" s="64"/>
      <c r="E49" s="64"/>
      <c r="F49" s="64"/>
      <c r="G49" s="64"/>
      <c r="H49" s="64"/>
      <c r="I49" s="65"/>
      <c r="J49" s="3" t="b">
        <v>0</v>
      </c>
      <c r="K49" s="13" t="str">
        <f t="shared" si="0"/>
        <v>WARNING</v>
      </c>
      <c r="M49" s="88"/>
      <c r="N49" s="88"/>
      <c r="O49" s="88"/>
      <c r="P49" s="88"/>
      <c r="Q49" s="88"/>
      <c r="R49" s="88"/>
      <c r="S49" s="88"/>
      <c r="T49" s="88"/>
      <c r="U49" s="88"/>
      <c r="V49" s="88"/>
      <c r="W49" s="88"/>
    </row>
    <row r="50" spans="1:23">
      <c r="A50" s="80"/>
      <c r="B50" s="80"/>
      <c r="C50" s="64" t="s">
        <v>467</v>
      </c>
      <c r="D50" s="64"/>
      <c r="E50" s="64"/>
      <c r="F50" s="64"/>
      <c r="G50" s="64"/>
      <c r="H50" s="64"/>
      <c r="I50" s="65"/>
      <c r="J50" s="3" t="b">
        <v>1</v>
      </c>
      <c r="K50" s="13" t="str">
        <f t="shared" si="0"/>
        <v>OK</v>
      </c>
      <c r="M50" s="88"/>
      <c r="N50" s="88"/>
      <c r="O50" s="88"/>
      <c r="P50" s="88"/>
      <c r="Q50" s="88"/>
      <c r="R50" s="88"/>
      <c r="S50" s="88"/>
      <c r="T50" s="88"/>
      <c r="U50" s="88"/>
      <c r="V50" s="88"/>
      <c r="W50" s="88"/>
    </row>
    <row r="51" spans="1:23">
      <c r="A51" s="80"/>
      <c r="B51" s="80"/>
      <c r="C51" s="64" t="s">
        <v>468</v>
      </c>
      <c r="D51" s="64"/>
      <c r="E51" s="64"/>
      <c r="F51" s="64"/>
      <c r="G51" s="64"/>
      <c r="H51" s="64"/>
      <c r="I51" s="65"/>
      <c r="J51" s="3" t="b">
        <v>1</v>
      </c>
      <c r="K51" s="13" t="str">
        <f t="shared" si="0"/>
        <v>OK</v>
      </c>
      <c r="M51" s="88"/>
      <c r="N51" s="88"/>
      <c r="O51" s="88"/>
      <c r="P51" s="88"/>
      <c r="Q51" s="88"/>
      <c r="R51" s="88"/>
      <c r="S51" s="88"/>
      <c r="T51" s="88"/>
      <c r="U51" s="88"/>
      <c r="V51" s="88"/>
      <c r="W51" s="88"/>
    </row>
    <row r="52" spans="1:23">
      <c r="A52" s="80"/>
      <c r="B52" s="80"/>
      <c r="C52" s="64" t="s">
        <v>421</v>
      </c>
      <c r="D52" s="64"/>
      <c r="E52" s="64"/>
      <c r="F52" s="64"/>
      <c r="G52" s="64"/>
      <c r="H52" s="64"/>
      <c r="I52" s="65"/>
      <c r="J52" s="3" t="b">
        <v>1</v>
      </c>
      <c r="K52" s="13" t="str">
        <f t="shared" si="0"/>
        <v>OK</v>
      </c>
      <c r="M52" s="88"/>
      <c r="N52" s="88"/>
      <c r="O52" s="88"/>
      <c r="P52" s="88"/>
      <c r="Q52" s="88"/>
      <c r="R52" s="88"/>
      <c r="S52" s="88"/>
      <c r="T52" s="88"/>
      <c r="U52" s="88"/>
      <c r="V52" s="88"/>
      <c r="W52" s="88"/>
    </row>
    <row r="53" spans="1:23">
      <c r="A53" s="80" t="s">
        <v>469</v>
      </c>
      <c r="B53" s="80"/>
      <c r="C53" s="64" t="s">
        <v>470</v>
      </c>
      <c r="D53" s="64"/>
      <c r="E53" s="64"/>
      <c r="F53" s="64"/>
      <c r="G53" s="64"/>
      <c r="H53" s="64"/>
      <c r="I53" s="65"/>
      <c r="J53" s="3" t="b">
        <v>1</v>
      </c>
      <c r="K53" s="13" t="str">
        <f t="shared" si="0"/>
        <v>OK</v>
      </c>
      <c r="M53" s="88"/>
      <c r="N53" s="88"/>
      <c r="O53" s="88"/>
      <c r="P53" s="88"/>
      <c r="Q53" s="88"/>
      <c r="R53" s="88"/>
      <c r="S53" s="88"/>
      <c r="T53" s="88"/>
      <c r="U53" s="88"/>
      <c r="V53" s="88"/>
      <c r="W53" s="88"/>
    </row>
    <row r="54" spans="1:23">
      <c r="A54" s="80" t="s">
        <v>469</v>
      </c>
      <c r="B54" s="80"/>
      <c r="C54" s="64" t="s">
        <v>471</v>
      </c>
      <c r="D54" s="64"/>
      <c r="E54" s="64"/>
      <c r="F54" s="64"/>
      <c r="G54" s="64"/>
      <c r="H54" s="64"/>
      <c r="I54" s="65"/>
      <c r="J54" s="3" t="b">
        <v>1</v>
      </c>
      <c r="K54" s="13" t="str">
        <f t="shared" si="0"/>
        <v>OK</v>
      </c>
      <c r="M54" s="88"/>
      <c r="N54" s="88"/>
      <c r="O54" s="88"/>
      <c r="P54" s="88"/>
      <c r="Q54" s="88"/>
      <c r="R54" s="88"/>
      <c r="S54" s="88"/>
      <c r="T54" s="88"/>
      <c r="U54" s="88"/>
      <c r="V54" s="88"/>
      <c r="W54" s="88"/>
    </row>
    <row r="55" spans="1:23">
      <c r="A55" s="80" t="s">
        <v>469</v>
      </c>
      <c r="B55" s="80"/>
      <c r="C55" s="64" t="s">
        <v>472</v>
      </c>
      <c r="D55" s="64"/>
      <c r="E55" s="64"/>
      <c r="F55" s="64"/>
      <c r="G55" s="64"/>
      <c r="H55" s="64"/>
      <c r="I55" s="65"/>
      <c r="J55" s="3" t="b">
        <v>1</v>
      </c>
      <c r="K55" s="13" t="str">
        <f t="shared" si="0"/>
        <v>OK</v>
      </c>
      <c r="M55" s="88"/>
      <c r="N55" s="88"/>
      <c r="O55" s="88"/>
      <c r="P55" s="88"/>
      <c r="Q55" s="88"/>
      <c r="R55" s="88"/>
      <c r="S55" s="88"/>
      <c r="T55" s="88"/>
      <c r="U55" s="88"/>
      <c r="V55" s="88"/>
      <c r="W55" s="88"/>
    </row>
    <row r="56" spans="1:23">
      <c r="A56" s="80"/>
      <c r="B56" s="80"/>
      <c r="C56" s="64" t="s">
        <v>473</v>
      </c>
      <c r="D56" s="64"/>
      <c r="E56" s="64"/>
      <c r="F56" s="64"/>
      <c r="G56" s="64"/>
      <c r="H56" s="64"/>
      <c r="I56" s="65"/>
      <c r="J56" s="3" t="b">
        <v>1</v>
      </c>
      <c r="K56" s="13" t="e">
        <f>IF(ISBLANK(#REF!),IncompleteText, IF(#REF!, OKText, ErrorText))</f>
        <v>#REF!</v>
      </c>
      <c r="M56" s="88"/>
      <c r="N56" s="88"/>
      <c r="O56" s="88"/>
      <c r="P56" s="88"/>
      <c r="Q56" s="88"/>
      <c r="R56" s="88"/>
      <c r="S56" s="88"/>
      <c r="T56" s="88"/>
      <c r="U56" s="88"/>
      <c r="V56" s="88"/>
      <c r="W56" s="88"/>
    </row>
    <row r="57" spans="1:23">
      <c r="A57" s="80" t="s">
        <v>474</v>
      </c>
      <c r="B57" s="80"/>
      <c r="C57" s="64" t="s">
        <v>475</v>
      </c>
      <c r="D57" s="64"/>
      <c r="E57" s="64"/>
      <c r="F57" s="64"/>
      <c r="G57" s="64"/>
      <c r="H57" s="64"/>
      <c r="I57" s="65"/>
      <c r="J57" s="3" t="b">
        <v>1</v>
      </c>
      <c r="K57" s="13" t="str">
        <f>IF(ISBLANK(J56),IncompleteText, IF(J56, OKText, ErrorText))</f>
        <v>OK</v>
      </c>
      <c r="M57" s="88"/>
      <c r="N57" s="88"/>
      <c r="O57" s="88"/>
      <c r="P57" s="88"/>
      <c r="Q57" s="88"/>
      <c r="R57" s="88"/>
      <c r="S57" s="88"/>
      <c r="T57" s="88"/>
      <c r="U57" s="88"/>
      <c r="V57" s="88"/>
      <c r="W57" s="88"/>
    </row>
    <row r="58" spans="1:23">
      <c r="A58" s="80" t="s">
        <v>476</v>
      </c>
      <c r="B58" s="80"/>
      <c r="C58" s="64" t="s">
        <v>477</v>
      </c>
      <c r="D58" s="64"/>
      <c r="E58" s="64"/>
      <c r="F58" s="64"/>
      <c r="G58" s="64"/>
      <c r="H58" s="64"/>
      <c r="I58" s="65"/>
      <c r="J58" s="37" t="b">
        <v>1</v>
      </c>
      <c r="K58" s="13" t="str">
        <f>IF(ISBLANK(J57),IncompleteText, IF(J57, OKText, ErrorText))</f>
        <v>OK</v>
      </c>
      <c r="M58" s="88"/>
      <c r="N58" s="88"/>
      <c r="O58" s="88"/>
      <c r="P58" s="88"/>
      <c r="Q58" s="88"/>
      <c r="R58" s="88"/>
      <c r="S58" s="88"/>
      <c r="T58" s="88"/>
      <c r="U58" s="88"/>
      <c r="V58" s="88"/>
      <c r="W58" s="88"/>
    </row>
    <row r="59" spans="1:23">
      <c r="A59" s="80"/>
      <c r="B59" s="80"/>
      <c r="C59" s="64" t="s">
        <v>478</v>
      </c>
      <c r="D59" s="64"/>
      <c r="E59" s="64"/>
      <c r="F59" s="64"/>
      <c r="G59" s="64"/>
      <c r="H59" s="64"/>
      <c r="I59" s="65"/>
      <c r="J59" s="3" t="b">
        <v>1</v>
      </c>
      <c r="K59" s="13" t="str">
        <f t="shared" si="0"/>
        <v>OK</v>
      </c>
      <c r="M59" s="88"/>
      <c r="N59" s="88"/>
      <c r="O59" s="88"/>
      <c r="P59" s="88"/>
      <c r="Q59" s="88"/>
      <c r="R59" s="88"/>
      <c r="S59" s="88"/>
      <c r="T59" s="88"/>
      <c r="U59" s="88"/>
      <c r="V59" s="88"/>
      <c r="W59" s="88"/>
    </row>
    <row r="60" spans="1:23">
      <c r="A60" s="80"/>
      <c r="B60" s="80"/>
      <c r="C60" s="64" t="s">
        <v>479</v>
      </c>
      <c r="D60" s="64"/>
      <c r="E60" s="64"/>
      <c r="F60" s="64"/>
      <c r="G60" s="64"/>
      <c r="H60" s="64"/>
      <c r="I60" s="65"/>
      <c r="J60" s="3" t="b">
        <v>1</v>
      </c>
      <c r="K60" s="13" t="str">
        <f t="shared" si="0"/>
        <v>OK</v>
      </c>
      <c r="M60" s="88"/>
      <c r="N60" s="88"/>
      <c r="O60" s="88"/>
      <c r="P60" s="88"/>
      <c r="Q60" s="88"/>
      <c r="R60" s="88"/>
      <c r="S60" s="88"/>
      <c r="T60" s="88"/>
      <c r="U60" s="88"/>
      <c r="V60" s="88"/>
      <c r="W60" s="88"/>
    </row>
    <row r="61" spans="1:23">
      <c r="A61" s="80" t="s">
        <v>480</v>
      </c>
      <c r="B61" s="80"/>
      <c r="C61" s="64" t="s">
        <v>481</v>
      </c>
      <c r="D61" s="64"/>
      <c r="E61" s="64"/>
      <c r="F61" s="64"/>
      <c r="G61" s="64"/>
      <c r="H61" s="64"/>
      <c r="I61" s="65"/>
      <c r="J61" s="3" t="b">
        <v>1</v>
      </c>
      <c r="K61" s="13" t="str">
        <f t="shared" si="0"/>
        <v>OK</v>
      </c>
      <c r="M61" s="88"/>
      <c r="N61" s="88"/>
      <c r="O61" s="88"/>
      <c r="P61" s="88"/>
      <c r="Q61" s="88"/>
      <c r="R61" s="88"/>
      <c r="S61" s="88"/>
      <c r="T61" s="88"/>
      <c r="U61" s="88"/>
      <c r="V61" s="88"/>
      <c r="W61" s="88"/>
    </row>
    <row r="62" spans="1:23">
      <c r="A62" s="42" t="s">
        <v>20</v>
      </c>
      <c r="B62" s="42"/>
      <c r="C62" s="42"/>
      <c r="D62" s="42"/>
      <c r="E62" s="42"/>
      <c r="F62" s="42"/>
      <c r="G62" s="42"/>
      <c r="H62" s="42"/>
      <c r="I62" s="42"/>
      <c r="J62" s="92" t="s">
        <v>58</v>
      </c>
      <c r="K62" s="93"/>
      <c r="M62" s="88"/>
      <c r="N62" s="88"/>
      <c r="O62" s="88"/>
      <c r="P62" s="88"/>
      <c r="Q62" s="88"/>
      <c r="R62" s="88"/>
      <c r="S62" s="88"/>
      <c r="T62" s="88"/>
      <c r="U62" s="88"/>
      <c r="V62" s="88"/>
      <c r="W62" s="88"/>
    </row>
    <row r="63" spans="1:23">
      <c r="A63" s="51" t="s">
        <v>482</v>
      </c>
      <c r="B63" s="52"/>
      <c r="C63" s="52"/>
      <c r="D63" s="52"/>
      <c r="E63" s="52"/>
      <c r="F63" s="52"/>
      <c r="G63" s="52"/>
      <c r="H63" s="52"/>
      <c r="I63" s="52"/>
      <c r="J63" s="72" t="s">
        <v>483</v>
      </c>
      <c r="K63" s="94"/>
      <c r="M63" s="88"/>
      <c r="N63" s="88"/>
      <c r="O63" s="88"/>
      <c r="P63" s="88"/>
      <c r="Q63" s="88"/>
      <c r="R63" s="88"/>
      <c r="S63" s="88"/>
      <c r="T63" s="88"/>
      <c r="U63" s="88"/>
      <c r="V63" s="88"/>
      <c r="W63" s="88"/>
    </row>
    <row r="64" spans="1:23">
      <c r="A64" s="51"/>
      <c r="B64" s="52"/>
      <c r="C64" s="52"/>
      <c r="D64" s="52"/>
      <c r="E64" s="52"/>
      <c r="F64" s="52"/>
      <c r="G64" s="52"/>
      <c r="H64" s="52"/>
      <c r="I64" s="52"/>
      <c r="J64" s="95"/>
      <c r="K64" s="96"/>
      <c r="M64" s="88"/>
      <c r="N64" s="88"/>
      <c r="O64" s="88"/>
      <c r="P64" s="88"/>
      <c r="Q64" s="88"/>
      <c r="R64" s="88"/>
      <c r="S64" s="88"/>
      <c r="T64" s="88"/>
      <c r="U64" s="88"/>
      <c r="V64" s="88"/>
      <c r="W64" s="88"/>
    </row>
    <row r="65" spans="1:23">
      <c r="A65" s="51"/>
      <c r="B65" s="52"/>
      <c r="C65" s="52"/>
      <c r="D65" s="52"/>
      <c r="E65" s="52"/>
      <c r="F65" s="52"/>
      <c r="G65" s="52"/>
      <c r="H65" s="52"/>
      <c r="I65" s="52"/>
      <c r="J65" s="95"/>
      <c r="K65" s="96"/>
      <c r="M65" s="88"/>
      <c r="N65" s="88"/>
      <c r="O65" s="88"/>
      <c r="P65" s="88"/>
      <c r="Q65" s="88"/>
      <c r="R65" s="88"/>
      <c r="S65" s="88"/>
      <c r="T65" s="88"/>
      <c r="U65" s="88"/>
      <c r="V65" s="88"/>
      <c r="W65" s="88"/>
    </row>
    <row r="66" spans="1:23">
      <c r="A66" s="51"/>
      <c r="B66" s="52"/>
      <c r="C66" s="52"/>
      <c r="D66" s="52"/>
      <c r="E66" s="52"/>
      <c r="F66" s="52"/>
      <c r="G66" s="52"/>
      <c r="H66" s="52"/>
      <c r="I66" s="52"/>
      <c r="J66" s="97"/>
      <c r="K66" s="98"/>
      <c r="M66" s="88"/>
      <c r="N66" s="88"/>
      <c r="O66" s="88"/>
      <c r="P66" s="88"/>
      <c r="Q66" s="88"/>
      <c r="R66" s="88"/>
      <c r="S66" s="88"/>
      <c r="T66" s="88"/>
      <c r="U66" s="88"/>
      <c r="V66" s="88"/>
      <c r="W66" s="88"/>
    </row>
    <row r="67" spans="1:23">
      <c r="M67" s="88"/>
      <c r="N67" s="88"/>
      <c r="O67" s="88"/>
      <c r="P67" s="88"/>
      <c r="Q67" s="88"/>
      <c r="R67" s="88"/>
      <c r="S67" s="88"/>
      <c r="T67" s="88"/>
      <c r="U67" s="88"/>
      <c r="V67" s="88"/>
      <c r="W67" s="88"/>
    </row>
    <row r="68" spans="1:23">
      <c r="M68" s="88"/>
      <c r="N68" s="88"/>
      <c r="O68" s="88"/>
      <c r="P68" s="88"/>
      <c r="Q68" s="88"/>
      <c r="R68" s="88"/>
      <c r="S68" s="88"/>
      <c r="T68" s="88"/>
      <c r="U68" s="88"/>
      <c r="V68" s="88"/>
      <c r="W68" s="88"/>
    </row>
    <row r="69" spans="1:23">
      <c r="M69" s="88"/>
      <c r="N69" s="88"/>
      <c r="O69" s="88"/>
      <c r="P69" s="88"/>
      <c r="Q69" s="88"/>
      <c r="R69" s="88"/>
      <c r="S69" s="88"/>
      <c r="T69" s="88"/>
      <c r="U69" s="88"/>
      <c r="V69" s="88"/>
      <c r="W69" s="88"/>
    </row>
    <row r="70" spans="1:23">
      <c r="M70" s="88"/>
      <c r="N70" s="88"/>
      <c r="O70" s="88"/>
      <c r="P70" s="88"/>
      <c r="Q70" s="88"/>
      <c r="R70" s="88"/>
      <c r="S70" s="88"/>
      <c r="T70" s="88"/>
      <c r="U70" s="88"/>
      <c r="V70" s="88"/>
      <c r="W70" s="88"/>
    </row>
    <row r="71" spans="1:23">
      <c r="M71" s="88"/>
      <c r="N71" s="88"/>
      <c r="O71" s="88"/>
      <c r="P71" s="88"/>
      <c r="Q71" s="88"/>
      <c r="R71" s="88"/>
      <c r="S71" s="88"/>
      <c r="T71" s="88"/>
      <c r="U71" s="88"/>
      <c r="V71" s="88"/>
      <c r="W71" s="88"/>
    </row>
    <row r="72" spans="1:23">
      <c r="M72" s="88"/>
      <c r="N72" s="88"/>
      <c r="O72" s="88"/>
      <c r="P72" s="88"/>
      <c r="Q72" s="88"/>
      <c r="R72" s="88"/>
      <c r="S72" s="88"/>
      <c r="T72" s="88"/>
      <c r="U72" s="88"/>
      <c r="V72" s="88"/>
      <c r="W72" s="88"/>
    </row>
    <row r="73" spans="1:23">
      <c r="M73" s="88"/>
      <c r="N73" s="88"/>
      <c r="O73" s="88"/>
      <c r="P73" s="88"/>
      <c r="Q73" s="88"/>
      <c r="R73" s="88"/>
      <c r="S73" s="88"/>
      <c r="T73" s="88"/>
      <c r="U73" s="88"/>
      <c r="V73" s="88"/>
      <c r="W73" s="88"/>
    </row>
    <row r="74" spans="1:23">
      <c r="M74" s="42" t="s">
        <v>484</v>
      </c>
      <c r="N74" s="42"/>
      <c r="O74" s="42"/>
      <c r="P74" s="42"/>
      <c r="Q74" s="42"/>
      <c r="R74" s="42"/>
      <c r="S74" s="42"/>
      <c r="T74" s="42"/>
      <c r="U74" s="42"/>
      <c r="V74" s="42"/>
      <c r="W74" s="30" t="str">
        <f>IF(COUNTIF(W75:W77, "="&amp;IncompleteText), IncompleteText, IF(COUNTIF(W75:W77, "="&amp;ErrorText), ErrorText, OKText))</f>
        <v>OK</v>
      </c>
    </row>
    <row r="75" spans="1:23">
      <c r="M75" s="64" t="s">
        <v>485</v>
      </c>
      <c r="N75" s="64"/>
      <c r="O75" s="64"/>
      <c r="P75" s="64"/>
      <c r="Q75" s="64"/>
      <c r="R75" s="64"/>
      <c r="S75" s="64"/>
      <c r="T75" s="64"/>
      <c r="U75" s="65"/>
      <c r="V75" s="3" t="b">
        <v>1</v>
      </c>
      <c r="W75" s="13" t="str">
        <f>IF(ISBLANK(V75),IncompleteText, IF(V75, OKText, ErrorText))</f>
        <v>OK</v>
      </c>
    </row>
    <row r="76" spans="1:23">
      <c r="M76" s="64" t="s">
        <v>486</v>
      </c>
      <c r="N76" s="64"/>
      <c r="O76" s="64"/>
      <c r="P76" s="64"/>
      <c r="Q76" s="64"/>
      <c r="R76" s="64"/>
      <c r="S76" s="64"/>
      <c r="T76" s="64"/>
      <c r="U76" s="65"/>
      <c r="V76" s="3" t="b">
        <v>1</v>
      </c>
      <c r="W76" s="13" t="str">
        <f>IF(ISBLANK(V76),IncompleteText, IF(V76, OKText, ErrorText))</f>
        <v>OK</v>
      </c>
    </row>
    <row r="77" spans="1:23">
      <c r="M77" s="64" t="s">
        <v>487</v>
      </c>
      <c r="N77" s="64"/>
      <c r="O77" s="64"/>
      <c r="P77" s="64"/>
      <c r="Q77" s="64"/>
      <c r="R77" s="64"/>
      <c r="S77" s="64"/>
      <c r="T77" s="64"/>
      <c r="U77" s="65"/>
      <c r="V77" s="3" t="b">
        <v>1</v>
      </c>
      <c r="W77" s="13" t="str">
        <f>IF(ISBLANK(V77),IncompleteText, IF(V77, OKText, ErrorText))</f>
        <v>OK</v>
      </c>
    </row>
    <row r="78" spans="1:23">
      <c r="M78" s="42" t="s">
        <v>20</v>
      </c>
      <c r="N78" s="42"/>
      <c r="O78" s="42"/>
      <c r="P78" s="42"/>
      <c r="Q78" s="42"/>
      <c r="R78" s="42"/>
      <c r="S78" s="42"/>
      <c r="T78" s="42"/>
      <c r="U78" s="42"/>
      <c r="V78" s="92" t="s">
        <v>58</v>
      </c>
      <c r="W78" s="93"/>
    </row>
    <row r="79" spans="1:23">
      <c r="M79" s="51" t="s">
        <v>488</v>
      </c>
      <c r="N79" s="52"/>
      <c r="O79" s="52"/>
      <c r="P79" s="52"/>
      <c r="Q79" s="52"/>
      <c r="R79" s="52"/>
      <c r="S79" s="52"/>
      <c r="T79" s="52"/>
      <c r="U79" s="52"/>
      <c r="V79" s="72" t="s">
        <v>489</v>
      </c>
      <c r="W79" s="94"/>
    </row>
    <row r="80" spans="1:23">
      <c r="M80" s="51"/>
      <c r="N80" s="52"/>
      <c r="O80" s="52"/>
      <c r="P80" s="52"/>
      <c r="Q80" s="52"/>
      <c r="R80" s="52"/>
      <c r="S80" s="52"/>
      <c r="T80" s="52"/>
      <c r="U80" s="52"/>
      <c r="V80" s="95"/>
      <c r="W80" s="96"/>
    </row>
    <row r="81" spans="13:23">
      <c r="M81" s="51"/>
      <c r="N81" s="52"/>
      <c r="O81" s="52"/>
      <c r="P81" s="52"/>
      <c r="Q81" s="52"/>
      <c r="R81" s="52"/>
      <c r="S81" s="52"/>
      <c r="T81" s="52"/>
      <c r="U81" s="52"/>
      <c r="V81" s="95"/>
      <c r="W81" s="96"/>
    </row>
    <row r="82" spans="13:23">
      <c r="M82" s="51"/>
      <c r="N82" s="52"/>
      <c r="O82" s="52"/>
      <c r="P82" s="52"/>
      <c r="Q82" s="52"/>
      <c r="R82" s="52"/>
      <c r="S82" s="52"/>
      <c r="T82" s="52"/>
      <c r="U82" s="52"/>
      <c r="V82" s="97"/>
      <c r="W82" s="98"/>
    </row>
  </sheetData>
  <sheetProtection algorithmName="SHA-512" hashValue="uZxEkseIZLvN/jjfBo9LYLbmQEjt+RVf+OR7BSB9yn4Zkoi82i7jJJKSn6xkZFv/YsH2JZVBaO9fx0+3hNFzLg==" saltValue="c/G76iUMjFLEHM4nPLuwwQ==" spinCount="100000" sheet="1" scenarios="1" insertHyperlinks="0"/>
  <mergeCells count="93">
    <mergeCell ref="A46:B46"/>
    <mergeCell ref="A47:B47"/>
    <mergeCell ref="A48:B48"/>
    <mergeCell ref="A50:B50"/>
    <mergeCell ref="A51:B51"/>
    <mergeCell ref="A49:B49"/>
    <mergeCell ref="W36:W37"/>
    <mergeCell ref="M47:W73"/>
    <mergeCell ref="C54:I54"/>
    <mergeCell ref="C55:I55"/>
    <mergeCell ref="C56:I56"/>
    <mergeCell ref="C57:I57"/>
    <mergeCell ref="C58:I58"/>
    <mergeCell ref="C59:I59"/>
    <mergeCell ref="C60:I60"/>
    <mergeCell ref="C61:I61"/>
    <mergeCell ref="M41:U41"/>
    <mergeCell ref="M42:U45"/>
    <mergeCell ref="C41:I41"/>
    <mergeCell ref="C42:I42"/>
    <mergeCell ref="V41:W41"/>
    <mergeCell ref="V42:W45"/>
    <mergeCell ref="M36:V36"/>
    <mergeCell ref="M38:U38"/>
    <mergeCell ref="M40:U40"/>
    <mergeCell ref="M39:U39"/>
    <mergeCell ref="A37:B37"/>
    <mergeCell ref="C38:I38"/>
    <mergeCell ref="C39:I39"/>
    <mergeCell ref="C40:I40"/>
    <mergeCell ref="A38:B38"/>
    <mergeCell ref="A39:B39"/>
    <mergeCell ref="A40:B40"/>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10:K35"/>
    <mergeCell ref="C43:I43"/>
    <mergeCell ref="K4:L4"/>
    <mergeCell ref="K5:L5"/>
    <mergeCell ref="C44:I44"/>
    <mergeCell ref="C45:I45"/>
    <mergeCell ref="H7:J7"/>
    <mergeCell ref="H8:J8"/>
    <mergeCell ref="K36:K37"/>
    <mergeCell ref="A36:J36"/>
    <mergeCell ref="A41:B41"/>
    <mergeCell ref="A42:B42"/>
    <mergeCell ref="A43:B43"/>
    <mergeCell ref="A44:B44"/>
    <mergeCell ref="A45:B45"/>
    <mergeCell ref="C46:I46"/>
    <mergeCell ref="C47:I47"/>
    <mergeCell ref="C48:I48"/>
    <mergeCell ref="C50:I50"/>
    <mergeCell ref="C51:I51"/>
    <mergeCell ref="C49:I49"/>
    <mergeCell ref="M78:U78"/>
    <mergeCell ref="V78:W78"/>
    <mergeCell ref="M79:U82"/>
    <mergeCell ref="V79:W82"/>
    <mergeCell ref="M74:V74"/>
    <mergeCell ref="M75:U75"/>
    <mergeCell ref="M76:U76"/>
    <mergeCell ref="M77:U77"/>
    <mergeCell ref="C52:I52"/>
    <mergeCell ref="C53:I53"/>
    <mergeCell ref="A62:I62"/>
    <mergeCell ref="A63:I66"/>
    <mergeCell ref="J62:K62"/>
    <mergeCell ref="J63:K66"/>
    <mergeCell ref="A54:B54"/>
    <mergeCell ref="A52:B52"/>
    <mergeCell ref="A53:B53"/>
    <mergeCell ref="A60:B60"/>
    <mergeCell ref="A61:B61"/>
    <mergeCell ref="A55:B55"/>
    <mergeCell ref="A56:B56"/>
    <mergeCell ref="A57:B57"/>
    <mergeCell ref="A58:B58"/>
    <mergeCell ref="A59:B59"/>
  </mergeCells>
  <dataValidations count="2">
    <dataValidation type="list" allowBlank="1" showInputMessage="1" showErrorMessage="1" sqref="V38:V40 V42 V75:V77 J38:J57 J59:J61"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 r:id="rId1" xr:uid="{A16E7EB9-4924-463A-B996-F41397B5FC5F}"/>
  </hyperlinks>
  <pageMargins left="0.7" right="0.7" top="0.75" bottom="0.75" header="0.3" footer="0.3"/>
  <pageSetup orientation="portrait" r:id="rId2"/>
  <headerFooter>
    <oddFooter>&amp;R&amp;1#&amp;"Calibri"&amp;10&amp;KFF0000Public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8" activePane="bottomLeft" state="frozen"/>
      <selection pane="bottomLeft" activeCell="F9" sqref="F9"/>
    </sheetView>
  </sheetViews>
  <sheetFormatPr defaultColWidth="8.69921875" defaultRowHeight="14.1"/>
  <cols>
    <col min="1" max="11" width="8.69921875" style="2"/>
    <col min="12" max="12" width="12.59765625" style="2" customWidth="1"/>
    <col min="13" max="16384" width="8.69921875" style="2"/>
  </cols>
  <sheetData>
    <row r="1" spans="1:24">
      <c r="A1" s="28" t="s">
        <v>1</v>
      </c>
      <c r="B1" s="13" t="str">
        <f ca="1">IF(SUM(COUNTIF(INDIRECT({"'Torque Security'!$F$2","'Torque Security'!$S$2"}), "="&amp;IncompleteText)), IncompleteText, IF(SUM(COUNTIF(INDIRECT({"'Torque Security'!$F$2","'Torque Security'!$S$2"}), "="&amp;ErrorText)), ErrorText, OKText))</f>
        <v>OK</v>
      </c>
    </row>
    <row r="2" spans="1:24">
      <c r="A2" s="42" t="s">
        <v>490</v>
      </c>
      <c r="B2" s="42"/>
      <c r="C2" s="42"/>
      <c r="D2" s="42"/>
      <c r="E2" s="42"/>
      <c r="F2" s="82" t="str">
        <f>IF(COUNTIF(F5:F10, "="&amp;IncompleteText), IncompleteText, IF(COUNTIF(F5:F10, "="&amp;ErrorText), ErrorText, OKText))</f>
        <v>OK</v>
      </c>
      <c r="H2" s="42" t="s">
        <v>491</v>
      </c>
      <c r="I2" s="42"/>
      <c r="J2" s="42"/>
      <c r="K2" s="42"/>
      <c r="L2" s="42"/>
      <c r="M2" s="42"/>
      <c r="N2" s="42"/>
      <c r="O2" s="42"/>
      <c r="P2" s="42"/>
      <c r="Q2" s="42"/>
      <c r="R2" s="42"/>
      <c r="S2" s="82" t="str">
        <f>IF(COUNTIF(S6:S11, "="&amp;IncompleteText), IncompleteText, IF(COUNTIF(S6:S11, "="&amp;ErrorText), ErrorText, OKText))</f>
        <v>OK</v>
      </c>
    </row>
    <row r="3" spans="1:24">
      <c r="A3" s="83" t="s">
        <v>430</v>
      </c>
      <c r="B3" s="84"/>
      <c r="C3" s="128" t="s">
        <v>492</v>
      </c>
      <c r="D3" s="132"/>
      <c r="E3" s="129"/>
      <c r="F3" s="82"/>
      <c r="H3" s="24"/>
      <c r="I3" s="24"/>
      <c r="J3" s="24"/>
      <c r="K3" s="24"/>
      <c r="L3" s="24"/>
      <c r="M3" s="24"/>
      <c r="N3" s="24"/>
      <c r="O3" s="24"/>
      <c r="P3" s="24"/>
      <c r="Q3" s="24"/>
      <c r="R3" s="24"/>
      <c r="S3" s="82"/>
    </row>
    <row r="4" spans="1:24">
      <c r="A4" t="s">
        <v>493</v>
      </c>
      <c r="B4" s="67" t="s">
        <v>494</v>
      </c>
      <c r="C4" s="67"/>
      <c r="D4" s="67" t="s">
        <v>495</v>
      </c>
      <c r="E4" s="67"/>
      <c r="H4" s="71" t="s">
        <v>496</v>
      </c>
      <c r="I4" s="71"/>
      <c r="J4" s="71" t="s">
        <v>497</v>
      </c>
      <c r="K4" s="71"/>
      <c r="L4" s="71" t="s">
        <v>498</v>
      </c>
      <c r="M4" s="71" t="s">
        <v>499</v>
      </c>
      <c r="N4" s="71" t="s">
        <v>500</v>
      </c>
      <c r="O4" s="71" t="s">
        <v>501</v>
      </c>
      <c r="P4" s="71" t="s">
        <v>502</v>
      </c>
      <c r="Q4" s="71" t="s">
        <v>503</v>
      </c>
      <c r="R4" s="71" t="s">
        <v>10</v>
      </c>
      <c r="T4" s="67" t="s">
        <v>20</v>
      </c>
      <c r="U4" s="67"/>
      <c r="V4" s="67"/>
      <c r="W4" s="67"/>
      <c r="X4" s="67"/>
    </row>
    <row r="5" spans="1:24">
      <c r="A5" s="8">
        <v>0</v>
      </c>
      <c r="B5" s="66">
        <v>4.58</v>
      </c>
      <c r="C5" s="66"/>
      <c r="D5" s="66">
        <v>2.0499999999999998</v>
      </c>
      <c r="E5" s="66"/>
      <c r="F5" s="13" t="str">
        <f>IF(OR(ISBLANK(B5),ISBLANK(D5)), IncompleteText, OKText)</f>
        <v>OK</v>
      </c>
      <c r="H5" s="71"/>
      <c r="I5" s="71"/>
      <c r="J5" s="63"/>
      <c r="K5" s="63"/>
      <c r="L5" s="130"/>
      <c r="M5" s="130"/>
      <c r="N5" s="63"/>
      <c r="O5" s="63"/>
      <c r="P5" s="63"/>
      <c r="Q5" s="63"/>
      <c r="R5" s="63"/>
      <c r="T5" s="131"/>
      <c r="U5" s="131"/>
      <c r="V5" s="131"/>
      <c r="W5" s="131"/>
      <c r="X5" s="131"/>
    </row>
    <row r="6" spans="1:24">
      <c r="A6" s="8">
        <v>0.2</v>
      </c>
      <c r="B6" s="66">
        <v>3.8</v>
      </c>
      <c r="C6" s="66"/>
      <c r="D6" s="66">
        <v>1.69</v>
      </c>
      <c r="E6" s="66"/>
      <c r="F6" s="13" t="str">
        <f>IF(OR(ISBLANK(B6),ISBLANK(D6)),IncompleteText,IF(OR(AND(_xlfn.XOR(B6&lt;D6,B5&lt;D5),B5&lt;&gt;D5),B6=D6),ErrorText,OKText))</f>
        <v>OK</v>
      </c>
      <c r="H6" s="80" t="s">
        <v>504</v>
      </c>
      <c r="I6" s="80"/>
      <c r="J6" s="58" t="s">
        <v>505</v>
      </c>
      <c r="K6" s="58"/>
      <c r="L6" s="33" t="s">
        <v>506</v>
      </c>
      <c r="M6" s="33" t="s">
        <v>507</v>
      </c>
      <c r="N6" s="33" t="s">
        <v>508</v>
      </c>
      <c r="O6" s="33" t="s">
        <v>508</v>
      </c>
      <c r="P6" s="33" t="s">
        <v>508</v>
      </c>
      <c r="Q6" s="33" t="s">
        <v>508</v>
      </c>
      <c r="R6" s="27"/>
      <c r="S6" s="13" t="str">
        <f>IF(COUNTBLANK(J6:L6)&gt;1, IncompleteText, OKText)</f>
        <v>OK</v>
      </c>
      <c r="T6" s="58"/>
      <c r="U6" s="58"/>
      <c r="V6" s="58"/>
      <c r="W6" s="58"/>
      <c r="X6" s="58"/>
    </row>
    <row r="7" spans="1:24">
      <c r="A7" s="8">
        <v>0.4</v>
      </c>
      <c r="B7" s="66">
        <v>2.92</v>
      </c>
      <c r="C7" s="66"/>
      <c r="D7" s="66">
        <v>1.35</v>
      </c>
      <c r="E7" s="66"/>
      <c r="F7" s="13" t="str">
        <f>IF(OR(ISBLANK(B7),ISBLANK(D7)), IncompleteText, IF(OR(_xlfn.XOR(B7&lt;D7,B6&lt;D6),B7=D7), ErrorText, OKText))</f>
        <v>OK</v>
      </c>
      <c r="H7" s="58" t="s">
        <v>505</v>
      </c>
      <c r="I7" s="58"/>
      <c r="J7" s="58" t="s">
        <v>509</v>
      </c>
      <c r="K7" s="58"/>
      <c r="L7" s="33" t="s">
        <v>510</v>
      </c>
      <c r="M7" s="33" t="s">
        <v>507</v>
      </c>
      <c r="N7" s="33" t="s">
        <v>507</v>
      </c>
      <c r="O7" s="33" t="s">
        <v>507</v>
      </c>
      <c r="P7" s="33" t="s">
        <v>507</v>
      </c>
      <c r="Q7" s="33" t="s">
        <v>507</v>
      </c>
      <c r="R7" s="27"/>
      <c r="S7" s="13" t="str">
        <f>IF(ISBLANK(J7), "", IF(ISBLANK(L7), IncompleteText, OKText))</f>
        <v>OK</v>
      </c>
      <c r="T7" s="58"/>
      <c r="U7" s="58"/>
      <c r="V7" s="58"/>
      <c r="W7" s="58"/>
      <c r="X7" s="58"/>
    </row>
    <row r="8" spans="1:24">
      <c r="A8" s="8">
        <v>0.6</v>
      </c>
      <c r="B8" s="66">
        <v>2.27</v>
      </c>
      <c r="C8" s="66"/>
      <c r="D8" s="66">
        <v>1.03</v>
      </c>
      <c r="E8" s="66"/>
      <c r="F8" s="13" t="str">
        <f>IF(OR(ISBLANK(B8),ISBLANK(D8)), IncompleteText, IF(OR(_xlfn.XOR(B8&lt;D8,B7&lt;D7),B8=D8), ErrorText, OKText))</f>
        <v>OK</v>
      </c>
      <c r="H8" s="58" t="s">
        <v>509</v>
      </c>
      <c r="I8" s="58"/>
      <c r="J8" s="58" t="s">
        <v>229</v>
      </c>
      <c r="K8" s="58"/>
      <c r="L8" s="33" t="s">
        <v>506</v>
      </c>
      <c r="M8" s="33" t="s">
        <v>507</v>
      </c>
      <c r="N8" s="33" t="s">
        <v>508</v>
      </c>
      <c r="O8" s="33" t="s">
        <v>508</v>
      </c>
      <c r="P8" s="33" t="s">
        <v>508</v>
      </c>
      <c r="Q8" s="33" t="s">
        <v>508</v>
      </c>
      <c r="R8" s="27"/>
      <c r="S8" s="13" t="str">
        <f>IF(ISBLANK(J8), "", IF(ISBLANK(L8), IncompleteText, OKText))</f>
        <v>OK</v>
      </c>
      <c r="T8" s="58"/>
      <c r="U8" s="58"/>
      <c r="V8" s="58"/>
      <c r="W8" s="58"/>
      <c r="X8" s="58"/>
    </row>
    <row r="9" spans="1:24">
      <c r="A9" s="8">
        <v>0.8</v>
      </c>
      <c r="B9" s="66">
        <v>1.5</v>
      </c>
      <c r="C9" s="66"/>
      <c r="D9" s="66">
        <v>0.70399999999999996</v>
      </c>
      <c r="E9" s="66"/>
      <c r="F9" s="13" t="str">
        <f>IF(OR(ISBLANK(B9),ISBLANK(D9)), IncompleteText, IF(OR(_xlfn.XOR(B9&lt;D9,B8&lt;D8),B9=D9), ErrorText, OKText))</f>
        <v>OK</v>
      </c>
      <c r="H9" s="58"/>
      <c r="I9" s="58"/>
      <c r="J9" s="58"/>
      <c r="K9" s="58"/>
      <c r="L9" s="33"/>
      <c r="M9" s="33"/>
      <c r="N9" s="33"/>
      <c r="O9" s="33"/>
      <c r="P9" s="33"/>
      <c r="Q9" s="33"/>
      <c r="R9" s="27"/>
      <c r="S9" s="13" t="str">
        <f>IF(ISBLANK(J9), "", IF(ISBLANK(L9), IncompleteText, OKText))</f>
        <v/>
      </c>
      <c r="T9" s="58"/>
      <c r="U9" s="58"/>
      <c r="V9" s="58"/>
      <c r="W9" s="58"/>
      <c r="X9" s="58"/>
    </row>
    <row r="10" spans="1:24">
      <c r="A10" s="8">
        <v>1</v>
      </c>
      <c r="B10" s="66">
        <v>0.73099999999999998</v>
      </c>
      <c r="C10" s="66"/>
      <c r="D10" s="66">
        <v>0.36099999999999999</v>
      </c>
      <c r="E10" s="66"/>
      <c r="F10" s="13" t="str">
        <f>IF(OR(ISBLANK(B10),ISBLANK(D10)), IncompleteText, IF(OR(_xlfn.XOR(B10&lt;D10,B9&lt;D9),B10=D10), ErrorText, OKText))</f>
        <v>OK</v>
      </c>
      <c r="H10" s="58" t="str">
        <f>IF(ISBLANK(J9),"",J9)</f>
        <v/>
      </c>
      <c r="I10" s="58"/>
      <c r="J10" s="58"/>
      <c r="K10" s="58"/>
      <c r="L10" s="33"/>
      <c r="M10" s="33"/>
      <c r="N10" s="33"/>
      <c r="O10" s="33"/>
      <c r="P10" s="33"/>
      <c r="Q10" s="33"/>
      <c r="R10" s="27"/>
      <c r="S10" s="13" t="str">
        <f>IF(ISBLANK(J10), "", IF(ISBLANK(L10), IncompleteText, OKText))</f>
        <v/>
      </c>
      <c r="T10" s="58"/>
      <c r="U10" s="58"/>
      <c r="V10" s="58"/>
      <c r="W10" s="58"/>
      <c r="X10" s="58"/>
    </row>
    <row r="11" spans="1:24">
      <c r="H11" s="58" t="str">
        <f>IF(ISBLANK(J10),"",J10)</f>
        <v/>
      </c>
      <c r="I11" s="58"/>
      <c r="J11" s="58"/>
      <c r="K11" s="58"/>
      <c r="L11" s="33"/>
      <c r="M11" s="33"/>
      <c r="N11" s="33"/>
      <c r="O11" s="33"/>
      <c r="P11" s="33"/>
      <c r="Q11" s="33"/>
      <c r="R11" s="27"/>
      <c r="S11" s="13" t="str">
        <f>IF(ISBLANK(J11), "", IF(ISBLANK(L11), IncompleteText, OKText))</f>
        <v/>
      </c>
      <c r="T11" s="58" t="s">
        <v>511</v>
      </c>
      <c r="U11" s="58"/>
      <c r="V11" s="58"/>
      <c r="W11" s="58"/>
      <c r="X11" s="58"/>
    </row>
    <row r="26" spans="1:1" ht="15" customHeight="1"/>
    <row r="28" spans="1:1">
      <c r="A28" s="7"/>
    </row>
  </sheetData>
  <sheetProtection algorithmName="SHA-512" hashValue="SFIIq+U30TtKj2sHy/FKJjnBzCoQLzjV1mMwtMATDsej8y5ACEmaOxv4GFSmAOG6dozeC5NoalaD4ESnz0bTvg==" saltValue="ZCaZhKBTuCR0NTkj/h6/xQ==" spinCount="100000" sheet="1" scenarios="1" insertHyperlinks="0"/>
  <mergeCells count="48">
    <mergeCell ref="A3:B3"/>
    <mergeCell ref="F2:F3"/>
    <mergeCell ref="S2:S3"/>
    <mergeCell ref="C3:E3"/>
    <mergeCell ref="T9:X9"/>
    <mergeCell ref="B7:C7"/>
    <mergeCell ref="B8:C8"/>
    <mergeCell ref="B9:C9"/>
    <mergeCell ref="D6:E6"/>
    <mergeCell ref="D7:E7"/>
    <mergeCell ref="D8:E8"/>
    <mergeCell ref="D9:E9"/>
    <mergeCell ref="T10:X10"/>
    <mergeCell ref="T11:X11"/>
    <mergeCell ref="T6:X6"/>
    <mergeCell ref="T4:X5"/>
    <mergeCell ref="T7:X7"/>
    <mergeCell ref="T8:X8"/>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topLeftCell="A8" zoomScaleNormal="100" workbookViewId="0">
      <selection activeCell="A9" sqref="A9:H27"/>
    </sheetView>
  </sheetViews>
  <sheetFormatPr defaultColWidth="8.69921875" defaultRowHeight="14.1"/>
  <cols>
    <col min="1" max="16384" width="8.69921875" style="2"/>
  </cols>
  <sheetData>
    <row r="1" spans="1:12">
      <c r="A1" s="28" t="s">
        <v>1</v>
      </c>
      <c r="B1" s="13" t="str">
        <f ca="1">IF(SUM(COUNTIF(INDIRECT({"Other!$F$2","Other!$L$2","Other!$H$28"}), "="&amp;IncompleteText)), IncompleteText, IF(SUM(COUNTIF(INDIRECT({"Other!$F$2","Other!$L$2","Other!$H$28"}), "="&amp;ErrorText)), ErrorText, OKText))</f>
        <v>OK</v>
      </c>
    </row>
    <row r="2" spans="1:12">
      <c r="A2" s="42" t="s">
        <v>227</v>
      </c>
      <c r="B2" s="42"/>
      <c r="C2" s="42"/>
      <c r="D2" s="42"/>
      <c r="E2" s="42"/>
      <c r="F2" s="13" t="str">
        <f>IF(COUNTIF(F3:F7, "="&amp;IncompleteText), IncompleteText, IF(COUNTIF(F3:F7, "="&amp;ErrorText), ErrorText, OKText))</f>
        <v>OK</v>
      </c>
      <c r="G2" s="42" t="s">
        <v>229</v>
      </c>
      <c r="H2" s="42"/>
      <c r="I2" s="42"/>
      <c r="J2" s="42"/>
      <c r="K2" s="42"/>
      <c r="L2" s="13" t="str">
        <f>IF(COUNTIF(L3:L5, "="&amp;IncompleteText), IncompleteText, IF(COUNTIF(L3:L5, "="&amp;ErrorText), ErrorText, OKText))</f>
        <v>OK</v>
      </c>
    </row>
    <row r="3" spans="1:12">
      <c r="A3" s="64" t="s">
        <v>30</v>
      </c>
      <c r="B3" s="64"/>
      <c r="C3" s="65"/>
      <c r="D3" s="90" t="s">
        <v>512</v>
      </c>
      <c r="E3" s="91"/>
      <c r="F3" s="13" t="str">
        <f>IF(ISBLANK(D3), IncompleteText, OKText)</f>
        <v>OK</v>
      </c>
      <c r="G3" s="64" t="s">
        <v>30</v>
      </c>
      <c r="H3" s="64"/>
      <c r="I3" s="65"/>
      <c r="J3" s="90" t="s">
        <v>513</v>
      </c>
      <c r="K3" s="91"/>
      <c r="L3" s="13" t="str">
        <f>IF(ISBLANK(J3), IncompleteText, OKText)</f>
        <v>OK</v>
      </c>
    </row>
    <row r="4" spans="1:12">
      <c r="A4" s="64" t="s">
        <v>32</v>
      </c>
      <c r="B4" s="64"/>
      <c r="C4" s="64"/>
      <c r="D4" s="58" t="s">
        <v>514</v>
      </c>
      <c r="E4" s="58"/>
      <c r="F4" s="13" t="str">
        <f>IF(ISBLANK(D4), IncompleteText, OKText)</f>
        <v>OK</v>
      </c>
      <c r="G4" s="64" t="s">
        <v>32</v>
      </c>
      <c r="H4" s="64"/>
      <c r="I4" s="64"/>
      <c r="J4" s="58" t="s">
        <v>515</v>
      </c>
      <c r="K4" s="58"/>
      <c r="L4" s="13" t="str">
        <f>IF(ISBLANK(J4), IncompleteText, OKText)</f>
        <v>OK</v>
      </c>
    </row>
    <row r="5" spans="1:12">
      <c r="A5" s="64" t="s">
        <v>45</v>
      </c>
      <c r="B5" s="64"/>
      <c r="C5" s="65"/>
      <c r="D5" s="58" t="s">
        <v>516</v>
      </c>
      <c r="E5" s="58"/>
      <c r="F5" s="13" t="str">
        <f>IF(ISBLANK(D5), IncompleteText, OKText)</f>
        <v>OK</v>
      </c>
      <c r="G5" s="64" t="s">
        <v>45</v>
      </c>
      <c r="H5" s="64"/>
      <c r="I5" s="65"/>
      <c r="J5" s="58" t="s">
        <v>517</v>
      </c>
      <c r="K5" s="58"/>
      <c r="L5" s="13" t="str">
        <f>IF(ISBLANK(J5), IncompleteText, OKText)</f>
        <v>OK</v>
      </c>
    </row>
    <row r="6" spans="1:12">
      <c r="A6" s="142" t="s">
        <v>518</v>
      </c>
      <c r="B6" s="142"/>
      <c r="C6" s="142"/>
      <c r="D6" s="143">
        <v>10000</v>
      </c>
      <c r="E6" s="144" t="s">
        <v>17</v>
      </c>
      <c r="F6" s="145" t="str">
        <f>IF(ISBLANK(D6),IncompleteText,IF(D6&lt;MaxTSVoltage,ErrorText,OKText))</f>
        <v>OK</v>
      </c>
    </row>
    <row r="7" spans="1:12">
      <c r="A7" s="142"/>
      <c r="B7" s="142"/>
      <c r="C7" s="142"/>
      <c r="D7" s="124"/>
      <c r="E7" s="80"/>
      <c r="F7" s="145"/>
    </row>
    <row r="9" spans="1:12">
      <c r="A9" s="133" t="s">
        <v>519</v>
      </c>
      <c r="B9" s="134"/>
      <c r="C9" s="134"/>
      <c r="D9" s="134"/>
      <c r="E9" s="134"/>
      <c r="F9" s="134"/>
      <c r="G9" s="134"/>
      <c r="H9" s="135"/>
    </row>
    <row r="10" spans="1:12">
      <c r="A10" s="136"/>
      <c r="B10" s="137"/>
      <c r="C10" s="137"/>
      <c r="D10" s="137"/>
      <c r="E10" s="137"/>
      <c r="F10" s="137"/>
      <c r="G10" s="137"/>
      <c r="H10" s="138"/>
    </row>
    <row r="11" spans="1:12">
      <c r="A11" s="136"/>
      <c r="B11" s="137"/>
      <c r="C11" s="137"/>
      <c r="D11" s="137"/>
      <c r="E11" s="137"/>
      <c r="F11" s="137"/>
      <c r="G11" s="137"/>
      <c r="H11" s="138"/>
    </row>
    <row r="12" spans="1:12">
      <c r="A12" s="136"/>
      <c r="B12" s="137"/>
      <c r="C12" s="137"/>
      <c r="D12" s="137"/>
      <c r="E12" s="137"/>
      <c r="F12" s="137"/>
      <c r="G12" s="137"/>
      <c r="H12" s="138"/>
    </row>
    <row r="13" spans="1:12">
      <c r="A13" s="136"/>
      <c r="B13" s="137"/>
      <c r="C13" s="137"/>
      <c r="D13" s="137"/>
      <c r="E13" s="137"/>
      <c r="F13" s="137"/>
      <c r="G13" s="137"/>
      <c r="H13" s="138"/>
    </row>
    <row r="14" spans="1:12">
      <c r="A14" s="136"/>
      <c r="B14" s="137"/>
      <c r="C14" s="137"/>
      <c r="D14" s="137"/>
      <c r="E14" s="137"/>
      <c r="F14" s="137"/>
      <c r="G14" s="137"/>
      <c r="H14" s="138"/>
    </row>
    <row r="15" spans="1:12">
      <c r="A15" s="136"/>
      <c r="B15" s="137"/>
      <c r="C15" s="137"/>
      <c r="D15" s="137"/>
      <c r="E15" s="137"/>
      <c r="F15" s="137"/>
      <c r="G15" s="137"/>
      <c r="H15" s="138"/>
    </row>
    <row r="16" spans="1:12">
      <c r="A16" s="136"/>
      <c r="B16" s="137"/>
      <c r="C16" s="137"/>
      <c r="D16" s="137"/>
      <c r="E16" s="137"/>
      <c r="F16" s="137"/>
      <c r="G16" s="137"/>
      <c r="H16" s="138"/>
    </row>
    <row r="17" spans="1:8">
      <c r="A17" s="136"/>
      <c r="B17" s="137"/>
      <c r="C17" s="137"/>
      <c r="D17" s="137"/>
      <c r="E17" s="137"/>
      <c r="F17" s="137"/>
      <c r="G17" s="137"/>
      <c r="H17" s="138"/>
    </row>
    <row r="18" spans="1:8">
      <c r="A18" s="136"/>
      <c r="B18" s="137"/>
      <c r="C18" s="137"/>
      <c r="D18" s="137"/>
      <c r="E18" s="137"/>
      <c r="F18" s="137"/>
      <c r="G18" s="137"/>
      <c r="H18" s="138"/>
    </row>
    <row r="19" spans="1:8">
      <c r="A19" s="136"/>
      <c r="B19" s="137"/>
      <c r="C19" s="137"/>
      <c r="D19" s="137"/>
      <c r="E19" s="137"/>
      <c r="F19" s="137"/>
      <c r="G19" s="137"/>
      <c r="H19" s="138"/>
    </row>
    <row r="20" spans="1:8">
      <c r="A20" s="136"/>
      <c r="B20" s="137"/>
      <c r="C20" s="137"/>
      <c r="D20" s="137"/>
      <c r="E20" s="137"/>
      <c r="F20" s="137"/>
      <c r="G20" s="137"/>
      <c r="H20" s="138"/>
    </row>
    <row r="21" spans="1:8">
      <c r="A21" s="136"/>
      <c r="B21" s="137"/>
      <c r="C21" s="137"/>
      <c r="D21" s="137"/>
      <c r="E21" s="137"/>
      <c r="F21" s="137"/>
      <c r="G21" s="137"/>
      <c r="H21" s="138"/>
    </row>
    <row r="22" spans="1:8">
      <c r="A22" s="136"/>
      <c r="B22" s="137"/>
      <c r="C22" s="137"/>
      <c r="D22" s="137"/>
      <c r="E22" s="137"/>
      <c r="F22" s="137"/>
      <c r="G22" s="137"/>
      <c r="H22" s="138"/>
    </row>
    <row r="23" spans="1:8">
      <c r="A23" s="136"/>
      <c r="B23" s="137"/>
      <c r="C23" s="137"/>
      <c r="D23" s="137"/>
      <c r="E23" s="137"/>
      <c r="F23" s="137"/>
      <c r="G23" s="137"/>
      <c r="H23" s="138"/>
    </row>
    <row r="24" spans="1:8">
      <c r="A24" s="136"/>
      <c r="B24" s="137"/>
      <c r="C24" s="137"/>
      <c r="D24" s="137"/>
      <c r="E24" s="137"/>
      <c r="F24" s="137"/>
      <c r="G24" s="137"/>
      <c r="H24" s="138"/>
    </row>
    <row r="25" spans="1:8">
      <c r="A25" s="136"/>
      <c r="B25" s="137"/>
      <c r="C25" s="137"/>
      <c r="D25" s="137"/>
      <c r="E25" s="137"/>
      <c r="F25" s="137"/>
      <c r="G25" s="137"/>
      <c r="H25" s="138"/>
    </row>
    <row r="26" spans="1:8">
      <c r="A26" s="136"/>
      <c r="B26" s="137"/>
      <c r="C26" s="137"/>
      <c r="D26" s="137"/>
      <c r="E26" s="137"/>
      <c r="F26" s="137"/>
      <c r="G26" s="137"/>
      <c r="H26" s="138"/>
    </row>
    <row r="27" spans="1:8">
      <c r="A27" s="139"/>
      <c r="B27" s="140"/>
      <c r="C27" s="140"/>
      <c r="D27" s="140"/>
      <c r="E27" s="140"/>
      <c r="F27" s="140"/>
      <c r="G27" s="140"/>
      <c r="H27" s="141"/>
    </row>
    <row r="28" spans="1:8">
      <c r="A28" s="42" t="s">
        <v>520</v>
      </c>
      <c r="B28" s="42"/>
      <c r="C28" s="42"/>
      <c r="D28" s="42"/>
      <c r="E28" s="42"/>
      <c r="F28" s="42"/>
      <c r="G28" s="42"/>
      <c r="H28" s="13" t="str">
        <f>IF(COUNTIF(H29, "="&amp;IncompleteText), IncompleteText, IF(COUNTIF(H29, "="&amp;ErrorText), ErrorText, OKText))</f>
        <v>OK</v>
      </c>
    </row>
    <row r="29" spans="1:8">
      <c r="A29" s="64" t="s">
        <v>521</v>
      </c>
      <c r="B29" s="64"/>
      <c r="C29" s="64"/>
      <c r="D29" s="64"/>
      <c r="E29" s="64"/>
      <c r="F29" s="65"/>
      <c r="G29" s="3" t="b">
        <v>1</v>
      </c>
      <c r="H29" s="13" t="str">
        <f>IF(ISBLANK(G29),IncompleteText, IF(G29, OKText, ErrorText))</f>
        <v>OK</v>
      </c>
    </row>
    <row r="30" spans="1:8">
      <c r="A30" s="42" t="s">
        <v>20</v>
      </c>
      <c r="B30" s="42"/>
      <c r="C30" s="42"/>
      <c r="D30" s="42"/>
      <c r="E30" s="42"/>
      <c r="F30" s="42"/>
      <c r="G30" s="42"/>
    </row>
    <row r="31" spans="1:8">
      <c r="A31" s="51"/>
      <c r="B31" s="52"/>
      <c r="C31" s="52"/>
      <c r="D31" s="52"/>
      <c r="E31" s="52"/>
      <c r="F31" s="52"/>
      <c r="G31" s="52"/>
    </row>
    <row r="32" spans="1:8">
      <c r="A32" s="51"/>
      <c r="B32" s="52"/>
      <c r="C32" s="52"/>
      <c r="D32" s="52"/>
      <c r="E32" s="52"/>
      <c r="F32" s="52"/>
      <c r="G32" s="52"/>
    </row>
    <row r="33" spans="1:7">
      <c r="A33" s="51"/>
      <c r="B33" s="52"/>
      <c r="C33" s="52"/>
      <c r="D33" s="52"/>
      <c r="E33" s="52"/>
      <c r="F33" s="52"/>
      <c r="G33" s="52"/>
    </row>
    <row r="34" spans="1:7">
      <c r="A34" s="51"/>
      <c r="B34" s="52"/>
      <c r="C34" s="52"/>
      <c r="D34" s="52"/>
      <c r="E34" s="52"/>
      <c r="F34" s="52"/>
      <c r="G34" s="52"/>
    </row>
  </sheetData>
  <sheetProtection algorithmName="SHA-512" hashValue="EFUYjzGyJAN41JDq0Vx4FhQgnnpCR/UREV+o2MTohhkIa9XZbW1nOBqgLqW/i0bVb2JPNzBSWas6c1lQJaYmAw==" saltValue="Wj3kCR1k+cUSscRm0QRxNA==" spinCount="100000" sheet="1" scenarios="1" insertHyperlinks="0"/>
  <mergeCells count="23">
    <mergeCell ref="A30:G30"/>
    <mergeCell ref="A31:G34"/>
    <mergeCell ref="J5:K5"/>
    <mergeCell ref="A6:C7"/>
    <mergeCell ref="D6:D7"/>
    <mergeCell ref="E6:E7"/>
    <mergeCell ref="F6:F7"/>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D5:E5" r:id="rId1" display="https://www.unitek-industrie-elektronik.de/images/pdf/BAMOCAR%20Digital/BAMOCAR-PG-D3-700-400_EN.pdf" xr:uid="{E3DD0452-0A07-4A4B-807C-AD62B2A00398}"/>
    <hyperlink ref="J5" r:id="rId2" xr:uid="{B6719B4D-3325-469E-B9AD-36D83A2CED38}"/>
  </hyperlinks>
  <pageMargins left="0.7" right="0.7" top="0.75" bottom="0.75" header="0.3" footer="0.3"/>
  <pageSetup orientation="portrait" r:id="rId3"/>
  <headerFooter>
    <oddFooter>&amp;R&amp;1#&amp;"Calibri"&amp;10&amp;KFF0000Public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Application>Microsoft Excel Online</Application>
  <Manager/>
  <Company>Deere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
  <cp:revision/>
  <dcterms:created xsi:type="dcterms:W3CDTF">2016-02-19T16:36:42Z</dcterms:created>
  <dcterms:modified xsi:type="dcterms:W3CDTF">2024-03-14T22:14:11Z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2022-11-03T22:16:13Z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58f819c0-1a84-4ef4-8e64-5921e5ae5e60</vt:lpwstr>
  </property>
  <property fmtid="{D5CDD505-2E9C-101B-9397-08002B2CF9AE}" pid="8" name="MSIP_Label_029374dd-2437-4816-8d63-bf9cc1b578e5_ContentBits">
    <vt:lpwstr>2</vt:lpwstr>
  </property>
</Properties>
</file>