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/"/>
    </mc:Choice>
  </mc:AlternateContent>
  <xr:revisionPtr revIDLastSave="1892" documentId="8_{4A8956F7-AE9E-41BA-8BCF-633FCE395061}" xr6:coauthVersionLast="45" xr6:coauthVersionMax="45" xr10:uidLastSave="{0070CC72-4478-4C39-B7FF-3E62AED36C5F}"/>
  <bookViews>
    <workbookView xWindow="-120" yWindow="-120" windowWidth="20730" windowHeight="11160" firstSheet="3" activeTab="1" xr2:uid="{6FA47084-B62D-49AA-B934-3DD5F9B9CC29}"/>
  </bookViews>
  <sheets>
    <sheet name="U" sheetId="1" r:id="rId1"/>
    <sheet name="F 5(實驗)" sheetId="5" r:id="rId2"/>
    <sheet name="F 電腦數據推算" sheetId="7" r:id="rId3"/>
    <sheet name="F 5(實驗) (2)" sheetId="10" r:id="rId4"/>
    <sheet name="F電腦數據推算2" sheetId="8" r:id="rId5"/>
    <sheet name="F (4)" sheetId="9" r:id="rId6"/>
    <sheet name="F (3)" sheetId="6" r:id="rId7"/>
    <sheet name="F" sheetId="3" r:id="rId8"/>
    <sheet name="F (2)" sheetId="4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5" l="1"/>
  <c r="B21" i="5"/>
  <c r="A22" i="5"/>
  <c r="B22" i="5"/>
  <c r="A23" i="5"/>
  <c r="B23" i="5"/>
  <c r="A24" i="5"/>
  <c r="B24" i="5"/>
  <c r="A25" i="5"/>
  <c r="B25" i="5"/>
  <c r="E21" i="5"/>
  <c r="A17" i="10"/>
  <c r="A18" i="10"/>
  <c r="A19" i="10"/>
  <c r="B17" i="10"/>
  <c r="B18" i="10"/>
  <c r="B19" i="10"/>
  <c r="A20" i="10"/>
  <c r="B20" i="10"/>
  <c r="A21" i="10"/>
  <c r="B21" i="10"/>
  <c r="B20" i="8" l="1"/>
  <c r="B18" i="8"/>
  <c r="B21" i="8"/>
  <c r="B19" i="8"/>
  <c r="D19" i="10"/>
  <c r="E14" i="10"/>
  <c r="G13" i="10"/>
  <c r="E13" i="10"/>
  <c r="E12" i="10"/>
  <c r="G11" i="10"/>
  <c r="E11" i="10"/>
  <c r="E10" i="10"/>
  <c r="G9" i="10"/>
  <c r="E9" i="10"/>
  <c r="E8" i="10"/>
  <c r="G7" i="10"/>
  <c r="E7" i="10"/>
  <c r="E6" i="10"/>
  <c r="G5" i="10"/>
  <c r="E5" i="10"/>
  <c r="D15" i="9"/>
  <c r="D13" i="9"/>
  <c r="D11" i="9"/>
  <c r="D9" i="9"/>
  <c r="D7" i="9"/>
  <c r="B24" i="9"/>
  <c r="A24" i="9"/>
  <c r="E23" i="9"/>
  <c r="B23" i="9"/>
  <c r="A23" i="9"/>
  <c r="B22" i="9"/>
  <c r="A22" i="9"/>
  <c r="B21" i="9"/>
  <c r="A21" i="9"/>
  <c r="F17" i="9"/>
  <c r="G17" i="9" s="1"/>
  <c r="F16" i="9"/>
  <c r="G16" i="9" s="1"/>
  <c r="H16" i="9" s="1"/>
  <c r="F15" i="9"/>
  <c r="G15" i="9" s="1"/>
  <c r="G14" i="9"/>
  <c r="H14" i="9" s="1"/>
  <c r="F13" i="9"/>
  <c r="G13" i="9" s="1"/>
  <c r="F12" i="9"/>
  <c r="G12" i="9" s="1"/>
  <c r="H12" i="9" s="1"/>
  <c r="F11" i="9"/>
  <c r="G11" i="9" s="1"/>
  <c r="F10" i="9"/>
  <c r="G10" i="9" s="1"/>
  <c r="F9" i="9"/>
  <c r="G8" i="9"/>
  <c r="F7" i="9"/>
  <c r="G7" i="9" s="1"/>
  <c r="G6" i="9"/>
  <c r="B2" i="9"/>
  <c r="I12" i="9" s="1"/>
  <c r="D15" i="4"/>
  <c r="D13" i="4"/>
  <c r="D11" i="4"/>
  <c r="D9" i="4"/>
  <c r="D7" i="4"/>
  <c r="D19" i="8"/>
  <c r="B17" i="8"/>
  <c r="E14" i="8"/>
  <c r="G13" i="8"/>
  <c r="E13" i="8"/>
  <c r="E12" i="8"/>
  <c r="G11" i="8"/>
  <c r="E11" i="8"/>
  <c r="E10" i="8"/>
  <c r="G9" i="8"/>
  <c r="E9" i="8"/>
  <c r="E8" i="8"/>
  <c r="G7" i="8"/>
  <c r="E7" i="8"/>
  <c r="E6" i="8"/>
  <c r="G5" i="8"/>
  <c r="E5" i="8"/>
  <c r="G14" i="7"/>
  <c r="I14" i="7"/>
  <c r="I6" i="7"/>
  <c r="I12" i="7"/>
  <c r="I10" i="7"/>
  <c r="I8" i="7"/>
  <c r="B25" i="7"/>
  <c r="B24" i="7"/>
  <c r="B23" i="7"/>
  <c r="B21" i="7"/>
  <c r="B22" i="7"/>
  <c r="E15" i="7"/>
  <c r="E13" i="7"/>
  <c r="E11" i="7"/>
  <c r="E9" i="7"/>
  <c r="E7" i="7"/>
  <c r="G10" i="5"/>
  <c r="D23" i="7"/>
  <c r="F17" i="7"/>
  <c r="G17" i="7" s="1"/>
  <c r="I16" i="7"/>
  <c r="B26" i="7" s="1"/>
  <c r="F16" i="7"/>
  <c r="G16" i="7" s="1"/>
  <c r="G15" i="7"/>
  <c r="H14" i="7" s="1"/>
  <c r="A25" i="7" s="1"/>
  <c r="G13" i="7"/>
  <c r="G12" i="7"/>
  <c r="G11" i="7"/>
  <c r="G10" i="7"/>
  <c r="G9" i="7"/>
  <c r="G8" i="7"/>
  <c r="G7" i="7"/>
  <c r="G6" i="7"/>
  <c r="G6" i="5"/>
  <c r="D23" i="5"/>
  <c r="D23" i="4"/>
  <c r="J12" i="9" l="1"/>
  <c r="G21" i="9"/>
  <c r="E21" i="9"/>
  <c r="D21" i="9" s="1"/>
  <c r="F11" i="10"/>
  <c r="F9" i="10"/>
  <c r="F5" i="10"/>
  <c r="F13" i="10"/>
  <c r="F7" i="10"/>
  <c r="H9" i="10"/>
  <c r="G9" i="9"/>
  <c r="H8" i="9" s="1"/>
  <c r="H6" i="9"/>
  <c r="A26" i="9"/>
  <c r="D23" i="9"/>
  <c r="D25" i="9"/>
  <c r="H10" i="9"/>
  <c r="I6" i="9"/>
  <c r="C27" i="9" s="1"/>
  <c r="I16" i="9"/>
  <c r="B26" i="9" s="1"/>
  <c r="I14" i="9"/>
  <c r="J14" i="9" s="1"/>
  <c r="I8" i="9"/>
  <c r="I10" i="9"/>
  <c r="F5" i="8"/>
  <c r="A17" i="8" s="1"/>
  <c r="F7" i="8"/>
  <c r="A18" i="8" s="1"/>
  <c r="F11" i="8"/>
  <c r="F9" i="8"/>
  <c r="A19" i="8" s="1"/>
  <c r="F13" i="8"/>
  <c r="H12" i="7"/>
  <c r="H10" i="7"/>
  <c r="A23" i="7" s="1"/>
  <c r="H8" i="7"/>
  <c r="A22" i="7" s="1"/>
  <c r="H6" i="7"/>
  <c r="A21" i="7" s="1"/>
  <c r="J14" i="7"/>
  <c r="J10" i="7"/>
  <c r="J8" i="7"/>
  <c r="H16" i="7"/>
  <c r="B24" i="6"/>
  <c r="A24" i="6"/>
  <c r="E23" i="6"/>
  <c r="B23" i="6"/>
  <c r="A23" i="6"/>
  <c r="B22" i="6"/>
  <c r="A22" i="6"/>
  <c r="B21" i="6"/>
  <c r="A21" i="6"/>
  <c r="F17" i="6"/>
  <c r="G17" i="6" s="1"/>
  <c r="F16" i="6"/>
  <c r="G16" i="6" s="1"/>
  <c r="H16" i="6" s="1"/>
  <c r="F15" i="6"/>
  <c r="G15" i="6" s="1"/>
  <c r="G14" i="6"/>
  <c r="H14" i="6" s="1"/>
  <c r="F13" i="6"/>
  <c r="G13" i="6" s="1"/>
  <c r="F12" i="6"/>
  <c r="G12" i="6" s="1"/>
  <c r="H12" i="6" s="1"/>
  <c r="B12" i="6"/>
  <c r="F11" i="6"/>
  <c r="G11" i="6" s="1"/>
  <c r="F10" i="6"/>
  <c r="G10" i="6" s="1"/>
  <c r="B10" i="6"/>
  <c r="F9" i="6"/>
  <c r="G9" i="6" s="1"/>
  <c r="G8" i="6"/>
  <c r="H8" i="6" s="1"/>
  <c r="B8" i="6"/>
  <c r="F7" i="6"/>
  <c r="G7" i="6" s="1"/>
  <c r="G6" i="6"/>
  <c r="H6" i="6" s="1"/>
  <c r="B6" i="6"/>
  <c r="B2" i="6"/>
  <c r="I12" i="6" s="1"/>
  <c r="A24" i="3"/>
  <c r="A23" i="3"/>
  <c r="A21" i="3"/>
  <c r="A22" i="3"/>
  <c r="B24" i="3"/>
  <c r="B23" i="3"/>
  <c r="B22" i="3"/>
  <c r="E21" i="3" s="1"/>
  <c r="B21" i="3"/>
  <c r="G21" i="3" s="1"/>
  <c r="B2" i="3"/>
  <c r="F15" i="3"/>
  <c r="F13" i="3"/>
  <c r="F12" i="3"/>
  <c r="F11" i="3"/>
  <c r="F10" i="3"/>
  <c r="F9" i="3"/>
  <c r="F7" i="3"/>
  <c r="B10" i="3"/>
  <c r="B12" i="3"/>
  <c r="B8" i="3"/>
  <c r="B6" i="3"/>
  <c r="B12" i="1"/>
  <c r="B14" i="1" s="1"/>
  <c r="B8" i="1"/>
  <c r="F7" i="1"/>
  <c r="B6" i="1"/>
  <c r="F2" i="1"/>
  <c r="E2" i="1"/>
  <c r="B2" i="1" l="1"/>
  <c r="I8" i="3"/>
  <c r="J12" i="6"/>
  <c r="G21" i="6"/>
  <c r="E21" i="6"/>
  <c r="D21" i="6" s="1"/>
  <c r="J12" i="7"/>
  <c r="A24" i="7"/>
  <c r="H11" i="8"/>
  <c r="A20" i="8"/>
  <c r="F23" i="9"/>
  <c r="E25" i="9" s="1"/>
  <c r="J6" i="9"/>
  <c r="H13" i="8"/>
  <c r="A21" i="8"/>
  <c r="H5" i="10"/>
  <c r="H7" i="10"/>
  <c r="H11" i="10"/>
  <c r="H13" i="10"/>
  <c r="H7" i="8"/>
  <c r="H5" i="8"/>
  <c r="H9" i="8"/>
  <c r="E17" i="10"/>
  <c r="J8" i="9"/>
  <c r="B27" i="9"/>
  <c r="J10" i="9"/>
  <c r="J16" i="9"/>
  <c r="J6" i="7"/>
  <c r="E21" i="7"/>
  <c r="A26" i="7"/>
  <c r="J16" i="7"/>
  <c r="A26" i="6"/>
  <c r="B27" i="6"/>
  <c r="D25" i="6"/>
  <c r="D23" i="6"/>
  <c r="F23" i="6" s="1"/>
  <c r="E25" i="6" s="1"/>
  <c r="H10" i="6"/>
  <c r="I6" i="6"/>
  <c r="C27" i="6" s="1"/>
  <c r="I16" i="6"/>
  <c r="B26" i="6" s="1"/>
  <c r="I14" i="6"/>
  <c r="J14" i="6" s="1"/>
  <c r="I8" i="6"/>
  <c r="J8" i="6" s="1"/>
  <c r="I10" i="6"/>
  <c r="D21" i="3"/>
  <c r="C14" i="1"/>
  <c r="B25" i="1" s="1"/>
  <c r="B16" i="1"/>
  <c r="I10" i="3"/>
  <c r="I6" i="3"/>
  <c r="C27" i="3" s="1"/>
  <c r="F17" i="5"/>
  <c r="G17" i="5" s="1"/>
  <c r="I16" i="5"/>
  <c r="B26" i="5" s="1"/>
  <c r="F16" i="5"/>
  <c r="G16" i="5" s="1"/>
  <c r="G15" i="5"/>
  <c r="I14" i="5"/>
  <c r="G14" i="5"/>
  <c r="G13" i="5"/>
  <c r="I12" i="5"/>
  <c r="G12" i="5"/>
  <c r="G11" i="5"/>
  <c r="I10" i="5"/>
  <c r="H10" i="5"/>
  <c r="G9" i="5"/>
  <c r="I8" i="5"/>
  <c r="G8" i="5"/>
  <c r="G7" i="5"/>
  <c r="I6" i="5"/>
  <c r="F17" i="4"/>
  <c r="G17" i="4" s="1"/>
  <c r="I16" i="4"/>
  <c r="B26" i="4" s="1"/>
  <c r="F16" i="4"/>
  <c r="G16" i="4" s="1"/>
  <c r="F15" i="4"/>
  <c r="G15" i="4" s="1"/>
  <c r="I14" i="4"/>
  <c r="B25" i="4" s="1"/>
  <c r="F14" i="4"/>
  <c r="G14" i="4" s="1"/>
  <c r="H14" i="4" s="1"/>
  <c r="A25" i="4" s="1"/>
  <c r="F13" i="4"/>
  <c r="G13" i="4" s="1"/>
  <c r="I12" i="4"/>
  <c r="B24" i="4" s="1"/>
  <c r="F12" i="4"/>
  <c r="G12" i="4" s="1"/>
  <c r="H12" i="4" s="1"/>
  <c r="F11" i="4"/>
  <c r="G11" i="4" s="1"/>
  <c r="I10" i="4"/>
  <c r="B23" i="4" s="1"/>
  <c r="F10" i="4"/>
  <c r="G10" i="4" s="1"/>
  <c r="F9" i="4"/>
  <c r="G9" i="4" s="1"/>
  <c r="I8" i="4"/>
  <c r="B22" i="4" s="1"/>
  <c r="F8" i="4"/>
  <c r="G8" i="4" s="1"/>
  <c r="F7" i="4"/>
  <c r="G7" i="4" s="1"/>
  <c r="I6" i="4"/>
  <c r="B21" i="4" s="1"/>
  <c r="F6" i="4"/>
  <c r="G6" i="4" s="1"/>
  <c r="H6" i="4" s="1"/>
  <c r="J6" i="4" s="1"/>
  <c r="I16" i="3"/>
  <c r="B26" i="3" s="1"/>
  <c r="I14" i="3"/>
  <c r="I12" i="3"/>
  <c r="F6" i="1"/>
  <c r="E23" i="1"/>
  <c r="G17" i="10" l="1"/>
  <c r="F19" i="10" s="1"/>
  <c r="G17" i="8"/>
  <c r="E17" i="8"/>
  <c r="D17" i="10"/>
  <c r="D21" i="10" s="1"/>
  <c r="H8" i="4"/>
  <c r="H10" i="4"/>
  <c r="G21" i="7"/>
  <c r="H21" i="7" s="1"/>
  <c r="J10" i="5"/>
  <c r="H14" i="5"/>
  <c r="H12" i="5"/>
  <c r="H6" i="5"/>
  <c r="J16" i="6"/>
  <c r="J10" i="6"/>
  <c r="J6" i="6"/>
  <c r="D23" i="3"/>
  <c r="D25" i="3"/>
  <c r="H8" i="5"/>
  <c r="H16" i="5"/>
  <c r="A22" i="4"/>
  <c r="J8" i="4"/>
  <c r="A23" i="4"/>
  <c r="J10" i="4"/>
  <c r="J12" i="4"/>
  <c r="A24" i="4"/>
  <c r="H16" i="4"/>
  <c r="A21" i="4"/>
  <c r="J14" i="4"/>
  <c r="E23" i="3"/>
  <c r="F23" i="3" s="1"/>
  <c r="E25" i="3" s="1"/>
  <c r="F17" i="3"/>
  <c r="G17" i="3" s="1"/>
  <c r="F16" i="3"/>
  <c r="G16" i="3" s="1"/>
  <c r="G15" i="3"/>
  <c r="G14" i="3"/>
  <c r="G13" i="3"/>
  <c r="G12" i="3"/>
  <c r="G11" i="3"/>
  <c r="G10" i="3"/>
  <c r="H10" i="3" s="1"/>
  <c r="J10" i="3" s="1"/>
  <c r="G9" i="3"/>
  <c r="G8" i="3"/>
  <c r="G7" i="3"/>
  <c r="G6" i="3"/>
  <c r="J12" i="5" l="1"/>
  <c r="F19" i="8"/>
  <c r="E21" i="8" s="1"/>
  <c r="E19" i="10"/>
  <c r="E21" i="10" s="1"/>
  <c r="D17" i="8"/>
  <c r="D21" i="8" s="1"/>
  <c r="D21" i="7"/>
  <c r="J8" i="5"/>
  <c r="J14" i="5"/>
  <c r="J6" i="5"/>
  <c r="A26" i="5"/>
  <c r="J16" i="5"/>
  <c r="J16" i="4"/>
  <c r="A26" i="4"/>
  <c r="H6" i="3"/>
  <c r="H16" i="3"/>
  <c r="J16" i="3" s="1"/>
  <c r="H8" i="3"/>
  <c r="J8" i="3" s="1"/>
  <c r="H12" i="3"/>
  <c r="J12" i="3" s="1"/>
  <c r="H14" i="3"/>
  <c r="J14" i="3" s="1"/>
  <c r="A26" i="3"/>
  <c r="D25" i="7" l="1"/>
  <c r="F23" i="7"/>
  <c r="E19" i="8"/>
  <c r="E23" i="7"/>
  <c r="E25" i="7"/>
  <c r="G21" i="5"/>
  <c r="B27" i="3"/>
  <c r="J6" i="3"/>
  <c r="C6" i="1"/>
  <c r="D21" i="5" l="1"/>
  <c r="E23" i="5" s="1"/>
  <c r="F23" i="5" s="1"/>
  <c r="E25" i="5"/>
  <c r="I6" i="1"/>
  <c r="B21" i="1"/>
  <c r="G7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G6" i="1"/>
  <c r="C8" i="1"/>
  <c r="C10" i="1"/>
  <c r="C12" i="1"/>
  <c r="I14" i="1"/>
  <c r="C16" i="1"/>
  <c r="I16" i="1" s="1"/>
  <c r="D25" i="5" l="1"/>
  <c r="I10" i="1"/>
  <c r="B23" i="1"/>
  <c r="I8" i="1"/>
  <c r="B22" i="1"/>
  <c r="I12" i="1"/>
  <c r="B24" i="1"/>
  <c r="H8" i="1"/>
  <c r="H14" i="1"/>
  <c r="H12" i="1"/>
  <c r="H6" i="1"/>
  <c r="H16" i="1"/>
  <c r="J16" i="1" s="1"/>
  <c r="H10" i="1"/>
  <c r="J6" i="1" l="1"/>
  <c r="A21" i="1"/>
  <c r="J12" i="1"/>
  <c r="A24" i="1"/>
  <c r="J10" i="1"/>
  <c r="A23" i="1"/>
  <c r="J14" i="1"/>
  <c r="A25" i="1"/>
  <c r="J8" i="1"/>
  <c r="A22" i="1"/>
  <c r="E21" i="1" l="1"/>
  <c r="G21" i="1"/>
  <c r="D21" i="1" l="1"/>
  <c r="D25" i="1" l="1"/>
  <c r="D23" i="1"/>
  <c r="F23" i="1" l="1"/>
  <c r="E25" i="1" s="1"/>
  <c r="E21" i="4"/>
  <c r="G21" i="4"/>
  <c r="D21" i="4"/>
  <c r="E23" i="4"/>
  <c r="F23" i="4"/>
  <c r="E25" i="4"/>
  <c r="D25" i="4"/>
</calcChain>
</file>

<file path=xl/sharedStrings.xml><?xml version="1.0" encoding="utf-8"?>
<sst xmlns="http://schemas.openxmlformats.org/spreadsheetml/2006/main" count="253" uniqueCount="43">
  <si>
    <t>輸入數據</t>
    <phoneticPr fontId="1" type="noConversion"/>
  </si>
  <si>
    <r>
      <rPr>
        <b/>
        <sz val="14"/>
        <color theme="1"/>
        <rFont val="Calibri"/>
        <family val="1"/>
        <charset val="161"/>
      </rPr>
      <t>μ</t>
    </r>
    <r>
      <rPr>
        <b/>
        <sz val="14"/>
        <color theme="1"/>
        <rFont val="新細明體"/>
        <family val="2"/>
        <charset val="136"/>
        <scheme val="minor"/>
      </rPr>
      <t>(kg/m)</t>
    </r>
    <phoneticPr fontId="1" type="noConversion"/>
  </si>
  <si>
    <t>線重</t>
  </si>
  <si>
    <t>不須輸入數據</t>
    <phoneticPr fontId="1" type="noConversion"/>
  </si>
  <si>
    <t>N</t>
    <phoneticPr fontId="1" type="noConversion"/>
  </si>
  <si>
    <t>G</t>
    <phoneticPr fontId="1" type="noConversion"/>
  </si>
  <si>
    <t>F(N)</t>
    <phoneticPr fontId="1" type="noConversion"/>
  </si>
  <si>
    <r>
      <rPr>
        <b/>
        <sz val="14"/>
        <color theme="1"/>
        <rFont val="新細明體"/>
        <family val="1"/>
        <charset val="136"/>
      </rPr>
      <t>ƒ</t>
    </r>
    <r>
      <rPr>
        <b/>
        <sz val="14"/>
        <color theme="1"/>
        <rFont val="新細明體"/>
        <family val="2"/>
        <charset val="136"/>
        <scheme val="minor"/>
      </rPr>
      <t>(Hz)</t>
    </r>
    <phoneticPr fontId="1" type="noConversion"/>
  </si>
  <si>
    <r>
      <rPr>
        <b/>
        <sz val="14"/>
        <color theme="1"/>
        <rFont val="Calibri"/>
        <family val="1"/>
        <charset val="161"/>
      </rPr>
      <t>λ</t>
    </r>
    <r>
      <rPr>
        <b/>
        <sz val="14"/>
        <color theme="1"/>
        <rFont val="新細明體"/>
        <family val="1"/>
        <charset val="136"/>
      </rPr>
      <t>原始距離</t>
    </r>
    <phoneticPr fontId="1" type="noConversion"/>
  </si>
  <si>
    <r>
      <rPr>
        <b/>
        <sz val="14"/>
        <color theme="1"/>
        <rFont val="Calibri"/>
        <family val="1"/>
        <charset val="161"/>
      </rPr>
      <t>λ</t>
    </r>
    <r>
      <rPr>
        <b/>
        <sz val="14"/>
        <color theme="1"/>
        <rFont val="新細明體"/>
        <family val="2"/>
        <charset val="136"/>
        <scheme val="minor"/>
      </rPr>
      <t>(m)</t>
    </r>
    <phoneticPr fontId="1" type="noConversion"/>
  </si>
  <si>
    <t>V(M/S)</t>
    <phoneticPr fontId="1" type="noConversion"/>
  </si>
  <si>
    <t>V(avage)</t>
    <phoneticPr fontId="1" type="noConversion"/>
  </si>
  <si>
    <t>V理論</t>
    <phoneticPr fontId="1" type="noConversion"/>
  </si>
  <si>
    <t>誤差%</t>
    <phoneticPr fontId="1" type="noConversion"/>
  </si>
  <si>
    <t>不須輸入數據</t>
  </si>
  <si>
    <t>logV</t>
    <phoneticPr fontId="1" type="noConversion"/>
  </si>
  <si>
    <t>logF</t>
    <phoneticPr fontId="1" type="noConversion"/>
  </si>
  <si>
    <t>Y</t>
    <phoneticPr fontId="1" type="noConversion"/>
  </si>
  <si>
    <t>a</t>
    <phoneticPr fontId="1" type="noConversion"/>
  </si>
  <si>
    <t>X</t>
    <phoneticPr fontId="1" type="noConversion"/>
  </si>
  <si>
    <t>b</t>
    <phoneticPr fontId="1" type="noConversion"/>
  </si>
  <si>
    <t>X去log</t>
    <phoneticPr fontId="1" type="noConversion"/>
  </si>
  <si>
    <t>Y去log</t>
    <phoneticPr fontId="1" type="noConversion"/>
  </si>
  <si>
    <t>U實驗值</t>
    <phoneticPr fontId="1" type="noConversion"/>
  </si>
  <si>
    <t>斜率誤差</t>
    <phoneticPr fontId="1" type="noConversion"/>
  </si>
  <si>
    <t>u誤差</t>
    <phoneticPr fontId="1" type="noConversion"/>
  </si>
  <si>
    <r>
      <rPr>
        <b/>
        <sz val="14"/>
        <color theme="1"/>
        <rFont val="Calibri"/>
        <family val="2"/>
        <charset val="161"/>
      </rPr>
      <t>μ</t>
    </r>
    <r>
      <rPr>
        <b/>
        <sz val="14"/>
        <color theme="1"/>
        <rFont val="Calibri"/>
        <family val="2"/>
      </rPr>
      <t>(kg/m)</t>
    </r>
    <phoneticPr fontId="1" type="noConversion"/>
  </si>
  <si>
    <t>原始距離</t>
    <phoneticPr fontId="1" type="noConversion"/>
  </si>
  <si>
    <t>logu</t>
    <phoneticPr fontId="1" type="noConversion"/>
  </si>
  <si>
    <t>F實驗值</t>
    <phoneticPr fontId="1" type="noConversion"/>
  </si>
  <si>
    <t>F誤差</t>
    <phoneticPr fontId="1" type="noConversion"/>
  </si>
  <si>
    <t>原實驗數據</t>
    <phoneticPr fontId="1" type="noConversion"/>
  </si>
  <si>
    <r>
      <t>μ</t>
    </r>
    <r>
      <rPr>
        <b/>
        <sz val="18"/>
        <color theme="1"/>
        <rFont val="Calibri"/>
        <family val="2"/>
      </rPr>
      <t>(kg/m)</t>
    </r>
    <phoneticPr fontId="1" type="noConversion"/>
  </si>
  <si>
    <r>
      <rPr>
        <b/>
        <sz val="18"/>
        <color theme="1"/>
        <rFont val="新細明體"/>
        <family val="1"/>
        <charset val="136"/>
      </rPr>
      <t>ƒ</t>
    </r>
    <r>
      <rPr>
        <b/>
        <sz val="18"/>
        <color theme="1"/>
        <rFont val="新細明體"/>
        <family val="2"/>
        <charset val="136"/>
        <scheme val="minor"/>
      </rPr>
      <t>(Hz)</t>
    </r>
    <phoneticPr fontId="1" type="noConversion"/>
  </si>
  <si>
    <r>
      <rPr>
        <b/>
        <sz val="18"/>
        <color theme="1"/>
        <rFont val="Calibri"/>
        <family val="1"/>
        <charset val="161"/>
      </rPr>
      <t>λ</t>
    </r>
    <r>
      <rPr>
        <b/>
        <sz val="18"/>
        <color theme="1"/>
        <rFont val="新細明體"/>
        <family val="2"/>
        <charset val="136"/>
        <scheme val="minor"/>
      </rPr>
      <t>(m)</t>
    </r>
    <phoneticPr fontId="1" type="noConversion"/>
  </si>
  <si>
    <t>刪除後</t>
    <phoneticPr fontId="1" type="noConversion"/>
  </si>
  <si>
    <t>最小2</t>
    <phoneticPr fontId="1" type="noConversion"/>
  </si>
  <si>
    <t>更正距離及頻率後所得結果</t>
    <phoneticPr fontId="1" type="noConversion"/>
  </si>
  <si>
    <t>b</t>
  </si>
  <si>
    <t>5.05*10^3/1.278</t>
  </si>
  <si>
    <t>14.62/1.545</t>
  </si>
  <si>
    <t>15.97/1.420</t>
  </si>
  <si>
    <t>4.71/121.5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</si>
</sst>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61"/>
      <scheme val="minor"/>
    </font>
    <font>
      <b/>
      <sz val="14"/>
      <color theme="1"/>
      <name val="Calibri"/>
      <family val="1"/>
      <charset val="161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</font>
    <font>
      <b/>
      <sz val="14"/>
      <color theme="1"/>
      <name val="新細明體"/>
      <family val="1"/>
      <charset val="161"/>
    </font>
    <font>
      <b/>
      <sz val="14"/>
      <color theme="1"/>
      <name val="Calibri"/>
      <family val="2"/>
      <charset val="161"/>
    </font>
    <font>
      <b/>
      <sz val="14"/>
      <color theme="1"/>
      <name val="Calibri"/>
      <family val="2"/>
    </font>
    <font>
      <b/>
      <sz val="18"/>
      <color theme="1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</font>
    <font>
      <b/>
      <sz val="18"/>
      <color theme="1"/>
      <name val="Calibri"/>
      <family val="2"/>
      <charset val="161"/>
    </font>
    <font>
      <b/>
      <sz val="18"/>
      <color theme="1"/>
      <name val="Calibri"/>
      <family val="2"/>
    </font>
    <font>
      <b/>
      <sz val="18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61"/>
      <scheme val="minor"/>
    </font>
    <font>
      <b/>
      <sz val="18"/>
      <color theme="1"/>
      <name val="Calibri"/>
      <family val="1"/>
      <charset val="16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U!$B$20</c:f>
              <c:strCache>
                <c:ptCount val="1"/>
                <c:pt idx="0">
                  <c:v>logF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4768153980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U!$A$21:$A$26</c:f>
              <c:numCache>
                <c:formatCode>General</c:formatCode>
                <c:ptCount val="6"/>
                <c:pt idx="0">
                  <c:v>1.1292224842391263</c:v>
                </c:pt>
                <c:pt idx="1">
                  <c:v>1.2275246416648975</c:v>
                </c:pt>
                <c:pt idx="2">
                  <c:v>1.2843968913975055</c:v>
                </c:pt>
                <c:pt idx="3">
                  <c:v>1.3408009225955604</c:v>
                </c:pt>
                <c:pt idx="4">
                  <c:v>1.3976784267264908</c:v>
                </c:pt>
              </c:numCache>
            </c:numRef>
          </c:xVal>
          <c:yVal>
            <c:numRef>
              <c:f>U!$B$21:$B$26</c:f>
              <c:numCache>
                <c:formatCode>General</c:formatCode>
                <c:ptCount val="6"/>
                <c:pt idx="0">
                  <c:v>-8.1917215357812712E-2</c:v>
                </c:pt>
                <c:pt idx="1">
                  <c:v>0.11994836003092173</c:v>
                </c:pt>
                <c:pt idx="2">
                  <c:v>0.25722244618757406</c:v>
                </c:pt>
                <c:pt idx="3">
                  <c:v>0.36136892274359689</c:v>
                </c:pt>
                <c:pt idx="4">
                  <c:v>0.44530834642358486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6-495B-B66F-7F45CA50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29584"/>
        <c:axId val="772136912"/>
      </c:scatterChart>
      <c:valAx>
        <c:axId val="7791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logV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6912"/>
        <c:crosses val="autoZero"/>
        <c:crossBetween val="midCat"/>
      </c:valAx>
      <c:valAx>
        <c:axId val="7721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logF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5(實驗)'!$B$20</c:f>
              <c:strCache>
                <c:ptCount val="1"/>
                <c:pt idx="0">
                  <c:v>logu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4768153980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5(實驗)'!$A$21:$A$25</c:f>
              <c:numCache>
                <c:formatCode>General</c:formatCode>
                <c:ptCount val="5"/>
                <c:pt idx="0">
                  <c:v>1.5064854142982678</c:v>
                </c:pt>
                <c:pt idx="1">
                  <c:v>1.5812257999249781</c:v>
                </c:pt>
                <c:pt idx="2">
                  <c:v>1.4158477375681877</c:v>
                </c:pt>
                <c:pt idx="3">
                  <c:v>1.3939750964455391</c:v>
                </c:pt>
                <c:pt idx="4">
                  <c:v>1.5967345088476361</c:v>
                </c:pt>
              </c:numCache>
            </c:numRef>
          </c:xVal>
          <c:yVal>
            <c:numRef>
              <c:f>'F 5(實驗)'!$B$21:$B$25</c:f>
              <c:numCache>
                <c:formatCode>General</c:formatCode>
                <c:ptCount val="5"/>
                <c:pt idx="0">
                  <c:v>-2.2710702466562909</c:v>
                </c:pt>
                <c:pt idx="1">
                  <c:v>-2.4032380137247564</c:v>
                </c:pt>
                <c:pt idx="2">
                  <c:v>-2.0239711599088741</c:v>
                </c:pt>
                <c:pt idx="3">
                  <c:v>-1.9488474775526188</c:v>
                </c:pt>
                <c:pt idx="4">
                  <c:v>-2.5321552055451071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A-48A2-9C66-908AC9E5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29584"/>
        <c:axId val="772136912"/>
      </c:scatterChart>
      <c:valAx>
        <c:axId val="7791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6912"/>
        <c:crosses val="autoZero"/>
        <c:crossBetween val="midCat"/>
      </c:valAx>
      <c:valAx>
        <c:axId val="7721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+mn-lt"/>
                    <a:ea typeface="+mn-ea"/>
                  </a:rPr>
                  <a:t>log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電腦數據推算'!$B$20</c:f>
              <c:strCache>
                <c:ptCount val="1"/>
                <c:pt idx="0">
                  <c:v>logu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4768153980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電腦數據推算'!$A$21:$A$25</c:f>
              <c:numCache>
                <c:formatCode>General</c:formatCode>
                <c:ptCount val="5"/>
                <c:pt idx="0">
                  <c:v>1.4904311673790058</c:v>
                </c:pt>
                <c:pt idx="1">
                  <c:v>1.5663196215248114</c:v>
                </c:pt>
                <c:pt idx="2">
                  <c:v>1.373502315702992</c:v>
                </c:pt>
                <c:pt idx="3">
                  <c:v>1.3155925337915912</c:v>
                </c:pt>
                <c:pt idx="4">
                  <c:v>1.5973918415656991</c:v>
                </c:pt>
              </c:numCache>
            </c:numRef>
          </c:xVal>
          <c:yVal>
            <c:numRef>
              <c:f>'F 電腦數據推算'!$B$21:$B$25</c:f>
              <c:numCache>
                <c:formatCode>General</c:formatCode>
                <c:ptCount val="5"/>
                <c:pt idx="0">
                  <c:v>-2.2710702466562909</c:v>
                </c:pt>
                <c:pt idx="1">
                  <c:v>-2.4032380137247564</c:v>
                </c:pt>
                <c:pt idx="2">
                  <c:v>-2.0239711599088741</c:v>
                </c:pt>
                <c:pt idx="3">
                  <c:v>-1.9488474775526188</c:v>
                </c:pt>
                <c:pt idx="4">
                  <c:v>-2.5321552055451071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4-48F2-83B1-AAD0B685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29584"/>
        <c:axId val="772136912"/>
      </c:scatterChart>
      <c:valAx>
        <c:axId val="7791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6912"/>
        <c:crosses val="autoZero"/>
        <c:crossBetween val="midCat"/>
      </c:valAx>
      <c:valAx>
        <c:axId val="7721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+mn-lt"/>
                    <a:ea typeface="+mn-ea"/>
                  </a:rPr>
                  <a:t>log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(4)'!$B$20</c:f>
              <c:strCache>
                <c:ptCount val="1"/>
                <c:pt idx="0">
                  <c:v>logu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4768153980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(4)'!$A$21:$A$23</c:f>
              <c:numCache>
                <c:formatCode>General</c:formatCode>
                <c:ptCount val="3"/>
                <c:pt idx="0">
                  <c:v>1.4414708624176764</c:v>
                </c:pt>
                <c:pt idx="1">
                  <c:v>1.2700962814203305</c:v>
                </c:pt>
                <c:pt idx="2">
                  <c:v>1.2398608204111281</c:v>
                </c:pt>
              </c:numCache>
            </c:numRef>
          </c:xVal>
          <c:yVal>
            <c:numRef>
              <c:f>'F (4)'!$B$21:$B$23</c:f>
              <c:numCache>
                <c:formatCode>General</c:formatCode>
                <c:ptCount val="3"/>
                <c:pt idx="0">
                  <c:v>-2.4032380137247564</c:v>
                </c:pt>
                <c:pt idx="1">
                  <c:v>-2.0237325768964194</c:v>
                </c:pt>
                <c:pt idx="2">
                  <c:v>-1.9489826124135017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3-4032-B45D-F1AA43F6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29584"/>
        <c:axId val="772136912"/>
      </c:scatterChart>
      <c:valAx>
        <c:axId val="7791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6912"/>
        <c:crosses val="autoZero"/>
        <c:crossBetween val="midCat"/>
      </c:valAx>
      <c:valAx>
        <c:axId val="7721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+mn-lt"/>
                    <a:ea typeface="+mn-ea"/>
                  </a:rPr>
                  <a:t>log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(3)'!$B$20</c:f>
              <c:strCache>
                <c:ptCount val="1"/>
                <c:pt idx="0">
                  <c:v>logu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4768153980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(3)'!$A$21:$A$23</c:f>
              <c:numCache>
                <c:formatCode>General</c:formatCode>
                <c:ptCount val="3"/>
                <c:pt idx="0">
                  <c:v>1.4414708624176764</c:v>
                </c:pt>
                <c:pt idx="1">
                  <c:v>1.2700962814203305</c:v>
                </c:pt>
                <c:pt idx="2">
                  <c:v>1.2398608204111281</c:v>
                </c:pt>
              </c:numCache>
            </c:numRef>
          </c:xVal>
          <c:yVal>
            <c:numRef>
              <c:f>'F (3)'!$B$21:$B$23</c:f>
              <c:numCache>
                <c:formatCode>General</c:formatCode>
                <c:ptCount val="3"/>
                <c:pt idx="0">
                  <c:v>-2.4032380137247564</c:v>
                </c:pt>
                <c:pt idx="1">
                  <c:v>-2.0237325768964194</c:v>
                </c:pt>
                <c:pt idx="2">
                  <c:v>-1.9489826124135017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8-46C9-8C4F-4D9EF9D4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29584"/>
        <c:axId val="772136912"/>
      </c:scatterChart>
      <c:valAx>
        <c:axId val="7791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6912"/>
        <c:crosses val="autoZero"/>
        <c:crossBetween val="midCat"/>
      </c:valAx>
      <c:valAx>
        <c:axId val="7721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+mn-lt"/>
                    <a:ea typeface="+mn-ea"/>
                  </a:rPr>
                  <a:t>log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F!$B$20</c:f>
              <c:strCache>
                <c:ptCount val="1"/>
                <c:pt idx="0">
                  <c:v>logu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4768153980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F!$A$21:$A$23</c:f>
              <c:numCache>
                <c:formatCode>General</c:formatCode>
                <c:ptCount val="3"/>
                <c:pt idx="0">
                  <c:v>1.4414708624176764</c:v>
                </c:pt>
                <c:pt idx="1">
                  <c:v>1.2700962814203305</c:v>
                </c:pt>
                <c:pt idx="2">
                  <c:v>1.2398608204111281</c:v>
                </c:pt>
              </c:numCache>
            </c:numRef>
          </c:xVal>
          <c:yVal>
            <c:numRef>
              <c:f>F!$B$21:$B$23</c:f>
              <c:numCache>
                <c:formatCode>General</c:formatCode>
                <c:ptCount val="3"/>
                <c:pt idx="0">
                  <c:v>-2.4032380137247564</c:v>
                </c:pt>
                <c:pt idx="1">
                  <c:v>-2.0237325768964194</c:v>
                </c:pt>
                <c:pt idx="2">
                  <c:v>-1.9489826124135017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B-49A7-9A98-22DE2C78C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29584"/>
        <c:axId val="772136912"/>
      </c:scatterChart>
      <c:valAx>
        <c:axId val="7791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6912"/>
        <c:crosses val="autoZero"/>
        <c:crossBetween val="midCat"/>
      </c:valAx>
      <c:valAx>
        <c:axId val="7721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+mn-lt"/>
                    <a:ea typeface="+mn-ea"/>
                  </a:rPr>
                  <a:t>log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(2)'!$B$20</c:f>
              <c:strCache>
                <c:ptCount val="1"/>
                <c:pt idx="0">
                  <c:v>logu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4768153980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(2)'!$A$21:$A$25</c:f>
              <c:numCache>
                <c:formatCode>General</c:formatCode>
                <c:ptCount val="5"/>
                <c:pt idx="0">
                  <c:v>-0.83785246529050372</c:v>
                </c:pt>
                <c:pt idx="1">
                  <c:v>-0.82823699111069626</c:v>
                </c:pt>
                <c:pt idx="2">
                  <c:v>-0.87069527996706542</c:v>
                </c:pt>
                <c:pt idx="3">
                  <c:v>-0.8858896434681085</c:v>
                </c:pt>
                <c:pt idx="4">
                  <c:v>-0.85247825646240305</c:v>
                </c:pt>
              </c:numCache>
            </c:numRef>
          </c:xVal>
          <c:yVal>
            <c:numRef>
              <c:f>'F (2)'!$B$21:$B$25</c:f>
              <c:numCache>
                <c:formatCode>General</c:formatCode>
                <c:ptCount val="5"/>
                <c:pt idx="0">
                  <c:v>-2.2710702466562904</c:v>
                </c:pt>
                <c:pt idx="1">
                  <c:v>-2.4032380137247564</c:v>
                </c:pt>
                <c:pt idx="2">
                  <c:v>-2.0239711599088741</c:v>
                </c:pt>
                <c:pt idx="3">
                  <c:v>-1.9488474775526186</c:v>
                </c:pt>
                <c:pt idx="4">
                  <c:v>-2.5321552055451066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E-4319-AF94-C61DD914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29584"/>
        <c:axId val="772136912"/>
      </c:scatterChart>
      <c:valAx>
        <c:axId val="7791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6912"/>
        <c:crosses val="autoZero"/>
        <c:crossBetween val="midCat"/>
      </c:valAx>
      <c:valAx>
        <c:axId val="7721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+mn-lt"/>
                    <a:ea typeface="+mn-ea"/>
                  </a:rPr>
                  <a:t>log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26</xdr:row>
      <xdr:rowOff>152399</xdr:rowOff>
    </xdr:from>
    <xdr:to>
      <xdr:col>5</xdr:col>
      <xdr:colOff>962024</xdr:colOff>
      <xdr:row>39</xdr:row>
      <xdr:rowOff>133350</xdr:rowOff>
    </xdr:to>
    <xdr:graphicFrame macro="">
      <xdr:nvGraphicFramePr>
        <xdr:cNvPr id="4" name="圖表 1">
          <a:extLst>
            <a:ext uri="{FF2B5EF4-FFF2-40B4-BE49-F238E27FC236}">
              <a16:creationId xmlns:a16="http://schemas.microsoft.com/office/drawing/2014/main" id="{1E7D4BBF-C435-4B84-BE22-5D37DD81E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76200</xdr:rowOff>
    </xdr:from>
    <xdr:to>
      <xdr:col>3</xdr:col>
      <xdr:colOff>952500</xdr:colOff>
      <xdr:row>37</xdr:row>
      <xdr:rowOff>95250</xdr:rowOff>
    </xdr:to>
    <xdr:graphicFrame macro="">
      <xdr:nvGraphicFramePr>
        <xdr:cNvPr id="3" name="圖表 1">
          <a:extLst>
            <a:ext uri="{FF2B5EF4-FFF2-40B4-BE49-F238E27FC236}">
              <a16:creationId xmlns:a16="http://schemas.microsoft.com/office/drawing/2014/main" id="{9A48FA99-4EE8-414D-83F2-2B3901532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243672</xdr:rowOff>
    </xdr:from>
    <xdr:to>
      <xdr:col>9</xdr:col>
      <xdr:colOff>491950</xdr:colOff>
      <xdr:row>38</xdr:row>
      <xdr:rowOff>136071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1F3BEE-CDDE-48CF-B634-FF3D5EA20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1171575</xdr:colOff>
      <xdr:row>17</xdr:row>
      <xdr:rowOff>190500</xdr:rowOff>
    </xdr:from>
    <xdr:to>
      <xdr:col>11</xdr:col>
      <xdr:colOff>47625</xdr:colOff>
      <xdr:row>28</xdr:row>
      <xdr:rowOff>209550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DF2357-76D6-477C-9787-C23CB5BC9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1171575</xdr:colOff>
      <xdr:row>17</xdr:row>
      <xdr:rowOff>190500</xdr:rowOff>
    </xdr:from>
    <xdr:to>
      <xdr:col>11</xdr:col>
      <xdr:colOff>47625</xdr:colOff>
      <xdr:row>28</xdr:row>
      <xdr:rowOff>209550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1CF2B8-2BC1-4C52-8CA4-FD7EA3027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1171575</xdr:colOff>
      <xdr:row>17</xdr:row>
      <xdr:rowOff>190500</xdr:rowOff>
    </xdr:from>
    <xdr:to>
      <xdr:col>11</xdr:col>
      <xdr:colOff>47625</xdr:colOff>
      <xdr:row>28</xdr:row>
      <xdr:rowOff>209550</xdr:rowOff>
    </xdr:to>
    <xdr:graphicFrame macro="">
      <xdr:nvGraphicFramePr>
        <xdr:cNvPr id="5" name="圖表 1">
          <a:extLst>
            <a:ext uri="{FF2B5EF4-FFF2-40B4-BE49-F238E27FC236}">
              <a16:creationId xmlns:a16="http://schemas.microsoft.com/office/drawing/2014/main" id="{C2A2377D-D4EC-4229-A372-A2A76C059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76200</xdr:rowOff>
    </xdr:from>
    <xdr:to>
      <xdr:col>3</xdr:col>
      <xdr:colOff>952500</xdr:colOff>
      <xdr:row>37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3097AE-601B-466D-945E-75B0593F0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5F22-9085-4F97-9E8E-4399EF989EDB}">
  <dimension ref="A1:J33"/>
  <sheetViews>
    <sheetView topLeftCell="A25" zoomScale="78" zoomScaleNormal="78" workbookViewId="0">
      <selection activeCell="F23" sqref="F23:G23"/>
    </sheetView>
  </sheetViews>
  <sheetFormatPr defaultRowHeight="19.5"/>
  <cols>
    <col min="1" max="1" width="15.5" style="1" customWidth="1"/>
    <col min="2" max="2" width="12.875" style="1" customWidth="1"/>
    <col min="3" max="3" width="19.625" style="1" customWidth="1"/>
    <col min="4" max="5" width="15.5" style="1" customWidth="1"/>
    <col min="6" max="9" width="15.625" style="1" customWidth="1"/>
    <col min="10" max="10" width="18.875" style="1" customWidth="1"/>
  </cols>
  <sheetData>
    <row r="1" spans="1:10">
      <c r="A1" s="7"/>
      <c r="B1" s="19" t="s">
        <v>0</v>
      </c>
      <c r="C1" s="19"/>
      <c r="D1" s="7"/>
      <c r="E1" s="7"/>
      <c r="F1" s="7"/>
      <c r="G1" s="7"/>
      <c r="H1" s="7">
        <v>3</v>
      </c>
      <c r="I1" s="7">
        <v>84.7</v>
      </c>
      <c r="J1" s="7"/>
    </row>
    <row r="2" spans="1:10">
      <c r="A2" s="8" t="s">
        <v>1</v>
      </c>
      <c r="B2" s="19">
        <f>E2/F2</f>
        <v>5.3510565780504433E-3</v>
      </c>
      <c r="C2" s="19"/>
      <c r="D2" s="7" t="s">
        <v>2</v>
      </c>
      <c r="E2" s="7">
        <f>7.85*10^(-3)</f>
        <v>7.8499999999999993E-3</v>
      </c>
      <c r="F2" s="7">
        <f>146.7*10^(-2)</f>
        <v>1.4669999999999999</v>
      </c>
      <c r="G2" s="7"/>
      <c r="H2" s="7"/>
      <c r="I2" s="7"/>
      <c r="J2" s="7"/>
    </row>
    <row r="3" spans="1:10">
      <c r="A3" s="7"/>
      <c r="B3" s="2" t="s">
        <v>0</v>
      </c>
      <c r="C3" s="2" t="s">
        <v>3</v>
      </c>
      <c r="D3" s="2" t="s">
        <v>0</v>
      </c>
      <c r="E3" s="2" t="s">
        <v>0</v>
      </c>
      <c r="F3" s="19" t="s">
        <v>3</v>
      </c>
      <c r="G3" s="19"/>
      <c r="H3" s="19"/>
      <c r="I3" s="19"/>
      <c r="J3" s="19"/>
    </row>
    <row r="4" spans="1:10" ht="16.5">
      <c r="A4" s="19" t="s">
        <v>4</v>
      </c>
      <c r="B4" s="19" t="s">
        <v>5</v>
      </c>
      <c r="C4" s="19" t="s">
        <v>6</v>
      </c>
      <c r="D4" s="22" t="s">
        <v>7</v>
      </c>
      <c r="E4" s="21" t="s">
        <v>8</v>
      </c>
      <c r="F4" s="20" t="s">
        <v>9</v>
      </c>
      <c r="G4" s="19" t="s">
        <v>10</v>
      </c>
      <c r="H4" s="19" t="s">
        <v>11</v>
      </c>
      <c r="I4" s="19" t="s">
        <v>12</v>
      </c>
      <c r="J4" s="19" t="s">
        <v>13</v>
      </c>
    </row>
    <row r="5" spans="1:10" ht="16.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7">
        <v>2</v>
      </c>
      <c r="B6" s="19">
        <f>84.5*10^(-3)</f>
        <v>8.4500000000000006E-2</v>
      </c>
      <c r="C6" s="19">
        <f>B6*9.8</f>
        <v>0.82810000000000017</v>
      </c>
      <c r="D6" s="7">
        <v>16.5</v>
      </c>
      <c r="E6" s="7">
        <v>0.84599999999999997</v>
      </c>
      <c r="F6" s="7">
        <f>2*E6/A6</f>
        <v>0.84599999999999997</v>
      </c>
      <c r="G6" s="7">
        <f>D6*F6</f>
        <v>13.959</v>
      </c>
      <c r="H6" s="19">
        <f>AVERAGE(G6:G7)</f>
        <v>13.465499999999999</v>
      </c>
      <c r="I6" s="19">
        <f>(C6/B2)^(1/2)</f>
        <v>12.440035533567947</v>
      </c>
      <c r="J6" s="19">
        <f>(H6-I6)/I6*100</f>
        <v>8.2432599462031941</v>
      </c>
    </row>
    <row r="7" spans="1:10">
      <c r="A7" s="7">
        <v>3</v>
      </c>
      <c r="B7" s="19"/>
      <c r="C7" s="19"/>
      <c r="D7" s="7">
        <v>23</v>
      </c>
      <c r="E7" s="7">
        <v>0.84599999999999997</v>
      </c>
      <c r="F7" s="7">
        <f>2*E7/A7</f>
        <v>0.56399999999999995</v>
      </c>
      <c r="G7" s="7">
        <f>D7*F7</f>
        <v>12.972</v>
      </c>
      <c r="H7" s="19"/>
      <c r="I7" s="19"/>
      <c r="J7" s="19"/>
    </row>
    <row r="8" spans="1:10">
      <c r="A8" s="7">
        <v>2</v>
      </c>
      <c r="B8" s="19">
        <f>134.5*10^(-3)</f>
        <v>0.13450000000000001</v>
      </c>
      <c r="C8" s="19">
        <f>B8*9.8</f>
        <v>1.3181000000000003</v>
      </c>
      <c r="D8" s="7">
        <v>20.399999999999999</v>
      </c>
      <c r="E8" s="7">
        <v>0.84499999999999997</v>
      </c>
      <c r="F8" s="7">
        <f t="shared" ref="F8:F17" si="0">2*E8/A8</f>
        <v>0.84499999999999997</v>
      </c>
      <c r="G8" s="7">
        <f t="shared" ref="G8:G11" si="1">D8*F8</f>
        <v>17.238</v>
      </c>
      <c r="H8" s="19">
        <f t="shared" ref="H8" si="2">AVERAGE(G8:G9)</f>
        <v>16.885916666666667</v>
      </c>
      <c r="I8" s="19">
        <f>(C8/B2)^(1/2)</f>
        <v>15.694750227811078</v>
      </c>
      <c r="J8" s="19">
        <f>(H8-I8)/I8*100</f>
        <v>7.5895851897333406</v>
      </c>
    </row>
    <row r="9" spans="1:10">
      <c r="A9" s="7">
        <v>3</v>
      </c>
      <c r="B9" s="19"/>
      <c r="C9" s="19"/>
      <c r="D9" s="7">
        <v>29.35</v>
      </c>
      <c r="E9" s="7">
        <v>0.84499999999999997</v>
      </c>
      <c r="F9" s="7">
        <f t="shared" si="0"/>
        <v>0.56333333333333335</v>
      </c>
      <c r="G9" s="7">
        <f t="shared" si="1"/>
        <v>16.533833333333334</v>
      </c>
      <c r="H9" s="19"/>
      <c r="I9" s="19"/>
      <c r="J9" s="19"/>
    </row>
    <row r="10" spans="1:10">
      <c r="A10" s="7">
        <v>2</v>
      </c>
      <c r="B10" s="19">
        <v>0.1845</v>
      </c>
      <c r="C10" s="19">
        <f>B10*9.8</f>
        <v>1.8081</v>
      </c>
      <c r="D10" s="7">
        <v>22.8</v>
      </c>
      <c r="E10" s="7">
        <v>0.84299999999999997</v>
      </c>
      <c r="F10" s="7">
        <f t="shared" si="0"/>
        <v>0.84299999999999997</v>
      </c>
      <c r="G10" s="7">
        <f t="shared" si="1"/>
        <v>19.220400000000001</v>
      </c>
      <c r="H10" s="19">
        <f t="shared" ref="H10" si="3">AVERAGE(G10:G11)</f>
        <v>19.2485</v>
      </c>
      <c r="I10" s="19">
        <f>(C10/B2)^(1/2)</f>
        <v>18.381944547580336</v>
      </c>
      <c r="J10" s="19">
        <f>(H10-I10)/I10*100</f>
        <v>4.7141663939669076</v>
      </c>
    </row>
    <row r="11" spans="1:10">
      <c r="A11" s="7">
        <v>3</v>
      </c>
      <c r="B11" s="19"/>
      <c r="C11" s="19"/>
      <c r="D11" s="7">
        <v>34.299999999999997</v>
      </c>
      <c r="E11" s="7">
        <v>0.84299999999999997</v>
      </c>
      <c r="F11" s="7">
        <f t="shared" si="0"/>
        <v>0.56199999999999994</v>
      </c>
      <c r="G11" s="7">
        <f t="shared" si="1"/>
        <v>19.276599999999995</v>
      </c>
      <c r="H11" s="19"/>
      <c r="I11" s="19"/>
      <c r="J11" s="19"/>
    </row>
    <row r="12" spans="1:10">
      <c r="A12" s="7">
        <v>2</v>
      </c>
      <c r="B12" s="19">
        <f>0.1845+0.05</f>
        <v>0.23449999999999999</v>
      </c>
      <c r="C12" s="19">
        <f>B12*9.8</f>
        <v>2.2980999999999998</v>
      </c>
      <c r="D12" s="7">
        <v>26</v>
      </c>
      <c r="E12" s="7">
        <v>0.84299999999999997</v>
      </c>
      <c r="F12" s="7">
        <f t="shared" si="0"/>
        <v>0.84299999999999997</v>
      </c>
      <c r="G12" s="7">
        <f>D12*F12</f>
        <v>21.917999999999999</v>
      </c>
      <c r="H12" s="19">
        <f>AVERAGE(G12:G13)</f>
        <v>21.917999999999999</v>
      </c>
      <c r="I12" s="19">
        <f>(C12/B2)^(1/2)</f>
        <v>20.723575608163305</v>
      </c>
      <c r="J12" s="19">
        <f>(H12-I12)/I12*100</f>
        <v>5.7636018726719822</v>
      </c>
    </row>
    <row r="13" spans="1:10">
      <c r="A13" s="7">
        <v>3</v>
      </c>
      <c r="B13" s="19"/>
      <c r="C13" s="19"/>
      <c r="D13" s="7">
        <v>39</v>
      </c>
      <c r="E13" s="7">
        <v>0.84299999999999997</v>
      </c>
      <c r="F13" s="7">
        <f t="shared" si="0"/>
        <v>0.56199999999999994</v>
      </c>
      <c r="G13" s="7">
        <f>D13*F13</f>
        <v>21.917999999999999</v>
      </c>
      <c r="H13" s="19"/>
      <c r="I13" s="19"/>
      <c r="J13" s="19"/>
    </row>
    <row r="14" spans="1:10">
      <c r="A14" s="7">
        <v>2</v>
      </c>
      <c r="B14" s="19">
        <f>B12+0.05</f>
        <v>0.28449999999999998</v>
      </c>
      <c r="C14" s="19">
        <f>B14*9.8</f>
        <v>2.7881</v>
      </c>
      <c r="D14" s="7">
        <v>30.72</v>
      </c>
      <c r="E14" s="7">
        <v>0.84199999999999997</v>
      </c>
      <c r="F14" s="7">
        <f t="shared" si="0"/>
        <v>0.84199999999999997</v>
      </c>
      <c r="G14" s="7">
        <f t="shared" ref="G14:G17" si="4">D14*F14</f>
        <v>25.866239999999998</v>
      </c>
      <c r="H14" s="19">
        <f t="shared" ref="H14" si="5">AVERAGE(G14:G15)</f>
        <v>24.984946666666666</v>
      </c>
      <c r="I14" s="19">
        <f>(C14/B2)^(1/2)</f>
        <v>22.826241184746205</v>
      </c>
      <c r="J14" s="19">
        <f>(H14-I14)/I14*100</f>
        <v>9.457122022188349</v>
      </c>
    </row>
    <row r="15" spans="1:10">
      <c r="A15" s="7">
        <v>3</v>
      </c>
      <c r="B15" s="19"/>
      <c r="C15" s="19"/>
      <c r="D15" s="7">
        <v>42.94</v>
      </c>
      <c r="E15" s="7">
        <v>0.84199999999999997</v>
      </c>
      <c r="F15" s="7">
        <f t="shared" si="0"/>
        <v>0.56133333333333335</v>
      </c>
      <c r="G15" s="7">
        <f t="shared" si="4"/>
        <v>24.103653333333334</v>
      </c>
      <c r="H15" s="19"/>
      <c r="I15" s="19"/>
      <c r="J15" s="19"/>
    </row>
    <row r="16" spans="1:10">
      <c r="A16" s="7">
        <v>2</v>
      </c>
      <c r="B16" s="19">
        <f>B14+0.05</f>
        <v>0.33449999999999996</v>
      </c>
      <c r="C16" s="19">
        <f t="shared" ref="C16" si="6">B16*9.8</f>
        <v>3.2780999999999998</v>
      </c>
      <c r="D16" s="7">
        <v>26.81</v>
      </c>
      <c r="E16" s="7">
        <v>0.84599999999999997</v>
      </c>
      <c r="F16" s="7">
        <f t="shared" si="0"/>
        <v>0.84599999999999997</v>
      </c>
      <c r="G16" s="7">
        <f t="shared" si="4"/>
        <v>22.681259999999998</v>
      </c>
      <c r="H16" s="19">
        <f t="shared" ref="H16" si="7">AVERAGE(G16:G17)</f>
        <v>24.357749999999996</v>
      </c>
      <c r="I16" s="19">
        <f>(C16/B2)^(1/2)</f>
        <v>24.750918917509839</v>
      </c>
      <c r="J16" s="19">
        <f>(H16-I16)/I16*100</f>
        <v>-1.5885023049859341</v>
      </c>
    </row>
    <row r="17" spans="1:10">
      <c r="A17" s="7">
        <v>3</v>
      </c>
      <c r="B17" s="19"/>
      <c r="C17" s="19"/>
      <c r="D17" s="7">
        <v>46.16</v>
      </c>
      <c r="E17" s="7">
        <v>0.84599999999999997</v>
      </c>
      <c r="F17" s="7">
        <f t="shared" si="0"/>
        <v>0.56399999999999995</v>
      </c>
      <c r="G17" s="7">
        <f t="shared" si="4"/>
        <v>26.034239999999997</v>
      </c>
      <c r="H17" s="19"/>
      <c r="I17" s="19"/>
      <c r="J17" s="19"/>
    </row>
    <row r="18" spans="1:10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19" t="s">
        <v>14</v>
      </c>
      <c r="B19" s="19"/>
      <c r="C19" s="19"/>
      <c r="D19" s="19"/>
      <c r="E19" s="19"/>
      <c r="F19" s="19"/>
      <c r="G19" s="19"/>
      <c r="H19" s="7"/>
      <c r="I19" s="7"/>
      <c r="J19" s="7"/>
    </row>
    <row r="20" spans="1:10">
      <c r="A20" s="7" t="s">
        <v>15</v>
      </c>
      <c r="B20" s="7" t="s">
        <v>16</v>
      </c>
      <c r="C20" s="7"/>
      <c r="D20" s="7" t="s">
        <v>17</v>
      </c>
      <c r="E20" s="7" t="s">
        <v>18</v>
      </c>
      <c r="F20" s="7" t="s">
        <v>19</v>
      </c>
      <c r="G20" s="7" t="s">
        <v>20</v>
      </c>
      <c r="H20" s="7"/>
      <c r="I20" s="7"/>
      <c r="J20" s="7"/>
    </row>
    <row r="21" spans="1:10">
      <c r="A21" s="7">
        <f>LOG10(H6)</f>
        <v>1.1292224842391263</v>
      </c>
      <c r="B21" s="7">
        <f>LOG(C6)</f>
        <v>-8.1917215357812712E-2</v>
      </c>
      <c r="C21" s="7"/>
      <c r="D21" s="7">
        <f>E21*F21+G21</f>
        <v>-2.3349030113863414</v>
      </c>
      <c r="E21" s="7">
        <f>SLOPE(B21:B25,A21:A25)</f>
        <v>2.0026959559716944</v>
      </c>
      <c r="F21" s="7">
        <v>0</v>
      </c>
      <c r="G21" s="7">
        <f>INTERCEPT(B21:B25,A21:A25)</f>
        <v>-2.3349030113863414</v>
      </c>
      <c r="H21" s="7"/>
      <c r="I21" s="7"/>
      <c r="J21" s="7"/>
    </row>
    <row r="22" spans="1:10">
      <c r="A22" s="7">
        <f>LOG10(H8)</f>
        <v>1.2275246416648975</v>
      </c>
      <c r="B22" s="7">
        <f>LOG(C8)</f>
        <v>0.11994836003092173</v>
      </c>
      <c r="C22" s="7"/>
      <c r="D22" s="7" t="s">
        <v>21</v>
      </c>
      <c r="E22" s="7" t="s">
        <v>22</v>
      </c>
      <c r="F22" s="19" t="s">
        <v>23</v>
      </c>
      <c r="G22" s="19"/>
      <c r="H22" s="7"/>
      <c r="I22" s="7"/>
      <c r="J22" s="7"/>
    </row>
    <row r="23" spans="1:10">
      <c r="A23" s="7">
        <f>LOG10(H10)</f>
        <v>1.2843968913975055</v>
      </c>
      <c r="B23" s="7">
        <f>LOG(C10)</f>
        <v>0.25722244618757406</v>
      </c>
      <c r="C23" s="7"/>
      <c r="D23" s="7">
        <f>10^D21</f>
        <v>4.6248429395753833E-3</v>
      </c>
      <c r="E23" s="7">
        <f>10^F21</f>
        <v>1</v>
      </c>
      <c r="F23" s="19">
        <f>1/(E23^2/D23)</f>
        <v>4.6248429395753833E-3</v>
      </c>
      <c r="G23" s="19"/>
      <c r="H23" s="7"/>
      <c r="I23" s="7"/>
      <c r="J23" s="7"/>
    </row>
    <row r="24" spans="1:10">
      <c r="A24" s="7">
        <f>LOG10(H12)</f>
        <v>1.3408009225955604</v>
      </c>
      <c r="B24" s="7">
        <f>LOG(C12)</f>
        <v>0.36136892274359689</v>
      </c>
      <c r="C24" s="7"/>
      <c r="D24" s="7" t="s">
        <v>24</v>
      </c>
      <c r="E24" s="7" t="s">
        <v>25</v>
      </c>
      <c r="F24" s="7"/>
      <c r="G24" s="7"/>
      <c r="H24" s="7"/>
      <c r="I24" s="7"/>
      <c r="J24" s="7"/>
    </row>
    <row r="25" spans="1:10">
      <c r="A25" s="7">
        <f>LOG10(H14)</f>
        <v>1.3976784267264908</v>
      </c>
      <c r="B25" s="7">
        <f>LOG(C14)</f>
        <v>0.44530834642358486</v>
      </c>
      <c r="C25" s="7"/>
      <c r="D25" s="7">
        <f>(-D21-E21)/E21*100%</f>
        <v>0.16587992521983319</v>
      </c>
      <c r="E25" s="7">
        <f>(-F23+B2)/B2*100%</f>
        <v>0.13571406466788699</v>
      </c>
      <c r="F25" s="7"/>
      <c r="G25" s="7"/>
      <c r="H25" s="7"/>
      <c r="I25" s="7"/>
      <c r="J25" s="7"/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2:2">
      <c r="B33" s="7"/>
    </row>
  </sheetData>
  <mergeCells count="46">
    <mergeCell ref="B1:C1"/>
    <mergeCell ref="B2:C2"/>
    <mergeCell ref="A4:A5"/>
    <mergeCell ref="B6:B7"/>
    <mergeCell ref="D4:D5"/>
    <mergeCell ref="B14:B15"/>
    <mergeCell ref="H4:H5"/>
    <mergeCell ref="H14:H15"/>
    <mergeCell ref="I14:I15"/>
    <mergeCell ref="J14:J15"/>
    <mergeCell ref="J8:J9"/>
    <mergeCell ref="H10:H11"/>
    <mergeCell ref="I10:I11"/>
    <mergeCell ref="J10:J11"/>
    <mergeCell ref="G4:G5"/>
    <mergeCell ref="I4:I5"/>
    <mergeCell ref="J4:J5"/>
    <mergeCell ref="B8:B9"/>
    <mergeCell ref="B10:B11"/>
    <mergeCell ref="H6:H7"/>
    <mergeCell ref="I6:I7"/>
    <mergeCell ref="B12:B13"/>
    <mergeCell ref="C12:C13"/>
    <mergeCell ref="H12:H13"/>
    <mergeCell ref="I12:I13"/>
    <mergeCell ref="J12:J13"/>
    <mergeCell ref="B16:B17"/>
    <mergeCell ref="C16:C17"/>
    <mergeCell ref="H16:H17"/>
    <mergeCell ref="I16:I17"/>
    <mergeCell ref="J16:J17"/>
    <mergeCell ref="C14:C15"/>
    <mergeCell ref="F4:F5"/>
    <mergeCell ref="F22:G22"/>
    <mergeCell ref="F23:G23"/>
    <mergeCell ref="F3:J3"/>
    <mergeCell ref="E4:E5"/>
    <mergeCell ref="A19:G19"/>
    <mergeCell ref="J6:J7"/>
    <mergeCell ref="H8:H9"/>
    <mergeCell ref="I8:I9"/>
    <mergeCell ref="C4:C5"/>
    <mergeCell ref="B4:B5"/>
    <mergeCell ref="C6:C7"/>
    <mergeCell ref="C8:C9"/>
    <mergeCell ref="C10:C11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2CD9-A0CF-4CC3-8330-6F74D06B6272}">
  <dimension ref="A1:J30"/>
  <sheetViews>
    <sheetView tabSelected="1" topLeftCell="A26" workbookViewId="0">
      <selection activeCell="E22" sqref="E22"/>
    </sheetView>
  </sheetViews>
  <sheetFormatPr defaultRowHeight="19.5"/>
  <cols>
    <col min="1" max="1" width="15.5" style="4" customWidth="1"/>
    <col min="2" max="2" width="12.375" style="4" customWidth="1"/>
    <col min="3" max="3" width="19.625" style="4" customWidth="1"/>
    <col min="4" max="5" width="15.5" style="4" customWidth="1"/>
    <col min="6" max="9" width="15.625" style="4" customWidth="1"/>
    <col min="10" max="10" width="18.875" style="4" customWidth="1"/>
  </cols>
  <sheetData>
    <row r="1" spans="1:10">
      <c r="A1" s="7"/>
      <c r="B1" s="7" t="s">
        <v>0</v>
      </c>
      <c r="C1" s="7"/>
      <c r="D1" s="7"/>
      <c r="E1" s="7"/>
      <c r="F1" s="7"/>
      <c r="G1" s="7"/>
      <c r="H1" s="7"/>
      <c r="I1" s="7"/>
      <c r="J1" s="7"/>
    </row>
    <row r="2" spans="1:10">
      <c r="A2" s="9" t="s">
        <v>6</v>
      </c>
      <c r="B2" s="7">
        <v>5.2388839999999997</v>
      </c>
      <c r="C2" s="7"/>
      <c r="D2" s="7"/>
      <c r="E2" s="7"/>
      <c r="F2" s="7"/>
      <c r="G2" s="7"/>
      <c r="H2" s="7"/>
      <c r="I2" s="7"/>
      <c r="J2" s="7"/>
    </row>
    <row r="3" spans="1:10">
      <c r="A3" s="7"/>
      <c r="B3" s="2" t="s">
        <v>0</v>
      </c>
      <c r="C3" s="2" t="s">
        <v>3</v>
      </c>
      <c r="D3" s="2" t="s">
        <v>0</v>
      </c>
      <c r="E3" s="2" t="s">
        <v>0</v>
      </c>
      <c r="F3" s="19" t="s">
        <v>3</v>
      </c>
      <c r="G3" s="19"/>
      <c r="H3" s="19"/>
      <c r="I3" s="19"/>
      <c r="J3" s="19"/>
    </row>
    <row r="4" spans="1:10" ht="16.5">
      <c r="A4" s="19" t="s">
        <v>4</v>
      </c>
      <c r="B4" s="23" t="s">
        <v>26</v>
      </c>
      <c r="C4" s="19"/>
      <c r="D4" s="22" t="s">
        <v>7</v>
      </c>
      <c r="E4" s="24" t="s">
        <v>27</v>
      </c>
      <c r="F4" s="20" t="s">
        <v>9</v>
      </c>
      <c r="G4" s="19" t="s">
        <v>10</v>
      </c>
      <c r="H4" s="19" t="s">
        <v>11</v>
      </c>
      <c r="I4" s="19" t="s">
        <v>12</v>
      </c>
      <c r="J4" s="19" t="s">
        <v>13</v>
      </c>
    </row>
    <row r="5" spans="1:10" ht="16.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7">
        <v>2</v>
      </c>
      <c r="B6" s="19">
        <v>5.3571000000000001E-3</v>
      </c>
      <c r="C6" s="19"/>
      <c r="D6" s="7">
        <v>37.4</v>
      </c>
      <c r="E6" s="7"/>
      <c r="F6" s="7">
        <v>0.84199999999999997</v>
      </c>
      <c r="G6" s="7">
        <f>D6*F6</f>
        <v>31.490799999999997</v>
      </c>
      <c r="H6" s="19">
        <f>AVERAGE(G6:G7)</f>
        <v>32.098549999999996</v>
      </c>
      <c r="I6" s="19">
        <f>(B2/B6)^(1/2)</f>
        <v>31.271917702565471</v>
      </c>
      <c r="J6" s="19">
        <f>(H6-I6)/I6*100</f>
        <v>2.6433693811067758</v>
      </c>
    </row>
    <row r="7" spans="1:10">
      <c r="A7" s="7">
        <v>3</v>
      </c>
      <c r="B7" s="19"/>
      <c r="C7" s="19"/>
      <c r="D7" s="7">
        <v>58.3</v>
      </c>
      <c r="E7" s="7"/>
      <c r="F7" s="7">
        <v>0.56100000000000005</v>
      </c>
      <c r="G7" s="7">
        <f>D7*F7</f>
        <v>32.706299999999999</v>
      </c>
      <c r="H7" s="19"/>
      <c r="I7" s="19"/>
      <c r="J7" s="19"/>
    </row>
    <row r="8" spans="1:10">
      <c r="A8" s="7">
        <v>2</v>
      </c>
      <c r="B8" s="19">
        <v>3.9515000000000002E-3</v>
      </c>
      <c r="C8" s="19"/>
      <c r="D8" s="7">
        <v>45.2</v>
      </c>
      <c r="E8" s="7"/>
      <c r="F8" s="7">
        <v>0.84499999999999997</v>
      </c>
      <c r="G8" s="7">
        <f t="shared" ref="G8:G11" si="0">D8*F8</f>
        <v>38.194000000000003</v>
      </c>
      <c r="H8" s="19">
        <f t="shared" ref="H8" si="1">AVERAGE(G8:G9)</f>
        <v>38.126399999999997</v>
      </c>
      <c r="I8" s="19">
        <f>(B2/B8)^(1/2)</f>
        <v>36.411485549119128</v>
      </c>
      <c r="J8" s="19">
        <f t="shared" ref="J8" si="2">(H8-I8)/I8*100</f>
        <v>4.7098173145598459</v>
      </c>
    </row>
    <row r="9" spans="1:10">
      <c r="A9" s="7">
        <v>3</v>
      </c>
      <c r="B9" s="19"/>
      <c r="C9" s="19"/>
      <c r="D9" s="7">
        <v>67.599999999999994</v>
      </c>
      <c r="E9" s="7"/>
      <c r="F9" s="7">
        <v>0.56299999999999994</v>
      </c>
      <c r="G9" s="7">
        <f t="shared" si="0"/>
        <v>38.058799999999991</v>
      </c>
      <c r="H9" s="19"/>
      <c r="I9" s="19"/>
      <c r="J9" s="19"/>
    </row>
    <row r="10" spans="1:10">
      <c r="A10" s="7">
        <v>2</v>
      </c>
      <c r="B10" s="19">
        <v>9.4629999999999992E-3</v>
      </c>
      <c r="C10" s="19"/>
      <c r="D10" s="7">
        <v>34.4</v>
      </c>
      <c r="E10" s="7"/>
      <c r="F10" s="7">
        <v>0.80200000000000005</v>
      </c>
      <c r="G10" s="7">
        <f t="shared" si="0"/>
        <v>27.588799999999999</v>
      </c>
      <c r="H10" s="19">
        <f t="shared" ref="H10" si="3">AVERAGE(G10:G11)</f>
        <v>26.052399999999999</v>
      </c>
      <c r="I10" s="19">
        <f>(B2/B10)^(1/2)</f>
        <v>23.529081342359845</v>
      </c>
      <c r="J10" s="19">
        <f t="shared" ref="J10" si="4">(H10-I10)/I10*100</f>
        <v>10.724254895142787</v>
      </c>
    </row>
    <row r="11" spans="1:10">
      <c r="A11" s="7">
        <v>3</v>
      </c>
      <c r="B11" s="19"/>
      <c r="C11" s="19"/>
      <c r="D11" s="7">
        <v>45.4</v>
      </c>
      <c r="E11" s="7"/>
      <c r="F11" s="7">
        <v>0.54</v>
      </c>
      <c r="G11" s="7">
        <f t="shared" si="0"/>
        <v>24.516000000000002</v>
      </c>
      <c r="H11" s="19"/>
      <c r="I11" s="19"/>
      <c r="J11" s="19"/>
    </row>
    <row r="12" spans="1:10">
      <c r="A12" s="7">
        <v>2</v>
      </c>
      <c r="B12" s="19">
        <v>1.125E-2</v>
      </c>
      <c r="C12" s="19"/>
      <c r="D12" s="7">
        <v>28.5</v>
      </c>
      <c r="E12" s="7"/>
      <c r="F12" s="7">
        <v>0.81399999999999995</v>
      </c>
      <c r="G12" s="7">
        <f>D12*F12</f>
        <v>23.198999999999998</v>
      </c>
      <c r="H12" s="19">
        <f>AVERAGE(G12:G13)</f>
        <v>24.772799999999997</v>
      </c>
      <c r="I12" s="19">
        <f>(B2/B12)^(1/2)</f>
        <v>21.57958706226275</v>
      </c>
      <c r="J12" s="19">
        <f>(H12-I12)/I12*100</f>
        <v>14.797377394312472</v>
      </c>
    </row>
    <row r="13" spans="1:10">
      <c r="A13" s="7">
        <v>3</v>
      </c>
      <c r="B13" s="19"/>
      <c r="C13" s="19"/>
      <c r="D13" s="7">
        <v>45.9</v>
      </c>
      <c r="E13" s="7"/>
      <c r="F13" s="7">
        <v>0.57399999999999995</v>
      </c>
      <c r="G13" s="7">
        <f>D13*F13</f>
        <v>26.346599999999999</v>
      </c>
      <c r="H13" s="19"/>
      <c r="I13" s="19"/>
      <c r="J13" s="19"/>
    </row>
    <row r="14" spans="1:10">
      <c r="A14" s="7">
        <v>2</v>
      </c>
      <c r="B14" s="19">
        <v>2.9366000000000001E-3</v>
      </c>
      <c r="C14" s="19"/>
      <c r="D14" s="7">
        <v>48.4</v>
      </c>
      <c r="E14" s="7"/>
      <c r="F14" s="7">
        <v>0.84199999999999997</v>
      </c>
      <c r="G14" s="7">
        <f t="shared" ref="G14:G17" si="5">D14*F14</f>
        <v>40.752800000000001</v>
      </c>
      <c r="H14" s="19">
        <f t="shared" ref="H14" si="6">AVERAGE(G14:G15)</f>
        <v>39.512500000000003</v>
      </c>
      <c r="I14" s="19">
        <f>(B2/B14)^(1/2)</f>
        <v>42.237382240018256</v>
      </c>
      <c r="J14" s="19">
        <f t="shared" ref="J14" si="7">(H14-I14)/I14*100</f>
        <v>-6.4513520855384225</v>
      </c>
    </row>
    <row r="15" spans="1:10">
      <c r="A15" s="7">
        <v>3</v>
      </c>
      <c r="B15" s="19"/>
      <c r="C15" s="19"/>
      <c r="D15" s="7">
        <v>68.099999999999994</v>
      </c>
      <c r="E15" s="7"/>
      <c r="F15" s="7">
        <v>0.56200000000000006</v>
      </c>
      <c r="G15" s="7">
        <f t="shared" si="5"/>
        <v>38.272199999999998</v>
      </c>
      <c r="H15" s="19"/>
      <c r="I15" s="19"/>
      <c r="J15" s="19"/>
    </row>
    <row r="16" spans="1:10">
      <c r="A16" s="7">
        <v>2</v>
      </c>
      <c r="B16" s="19"/>
      <c r="C16" s="19"/>
      <c r="D16" s="7"/>
      <c r="E16" s="7"/>
      <c r="F16" s="7">
        <f t="shared" ref="F16:F17" si="8">2*E16/A16</f>
        <v>0</v>
      </c>
      <c r="G16" s="7">
        <f t="shared" si="5"/>
        <v>0</v>
      </c>
      <c r="H16" s="19">
        <f t="shared" ref="H16" si="9">AVERAGE(G16:G17)</f>
        <v>0</v>
      </c>
      <c r="I16" s="19" t="e">
        <f>(B2/B16)^(1/2)</f>
        <v>#DIV/0!</v>
      </c>
      <c r="J16" s="19" t="e">
        <f t="shared" ref="J16" si="10">(H16-I16)/I16*100%</f>
        <v>#DIV/0!</v>
      </c>
    </row>
    <row r="17" spans="1:10">
      <c r="A17" s="7">
        <v>3</v>
      </c>
      <c r="B17" s="19"/>
      <c r="C17" s="19"/>
      <c r="D17" s="7"/>
      <c r="E17" s="7"/>
      <c r="F17" s="7">
        <f t="shared" si="8"/>
        <v>0</v>
      </c>
      <c r="G17" s="7">
        <f t="shared" si="5"/>
        <v>0</v>
      </c>
      <c r="H17" s="19"/>
      <c r="I17" s="19"/>
      <c r="J17" s="19"/>
    </row>
    <row r="19" spans="1:10">
      <c r="A19" s="19" t="s">
        <v>14</v>
      </c>
      <c r="B19" s="19"/>
      <c r="C19" s="19"/>
      <c r="D19" s="19"/>
      <c r="E19" s="19"/>
      <c r="F19" s="19"/>
      <c r="G19" s="19"/>
      <c r="H19" s="7"/>
      <c r="I19" s="7"/>
      <c r="J19" s="7"/>
    </row>
    <row r="20" spans="1:10">
      <c r="A20" s="7" t="s">
        <v>15</v>
      </c>
      <c r="B20" s="7" t="s">
        <v>28</v>
      </c>
      <c r="C20" s="7"/>
      <c r="D20" s="7" t="s">
        <v>17</v>
      </c>
      <c r="E20" s="7" t="s">
        <v>18</v>
      </c>
      <c r="F20" s="7" t="s">
        <v>19</v>
      </c>
      <c r="G20" s="7" t="s">
        <v>20</v>
      </c>
      <c r="H20" s="7"/>
      <c r="I20" s="7"/>
      <c r="J20" s="7"/>
    </row>
    <row r="21" spans="1:10">
      <c r="A21" s="7">
        <f>LOG10(H6)</f>
        <v>1.5064854142982678</v>
      </c>
      <c r="B21" s="7">
        <f>LOG10(B6)</f>
        <v>-2.2710702466562909</v>
      </c>
      <c r="C21" s="7"/>
      <c r="D21" s="7">
        <f>E21*F21+G21</f>
        <v>1.7280754423047671</v>
      </c>
      <c r="E21" s="7">
        <f>SLOPE(B21:B25,A21:A25)</f>
        <v>-2.6446422574722424</v>
      </c>
      <c r="F21" s="7">
        <v>0</v>
      </c>
      <c r="G21" s="7">
        <f>INTERCEPT(B21:B25,A21:A25)</f>
        <v>1.7280754423047671</v>
      </c>
      <c r="H21" s="7"/>
      <c r="I21" s="7"/>
      <c r="J21" s="7"/>
    </row>
    <row r="22" spans="1:10">
      <c r="A22" s="7">
        <f>LOG10(H8)</f>
        <v>1.5812257999249781</v>
      </c>
      <c r="B22" s="7">
        <f>LOG10(B8)</f>
        <v>-2.4032380137247564</v>
      </c>
      <c r="C22" s="7"/>
      <c r="D22" s="7" t="s">
        <v>21</v>
      </c>
      <c r="E22" s="7" t="s">
        <v>22</v>
      </c>
      <c r="F22" s="19" t="s">
        <v>29</v>
      </c>
      <c r="G22" s="19"/>
      <c r="H22" s="7"/>
      <c r="I22" s="7"/>
      <c r="J22" s="7"/>
    </row>
    <row r="23" spans="1:10">
      <c r="A23" s="7">
        <f>LOG10(H10)</f>
        <v>1.4158477375681877</v>
      </c>
      <c r="B23" s="7">
        <f>LOG10(B10)</f>
        <v>-2.0239711599088741</v>
      </c>
      <c r="C23" s="7"/>
      <c r="D23" s="7">
        <f>10^F21</f>
        <v>1</v>
      </c>
      <c r="E23" s="7">
        <f>10^D21</f>
        <v>53.465722788138656</v>
      </c>
      <c r="F23" s="19">
        <f>1/(E23^2/D23)</f>
        <v>3.4982360856767258E-4</v>
      </c>
      <c r="G23" s="19"/>
      <c r="H23" s="7"/>
      <c r="I23" s="7"/>
      <c r="J23" s="7"/>
    </row>
    <row r="24" spans="1:10">
      <c r="A24" s="7">
        <f>LOG10(H12)</f>
        <v>1.3939750964455391</v>
      </c>
      <c r="B24" s="7">
        <f>LOG10(B12)</f>
        <v>-1.9488474775526188</v>
      </c>
      <c r="C24" s="7"/>
      <c r="D24" s="7" t="s">
        <v>24</v>
      </c>
      <c r="E24" s="7" t="s">
        <v>30</v>
      </c>
      <c r="F24" s="7"/>
      <c r="G24" s="7"/>
      <c r="H24" s="7"/>
      <c r="I24" s="7"/>
      <c r="J24" s="7"/>
    </row>
    <row r="25" spans="1:10">
      <c r="A25" s="7">
        <f>LOG10(H14)</f>
        <v>1.5967345088476361</v>
      </c>
      <c r="B25" s="7">
        <f>LOG10(B14)</f>
        <v>-2.5321552055451071</v>
      </c>
      <c r="C25" s="7"/>
      <c r="D25" s="7">
        <f>(-D21-E21)/E21*100%</f>
        <v>-0.34657497155911471</v>
      </c>
      <c r="E25" s="7">
        <f>(F23-B2)/B2*100</f>
        <v>-99.993322554792812</v>
      </c>
      <c r="F25" s="7"/>
      <c r="G25" s="7"/>
      <c r="H25" s="7"/>
      <c r="I25" s="7"/>
      <c r="J25" s="7"/>
    </row>
    <row r="26" spans="1:10">
      <c r="A26" s="7" t="e">
        <f>LOG10(H16)</f>
        <v>#NUM!</v>
      </c>
      <c r="B26" s="7" t="e">
        <f>-2*LOG10(I16)+LOG10(B2)</f>
        <v>#DIV/0!</v>
      </c>
      <c r="C26" s="7"/>
      <c r="D26" s="7"/>
      <c r="E26" s="7"/>
      <c r="F26" s="7"/>
      <c r="G26" s="7"/>
      <c r="H26" s="7"/>
      <c r="I26" s="7"/>
      <c r="J26" s="7"/>
    </row>
    <row r="30" spans="1:10">
      <c r="A30" s="7"/>
      <c r="B30" s="7"/>
      <c r="C30" s="7"/>
      <c r="D30" s="7"/>
      <c r="E30" s="7"/>
      <c r="F30" s="7"/>
      <c r="G30" s="7"/>
      <c r="H30" s="7"/>
      <c r="I30" s="7">
        <v>0.82</v>
      </c>
      <c r="J30" s="7"/>
    </row>
  </sheetData>
  <mergeCells count="44">
    <mergeCell ref="F3:J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B6:B7"/>
    <mergeCell ref="C6:C7"/>
    <mergeCell ref="H6:H7"/>
    <mergeCell ref="I6:I7"/>
    <mergeCell ref="J6:J7"/>
    <mergeCell ref="B10:B11"/>
    <mergeCell ref="C10:C11"/>
    <mergeCell ref="H10:H11"/>
    <mergeCell ref="I10:I11"/>
    <mergeCell ref="J10:J11"/>
    <mergeCell ref="B8:B9"/>
    <mergeCell ref="C8:C9"/>
    <mergeCell ref="H8:H9"/>
    <mergeCell ref="I8:I9"/>
    <mergeCell ref="J8:J9"/>
    <mergeCell ref="I16:I17"/>
    <mergeCell ref="J16:J17"/>
    <mergeCell ref="A19:G19"/>
    <mergeCell ref="B12:B13"/>
    <mergeCell ref="C12:C13"/>
    <mergeCell ref="H12:H13"/>
    <mergeCell ref="I12:I13"/>
    <mergeCell ref="J12:J13"/>
    <mergeCell ref="B14:B15"/>
    <mergeCell ref="C14:C15"/>
    <mergeCell ref="H14:H15"/>
    <mergeCell ref="I14:I15"/>
    <mergeCell ref="J14:J15"/>
    <mergeCell ref="F22:G22"/>
    <mergeCell ref="F23:G23"/>
    <mergeCell ref="B16:B17"/>
    <mergeCell ref="C16:C17"/>
    <mergeCell ref="H16:H17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4B07-743E-4EA8-9599-8FA11D3BB901}">
  <dimension ref="A1:J30"/>
  <sheetViews>
    <sheetView topLeftCell="A2" zoomScale="91" zoomScaleNormal="91" workbookViewId="0">
      <selection activeCell="F23" sqref="F23:G23"/>
    </sheetView>
  </sheetViews>
  <sheetFormatPr defaultRowHeight="19.5"/>
  <cols>
    <col min="1" max="1" width="15.5" style="6" customWidth="1"/>
    <col min="2" max="2" width="12.375" style="6" customWidth="1"/>
    <col min="3" max="3" width="19.625" style="6" customWidth="1"/>
    <col min="4" max="5" width="15.5" style="6" customWidth="1"/>
    <col min="6" max="9" width="15.625" style="6" customWidth="1"/>
    <col min="10" max="10" width="18.875" style="6" customWidth="1"/>
  </cols>
  <sheetData>
    <row r="1" spans="1:10">
      <c r="A1" s="7"/>
      <c r="B1" s="7" t="s">
        <v>0</v>
      </c>
      <c r="C1" s="7"/>
      <c r="D1" s="7"/>
      <c r="E1" s="7"/>
      <c r="F1" s="7"/>
      <c r="G1" s="7"/>
      <c r="H1" s="7"/>
      <c r="I1" s="7"/>
      <c r="J1" s="7"/>
    </row>
    <row r="2" spans="1:10">
      <c r="A2" s="9" t="s">
        <v>6</v>
      </c>
      <c r="B2" s="7">
        <v>5.2388839999999997</v>
      </c>
      <c r="C2" s="7"/>
      <c r="D2" s="7"/>
      <c r="E2" s="7"/>
      <c r="F2" s="7"/>
      <c r="G2" s="7"/>
      <c r="H2" s="7"/>
      <c r="I2" s="7"/>
      <c r="J2" s="7"/>
    </row>
    <row r="3" spans="1:10">
      <c r="A3" s="7"/>
      <c r="B3" s="2" t="s">
        <v>0</v>
      </c>
      <c r="C3" s="2" t="s">
        <v>3</v>
      </c>
      <c r="D3" s="2" t="s">
        <v>0</v>
      </c>
      <c r="E3" s="2" t="s">
        <v>0</v>
      </c>
      <c r="F3" s="19" t="s">
        <v>3</v>
      </c>
      <c r="G3" s="19"/>
      <c r="H3" s="19"/>
      <c r="I3" s="19"/>
      <c r="J3" s="19"/>
    </row>
    <row r="4" spans="1:10" ht="16.5">
      <c r="A4" s="19" t="s">
        <v>4</v>
      </c>
      <c r="B4" s="23" t="s">
        <v>26</v>
      </c>
      <c r="C4" s="19"/>
      <c r="D4" s="22" t="s">
        <v>7</v>
      </c>
      <c r="E4" s="24" t="s">
        <v>27</v>
      </c>
      <c r="F4" s="20" t="s">
        <v>9</v>
      </c>
      <c r="G4" s="19" t="s">
        <v>10</v>
      </c>
      <c r="H4" s="19" t="s">
        <v>11</v>
      </c>
      <c r="I4" s="19" t="s">
        <v>12</v>
      </c>
      <c r="J4" s="19" t="s">
        <v>13</v>
      </c>
    </row>
    <row r="5" spans="1:10" ht="16.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7">
        <v>2</v>
      </c>
      <c r="B6" s="19">
        <v>5.3571000000000001E-3</v>
      </c>
      <c r="C6" s="19"/>
      <c r="D6" s="7">
        <v>37.4</v>
      </c>
      <c r="E6" s="7"/>
      <c r="F6" s="7">
        <v>0.81399999999999995</v>
      </c>
      <c r="G6" s="7">
        <f>D6*F6</f>
        <v>30.443599999999996</v>
      </c>
      <c r="H6" s="19">
        <f>AVERAGE(G6:G7)</f>
        <v>30.93365</v>
      </c>
      <c r="I6" s="19">
        <f>(B2/B6)^(1/2)</f>
        <v>31.271917702565471</v>
      </c>
      <c r="J6" s="19">
        <f>(H6-I6)/I6*100</f>
        <v>-1.0816979815015315</v>
      </c>
    </row>
    <row r="7" spans="1:10">
      <c r="A7" s="7">
        <v>3</v>
      </c>
      <c r="B7" s="19"/>
      <c r="C7" s="19"/>
      <c r="D7" s="7">
        <v>58.3</v>
      </c>
      <c r="E7" s="7">
        <f>F7/2*3</f>
        <v>0.8085</v>
      </c>
      <c r="F7" s="7">
        <v>0.53900000000000003</v>
      </c>
      <c r="G7" s="7">
        <f>D7*F7</f>
        <v>31.4237</v>
      </c>
      <c r="H7" s="19"/>
      <c r="I7" s="19"/>
      <c r="J7" s="19"/>
    </row>
    <row r="8" spans="1:10">
      <c r="A8" s="7">
        <v>2</v>
      </c>
      <c r="B8" s="19">
        <v>3.9515000000000002E-3</v>
      </c>
      <c r="C8" s="19"/>
      <c r="D8" s="7">
        <v>45.2</v>
      </c>
      <c r="E8" s="7"/>
      <c r="F8" s="7">
        <v>0.81499999999999995</v>
      </c>
      <c r="G8" s="7">
        <f t="shared" ref="G8:G11" si="0">D8*F8</f>
        <v>36.838000000000001</v>
      </c>
      <c r="H8" s="19">
        <f t="shared" ref="H8" si="1">AVERAGE(G8:G9)</f>
        <v>36.840000000000003</v>
      </c>
      <c r="I8" s="19">
        <f>(B2/B8)^(1/2)</f>
        <v>36.411485549119128</v>
      </c>
      <c r="J8" s="19">
        <f t="shared" ref="J8" si="2">(H8-I8)/I8*100</f>
        <v>1.1768661575282591</v>
      </c>
    </row>
    <row r="9" spans="1:10">
      <c r="A9" s="7">
        <v>3</v>
      </c>
      <c r="B9" s="19"/>
      <c r="C9" s="19"/>
      <c r="D9" s="7">
        <v>67.599999999999994</v>
      </c>
      <c r="E9" s="7">
        <f t="shared" ref="E9" si="3">F9/2*3</f>
        <v>0.81750000000000012</v>
      </c>
      <c r="F9" s="7">
        <v>0.54500000000000004</v>
      </c>
      <c r="G9" s="7">
        <f t="shared" si="0"/>
        <v>36.841999999999999</v>
      </c>
      <c r="H9" s="19"/>
      <c r="I9" s="19"/>
      <c r="J9" s="19"/>
    </row>
    <row r="10" spans="1:10">
      <c r="A10" s="7">
        <v>2</v>
      </c>
      <c r="B10" s="19">
        <v>9.4629999999999992E-3</v>
      </c>
      <c r="C10" s="19"/>
      <c r="D10" s="7">
        <v>34.4</v>
      </c>
      <c r="E10" s="7"/>
      <c r="F10" s="7">
        <v>0.68899999999999995</v>
      </c>
      <c r="G10" s="7">
        <f t="shared" si="0"/>
        <v>23.701599999999996</v>
      </c>
      <c r="H10" s="19">
        <f t="shared" ref="H10" si="4">AVERAGE(G10:G11)</f>
        <v>23.632099999999998</v>
      </c>
      <c r="I10" s="19">
        <f>(B2/B10)^(1/2)</f>
        <v>23.529081342359845</v>
      </c>
      <c r="J10" s="19">
        <f t="shared" ref="J10" si="5">(H10-I10)/I10*100</f>
        <v>0.43783544347176101</v>
      </c>
    </row>
    <row r="11" spans="1:10">
      <c r="A11" s="7">
        <v>3</v>
      </c>
      <c r="B11" s="19"/>
      <c r="C11" s="19"/>
      <c r="D11" s="7">
        <v>45.4</v>
      </c>
      <c r="E11" s="7">
        <f t="shared" ref="E11" si="6">F11/2*3</f>
        <v>0.77849999999999997</v>
      </c>
      <c r="F11" s="7">
        <v>0.51900000000000002</v>
      </c>
      <c r="G11" s="7">
        <f t="shared" si="0"/>
        <v>23.5626</v>
      </c>
      <c r="H11" s="19"/>
      <c r="I11" s="19"/>
      <c r="J11" s="19"/>
    </row>
    <row r="12" spans="1:10">
      <c r="A12" s="7">
        <v>2</v>
      </c>
      <c r="B12" s="19">
        <v>1.125E-2</v>
      </c>
      <c r="C12" s="19"/>
      <c r="D12" s="7">
        <v>28.5</v>
      </c>
      <c r="E12" s="7"/>
      <c r="F12" s="7">
        <v>0.63</v>
      </c>
      <c r="G12" s="7">
        <f>D12*F12</f>
        <v>17.955000000000002</v>
      </c>
      <c r="H12" s="19">
        <f>AVERAGE(G12:G13)</f>
        <v>20.682000000000002</v>
      </c>
      <c r="I12" s="19">
        <f>(B2/B12)^(1/2)</f>
        <v>21.57958706226275</v>
      </c>
      <c r="J12" s="19">
        <f>(H12-I12)/I12*100</f>
        <v>-4.1594264972400739</v>
      </c>
    </row>
    <row r="13" spans="1:10">
      <c r="A13" s="7">
        <v>3</v>
      </c>
      <c r="B13" s="19"/>
      <c r="C13" s="19"/>
      <c r="D13" s="7">
        <v>45.9</v>
      </c>
      <c r="E13" s="7">
        <f t="shared" ref="E13" si="7">F13/2*3</f>
        <v>0.76500000000000001</v>
      </c>
      <c r="F13" s="7">
        <v>0.51</v>
      </c>
      <c r="G13" s="7">
        <f>D13*F13</f>
        <v>23.408999999999999</v>
      </c>
      <c r="H13" s="19"/>
      <c r="I13" s="19"/>
      <c r="J13" s="19"/>
    </row>
    <row r="14" spans="1:10">
      <c r="A14" s="7">
        <v>2</v>
      </c>
      <c r="B14" s="19">
        <v>2.9366000000000001E-3</v>
      </c>
      <c r="C14" s="19"/>
      <c r="D14" s="7">
        <v>50.1</v>
      </c>
      <c r="E14" s="7"/>
      <c r="F14" s="7">
        <v>0.81699999999999995</v>
      </c>
      <c r="G14" s="7">
        <f>D14*F14</f>
        <v>40.931699999999999</v>
      </c>
      <c r="H14" s="19">
        <f>AVERAGE(G14:G15)</f>
        <v>39.57235</v>
      </c>
      <c r="I14" s="19">
        <f>(B2/B14)^(1/2)</f>
        <v>42.237382240018256</v>
      </c>
      <c r="J14" s="19">
        <f t="shared" ref="J14" si="8">(H14-I14)/I14*100</f>
        <v>-6.3096529630409792</v>
      </c>
    </row>
    <row r="15" spans="1:10">
      <c r="A15" s="7">
        <v>3</v>
      </c>
      <c r="B15" s="19"/>
      <c r="C15" s="19"/>
      <c r="D15" s="7">
        <v>72.099999999999994</v>
      </c>
      <c r="E15" s="7">
        <f t="shared" ref="E15" si="9">F15/2*3</f>
        <v>0.79500000000000004</v>
      </c>
      <c r="F15" s="7">
        <v>0.53</v>
      </c>
      <c r="G15" s="7">
        <f t="shared" ref="G14:G17" si="10">D15*F15</f>
        <v>38.213000000000001</v>
      </c>
      <c r="H15" s="19"/>
      <c r="I15" s="19"/>
      <c r="J15" s="19"/>
    </row>
    <row r="16" spans="1:10">
      <c r="A16" s="7">
        <v>2</v>
      </c>
      <c r="B16" s="19"/>
      <c r="C16" s="19"/>
      <c r="D16" s="7"/>
      <c r="E16" s="7"/>
      <c r="F16" s="7">
        <f t="shared" ref="F16:F17" si="11">2*E16/A16</f>
        <v>0</v>
      </c>
      <c r="G16" s="7">
        <f t="shared" si="10"/>
        <v>0</v>
      </c>
      <c r="H16" s="19">
        <f t="shared" ref="H16" si="12">AVERAGE(G16:G17)</f>
        <v>0</v>
      </c>
      <c r="I16" s="19" t="e">
        <f>(B2/B16)^(1/2)</f>
        <v>#DIV/0!</v>
      </c>
      <c r="J16" s="19" t="e">
        <f t="shared" ref="J16" si="13">(H16-I16)/I16*100%</f>
        <v>#DIV/0!</v>
      </c>
    </row>
    <row r="17" spans="1:10">
      <c r="A17" s="7">
        <v>3</v>
      </c>
      <c r="B17" s="19"/>
      <c r="C17" s="19"/>
      <c r="D17" s="7"/>
      <c r="E17" s="7"/>
      <c r="F17" s="7">
        <f t="shared" si="11"/>
        <v>0</v>
      </c>
      <c r="G17" s="7">
        <f t="shared" si="10"/>
        <v>0</v>
      </c>
      <c r="H17" s="19"/>
      <c r="I17" s="19"/>
      <c r="J17" s="19"/>
    </row>
    <row r="19" spans="1:10">
      <c r="A19" s="19" t="s">
        <v>14</v>
      </c>
      <c r="B19" s="19"/>
      <c r="C19" s="19"/>
      <c r="D19" s="19"/>
      <c r="E19" s="19"/>
      <c r="F19" s="19"/>
      <c r="G19" s="19"/>
      <c r="H19" s="7"/>
      <c r="I19" s="7"/>
      <c r="J19" s="7"/>
    </row>
    <row r="20" spans="1:10">
      <c r="A20" s="7" t="s">
        <v>15</v>
      </c>
      <c r="B20" s="7" t="s">
        <v>28</v>
      </c>
      <c r="C20" s="7"/>
      <c r="D20" s="7" t="s">
        <v>17</v>
      </c>
      <c r="E20" s="7" t="s">
        <v>18</v>
      </c>
      <c r="F20" s="7" t="s">
        <v>19</v>
      </c>
      <c r="G20" s="7" t="s">
        <v>20</v>
      </c>
      <c r="H20" s="7"/>
      <c r="I20" s="7"/>
      <c r="J20" s="7"/>
    </row>
    <row r="21" spans="1:10">
      <c r="A21" s="7">
        <f>LOG10(H6)</f>
        <v>1.4904311673790058</v>
      </c>
      <c r="B21" s="7">
        <f>LOG10(B6)</f>
        <v>-2.2710702466562909</v>
      </c>
      <c r="C21" s="7"/>
      <c r="D21" s="7">
        <f>E21*F21+G21</f>
        <v>0.73163774736818077</v>
      </c>
      <c r="E21" s="7">
        <f>SLOPE(B21:B25,A21:A25)</f>
        <v>-2.0205625762087012</v>
      </c>
      <c r="F21" s="7">
        <v>0</v>
      </c>
      <c r="G21" s="7">
        <f>INTERCEPT(B21:B25,A21:A25)</f>
        <v>0.73163774736818077</v>
      </c>
      <c r="H21" s="7">
        <f>LOG10(G21)</f>
        <v>-0.13570389607314129</v>
      </c>
      <c r="I21" s="7"/>
      <c r="J21" s="7"/>
    </row>
    <row r="22" spans="1:10">
      <c r="A22" s="7">
        <f>LOG10(H8)</f>
        <v>1.5663196215248114</v>
      </c>
      <c r="B22" s="7">
        <f>LOG10(B8)</f>
        <v>-2.4032380137247564</v>
      </c>
      <c r="C22" s="7"/>
      <c r="D22" s="7" t="s">
        <v>21</v>
      </c>
      <c r="E22" s="7" t="s">
        <v>22</v>
      </c>
      <c r="F22" s="19" t="s">
        <v>29</v>
      </c>
      <c r="G22" s="19"/>
      <c r="H22" s="7"/>
      <c r="I22" s="7"/>
      <c r="J22" s="7"/>
    </row>
    <row r="23" spans="1:10">
      <c r="A23" s="7">
        <f>LOG10(H10)</f>
        <v>1.373502315702992</v>
      </c>
      <c r="B23" s="7">
        <f>LOG10(B10)</f>
        <v>-2.0239711599088741</v>
      </c>
      <c r="C23" s="7"/>
      <c r="D23" s="7">
        <f>10^F21</f>
        <v>1</v>
      </c>
      <c r="E23" s="7">
        <f>10^D21</f>
        <v>5.3906079488872791</v>
      </c>
      <c r="F23" s="19">
        <f>10^(2*F21+D21)</f>
        <v>5.3906079488872791</v>
      </c>
      <c r="G23" s="19"/>
      <c r="H23" s="7"/>
      <c r="I23" s="7"/>
      <c r="J23" s="7"/>
    </row>
    <row r="24" spans="1:10">
      <c r="A24" s="7">
        <f>LOG10(H12)</f>
        <v>1.3155925337915912</v>
      </c>
      <c r="B24" s="7">
        <f>LOG10(B12)</f>
        <v>-1.9488474775526188</v>
      </c>
      <c r="C24" s="7"/>
      <c r="D24" s="7" t="s">
        <v>24</v>
      </c>
      <c r="E24" s="7" t="s">
        <v>30</v>
      </c>
      <c r="F24" s="7"/>
      <c r="G24" s="7"/>
      <c r="H24" s="7"/>
      <c r="I24" s="7"/>
      <c r="J24" s="7"/>
    </row>
    <row r="25" spans="1:10">
      <c r="A25" s="7">
        <f>LOG10(H14)</f>
        <v>1.5973918415656991</v>
      </c>
      <c r="B25" s="7">
        <f>LOG10(B14)</f>
        <v>-2.5321552055451071</v>
      </c>
      <c r="C25" s="7"/>
      <c r="D25" s="7">
        <f>(-D21-E21)/E21*100</f>
        <v>-63.790394022787702</v>
      </c>
      <c r="E25" s="7">
        <f>(F23-B2)/B2*100</f>
        <v>2.8961120133081679</v>
      </c>
      <c r="F25" s="7"/>
      <c r="G25" s="7"/>
      <c r="H25" s="7"/>
      <c r="I25" s="7"/>
      <c r="J25" s="7"/>
    </row>
    <row r="26" spans="1:10">
      <c r="A26" s="7" t="e">
        <f>LOG10(H16)</f>
        <v>#NUM!</v>
      </c>
      <c r="B26" s="7" t="e">
        <f>-2*LOG10(I16)+LOG10(B2)</f>
        <v>#DIV/0!</v>
      </c>
      <c r="C26" s="7"/>
      <c r="D26" s="7"/>
      <c r="E26" s="7"/>
      <c r="F26" s="7"/>
      <c r="G26" s="7"/>
      <c r="H26" s="7"/>
      <c r="I26" s="7"/>
      <c r="J26" s="7"/>
    </row>
    <row r="30" spans="1:10">
      <c r="A30" s="7"/>
      <c r="B30" s="7"/>
      <c r="C30" s="7"/>
      <c r="D30" s="7"/>
      <c r="E30" s="7"/>
      <c r="F30" s="7"/>
      <c r="G30" s="7"/>
      <c r="H30" s="7"/>
      <c r="I30" s="7">
        <v>0.82</v>
      </c>
      <c r="J30" s="7"/>
    </row>
  </sheetData>
  <mergeCells count="44">
    <mergeCell ref="F3:J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B6:B7"/>
    <mergeCell ref="C6:C7"/>
    <mergeCell ref="H6:H7"/>
    <mergeCell ref="I6:I7"/>
    <mergeCell ref="J6:J7"/>
    <mergeCell ref="B10:B11"/>
    <mergeCell ref="C10:C11"/>
    <mergeCell ref="H10:H11"/>
    <mergeCell ref="I10:I11"/>
    <mergeCell ref="J10:J11"/>
    <mergeCell ref="B8:B9"/>
    <mergeCell ref="C8:C9"/>
    <mergeCell ref="H8:H9"/>
    <mergeCell ref="I8:I9"/>
    <mergeCell ref="J8:J9"/>
    <mergeCell ref="I16:I17"/>
    <mergeCell ref="J16:J17"/>
    <mergeCell ref="A19:G19"/>
    <mergeCell ref="B12:B13"/>
    <mergeCell ref="C12:C13"/>
    <mergeCell ref="H12:H13"/>
    <mergeCell ref="I12:I13"/>
    <mergeCell ref="J12:J13"/>
    <mergeCell ref="B14:B15"/>
    <mergeCell ref="C14:C15"/>
    <mergeCell ref="H14:H15"/>
    <mergeCell ref="I14:I15"/>
    <mergeCell ref="J14:J15"/>
    <mergeCell ref="F22:G22"/>
    <mergeCell ref="F23:G23"/>
    <mergeCell ref="B16:B17"/>
    <mergeCell ref="C16:C17"/>
    <mergeCell ref="H16:H17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B79B-9DB1-496B-A09F-10F8721F1913}">
  <dimension ref="A1:I21"/>
  <sheetViews>
    <sheetView topLeftCell="A12" zoomScale="70" zoomScaleNormal="70" workbookViewId="0">
      <selection activeCell="G17" sqref="G17"/>
    </sheetView>
  </sheetViews>
  <sheetFormatPr defaultRowHeight="19.5"/>
  <cols>
    <col min="1" max="1" width="15.5" style="6" customWidth="1"/>
    <col min="2" max="2" width="12.375" style="6" customWidth="1"/>
    <col min="3" max="4" width="15.5" style="6" customWidth="1"/>
    <col min="5" max="8" width="15.625" style="6" customWidth="1"/>
    <col min="9" max="9" width="18.875" style="6" customWidth="1"/>
  </cols>
  <sheetData>
    <row r="1" spans="1:8">
      <c r="A1" s="26" t="s">
        <v>6</v>
      </c>
      <c r="B1" s="28">
        <v>5.2388839999999997</v>
      </c>
      <c r="C1" s="28" t="s">
        <v>31</v>
      </c>
      <c r="D1" s="28"/>
      <c r="E1" s="28"/>
      <c r="F1" s="28"/>
      <c r="G1" s="28"/>
      <c r="H1" s="34"/>
    </row>
    <row r="2" spans="1:8">
      <c r="A2" s="27"/>
      <c r="B2" s="25"/>
      <c r="C2" s="25"/>
      <c r="D2" s="25"/>
      <c r="E2" s="25"/>
      <c r="F2" s="25"/>
      <c r="G2" s="25"/>
      <c r="H2" s="33"/>
    </row>
    <row r="3" spans="1:8">
      <c r="A3" s="32" t="s">
        <v>4</v>
      </c>
      <c r="B3" s="36" t="s">
        <v>32</v>
      </c>
      <c r="C3" s="37" t="s">
        <v>33</v>
      </c>
      <c r="D3" s="35" t="s">
        <v>34</v>
      </c>
      <c r="E3" s="25" t="s">
        <v>10</v>
      </c>
      <c r="F3" s="25" t="s">
        <v>11</v>
      </c>
      <c r="G3" s="25" t="s">
        <v>12</v>
      </c>
      <c r="H3" s="33" t="s">
        <v>13</v>
      </c>
    </row>
    <row r="4" spans="1:8">
      <c r="A4" s="32"/>
      <c r="B4" s="25"/>
      <c r="C4" s="25"/>
      <c r="D4" s="35"/>
      <c r="E4" s="25"/>
      <c r="F4" s="25"/>
      <c r="G4" s="25"/>
      <c r="H4" s="33"/>
    </row>
    <row r="5" spans="1:8" ht="25.5">
      <c r="A5" s="14">
        <v>2</v>
      </c>
      <c r="B5" s="25">
        <v>5.3571000000000001E-3</v>
      </c>
      <c r="C5" s="13">
        <v>37.4</v>
      </c>
      <c r="D5" s="13">
        <v>0.84199999999999997</v>
      </c>
      <c r="E5" s="13">
        <f>C5*D5</f>
        <v>31.490799999999997</v>
      </c>
      <c r="F5" s="25">
        <f>AVERAGE(E5:E6)</f>
        <v>32.098549999999996</v>
      </c>
      <c r="G5" s="25">
        <f>(B1/B5)^(1/2)</f>
        <v>31.271917702565471</v>
      </c>
      <c r="H5" s="33">
        <f>(F5-G5)/G5*100</f>
        <v>2.6433693811067758</v>
      </c>
    </row>
    <row r="6" spans="1:8" ht="25.5">
      <c r="A6" s="14">
        <v>3</v>
      </c>
      <c r="B6" s="25"/>
      <c r="C6" s="13">
        <v>58.3</v>
      </c>
      <c r="D6" s="13">
        <v>0.56100000000000005</v>
      </c>
      <c r="E6" s="13">
        <f>C6*D6</f>
        <v>32.706299999999999</v>
      </c>
      <c r="F6" s="25"/>
      <c r="G6" s="25"/>
      <c r="H6" s="33"/>
    </row>
    <row r="7" spans="1:8" ht="25.5">
      <c r="A7" s="14">
        <v>2</v>
      </c>
      <c r="B7" s="25">
        <v>3.9515000000000002E-3</v>
      </c>
      <c r="C7" s="13">
        <v>45.2</v>
      </c>
      <c r="D7" s="13">
        <v>0.84499999999999997</v>
      </c>
      <c r="E7" s="13">
        <f>C7*D7</f>
        <v>38.194000000000003</v>
      </c>
      <c r="F7" s="25">
        <f t="shared" ref="F7" si="0">AVERAGE(E7:E8)</f>
        <v>38.126399999999997</v>
      </c>
      <c r="G7" s="25">
        <f>(B1/B7)^(1/2)</f>
        <v>36.411485549119128</v>
      </c>
      <c r="H7" s="33">
        <f t="shared" ref="H7" si="1">(F7-G7)/G7*100</f>
        <v>4.7098173145598459</v>
      </c>
    </row>
    <row r="8" spans="1:8" ht="25.5">
      <c r="A8" s="14">
        <v>3</v>
      </c>
      <c r="B8" s="25"/>
      <c r="C8" s="13">
        <v>67.599999999999994</v>
      </c>
      <c r="D8" s="13">
        <v>0.56299999999999994</v>
      </c>
      <c r="E8" s="13">
        <f>C8*D8</f>
        <v>38.058799999999991</v>
      </c>
      <c r="F8" s="25"/>
      <c r="G8" s="25"/>
      <c r="H8" s="33"/>
    </row>
    <row r="9" spans="1:8" ht="25.5">
      <c r="A9" s="14">
        <v>2</v>
      </c>
      <c r="B9" s="25">
        <v>9.4629999999999992E-3</v>
      </c>
      <c r="C9" s="13">
        <v>34.4</v>
      </c>
      <c r="D9" s="13">
        <v>0.80200000000000005</v>
      </c>
      <c r="E9" s="13">
        <f>C9*D9</f>
        <v>27.588799999999999</v>
      </c>
      <c r="F9" s="25">
        <f t="shared" ref="F9" si="2">AVERAGE(E9:E10)</f>
        <v>26.052399999999999</v>
      </c>
      <c r="G9" s="25">
        <f>(B1/B9)^(1/2)</f>
        <v>23.529081342359845</v>
      </c>
      <c r="H9" s="33">
        <f t="shared" ref="H9" si="3">(F9-G9)/G9*100</f>
        <v>10.724254895142787</v>
      </c>
    </row>
    <row r="10" spans="1:8" ht="25.5">
      <c r="A10" s="14">
        <v>3</v>
      </c>
      <c r="B10" s="25"/>
      <c r="C10" s="13">
        <v>45.4</v>
      </c>
      <c r="D10" s="13">
        <v>0.54</v>
      </c>
      <c r="E10" s="13">
        <f>C10*D10</f>
        <v>24.516000000000002</v>
      </c>
      <c r="F10" s="25"/>
      <c r="G10" s="25"/>
      <c r="H10" s="33"/>
    </row>
    <row r="11" spans="1:8" ht="25.5">
      <c r="A11" s="14">
        <v>2</v>
      </c>
      <c r="B11" s="25">
        <v>1.125E-2</v>
      </c>
      <c r="C11" s="13">
        <v>28.5</v>
      </c>
      <c r="D11" s="13">
        <v>0.81399999999999995</v>
      </c>
      <c r="E11" s="13">
        <f>C11*D11</f>
        <v>23.198999999999998</v>
      </c>
      <c r="F11" s="25">
        <f>AVERAGE(E11:E12)</f>
        <v>24.772799999999997</v>
      </c>
      <c r="G11" s="25">
        <f>(B1/B11)^(1/2)</f>
        <v>21.57958706226275</v>
      </c>
      <c r="H11" s="33">
        <f>(F11-G11)/G11*100</f>
        <v>14.797377394312472</v>
      </c>
    </row>
    <row r="12" spans="1:8" ht="25.5">
      <c r="A12" s="14">
        <v>3</v>
      </c>
      <c r="B12" s="25"/>
      <c r="C12" s="13">
        <v>45.9</v>
      </c>
      <c r="D12" s="13">
        <v>0.57399999999999995</v>
      </c>
      <c r="E12" s="13">
        <f>C12*D12</f>
        <v>26.346599999999999</v>
      </c>
      <c r="F12" s="25"/>
      <c r="G12" s="25"/>
      <c r="H12" s="33"/>
    </row>
    <row r="13" spans="1:8" ht="25.5">
      <c r="A13" s="14">
        <v>2</v>
      </c>
      <c r="B13" s="25">
        <v>2.9366000000000001E-3</v>
      </c>
      <c r="C13" s="13">
        <v>48.4</v>
      </c>
      <c r="D13" s="13">
        <v>0.84199999999999997</v>
      </c>
      <c r="E13" s="13">
        <f>C13*D13</f>
        <v>40.752800000000001</v>
      </c>
      <c r="F13" s="25">
        <f t="shared" ref="F13" si="4">AVERAGE(E13:E14)</f>
        <v>39.512500000000003</v>
      </c>
      <c r="G13" s="25">
        <f>(B1/B13)^(1/2)</f>
        <v>42.237382240018256</v>
      </c>
      <c r="H13" s="33">
        <f t="shared" ref="H13" si="5">(F13-G13)/G13*100</f>
        <v>-6.4513520855384225</v>
      </c>
    </row>
    <row r="14" spans="1:8" ht="25.5">
      <c r="A14" s="14">
        <v>3</v>
      </c>
      <c r="B14" s="25"/>
      <c r="C14" s="13">
        <v>68.099999999999994</v>
      </c>
      <c r="D14" s="13">
        <v>0.56200000000000006</v>
      </c>
      <c r="E14" s="13">
        <f>C14*D14</f>
        <v>38.272199999999998</v>
      </c>
      <c r="F14" s="25"/>
      <c r="G14" s="25"/>
      <c r="H14" s="33"/>
    </row>
    <row r="15" spans="1:8" ht="25.5">
      <c r="A15" s="32"/>
      <c r="B15" s="25"/>
      <c r="C15" s="25"/>
      <c r="D15" s="25"/>
      <c r="E15" s="25"/>
      <c r="F15" s="25"/>
      <c r="G15" s="25"/>
      <c r="H15" s="33"/>
    </row>
    <row r="16" spans="1:8" ht="25.5">
      <c r="A16" s="14" t="s">
        <v>15</v>
      </c>
      <c r="B16" s="13" t="s">
        <v>28</v>
      </c>
      <c r="C16" s="13" t="s">
        <v>35</v>
      </c>
      <c r="D16" s="13" t="s">
        <v>17</v>
      </c>
      <c r="E16" s="13" t="s">
        <v>18</v>
      </c>
      <c r="F16" s="13" t="s">
        <v>19</v>
      </c>
      <c r="G16" s="13" t="s">
        <v>20</v>
      </c>
      <c r="H16" s="29"/>
    </row>
    <row r="17" spans="1:8" ht="25.5">
      <c r="A17" s="14">
        <f>LOG10(F5)</f>
        <v>1.5064854142982678</v>
      </c>
      <c r="B17" s="13">
        <f>LOG10(B5)</f>
        <v>-2.2710702466562909</v>
      </c>
      <c r="C17" s="13"/>
      <c r="D17" s="13">
        <f>E17*F17+G17</f>
        <v>1.7280754423047671</v>
      </c>
      <c r="E17" s="13">
        <f>SLOPE(B17:B21,A17:A21)</f>
        <v>-2.6446422574722424</v>
      </c>
      <c r="F17" s="13">
        <v>0</v>
      </c>
      <c r="G17" s="13">
        <f>INTERCEPT(B17:B21,A17:A21)</f>
        <v>1.7280754423047671</v>
      </c>
      <c r="H17" s="30"/>
    </row>
    <row r="18" spans="1:8" ht="25.5">
      <c r="A18" s="14">
        <f>LOG10(F7)</f>
        <v>1.5812257999249781</v>
      </c>
      <c r="B18" s="13">
        <f>LOG10(B7)</f>
        <v>-2.4032380137247564</v>
      </c>
      <c r="C18" s="13"/>
      <c r="D18" s="13" t="s">
        <v>21</v>
      </c>
      <c r="E18" s="13" t="s">
        <v>22</v>
      </c>
      <c r="F18" s="13" t="s">
        <v>29</v>
      </c>
      <c r="G18" s="13"/>
      <c r="H18" s="30"/>
    </row>
    <row r="19" spans="1:8" ht="25.5">
      <c r="A19" s="14">
        <f>LOG10(F9)</f>
        <v>1.4158477375681877</v>
      </c>
      <c r="B19" s="13">
        <f>LOG10(B9)</f>
        <v>-2.0239711599088741</v>
      </c>
      <c r="C19" s="13" t="s">
        <v>19</v>
      </c>
      <c r="D19" s="13">
        <f>10^F17</f>
        <v>1</v>
      </c>
      <c r="E19" s="13">
        <f>10^D17</f>
        <v>53.465722788138656</v>
      </c>
      <c r="F19" s="13">
        <f>10^G17</f>
        <v>53.465722788138656</v>
      </c>
      <c r="G19" s="13" t="s">
        <v>36</v>
      </c>
      <c r="H19" s="30"/>
    </row>
    <row r="20" spans="1:8" ht="25.5">
      <c r="A20" s="14">
        <f>LOG10(F11)</f>
        <v>1.3939750964455391</v>
      </c>
      <c r="B20" s="13">
        <f>LOG10(B11)</f>
        <v>-1.9488474775526188</v>
      </c>
      <c r="C20" s="13" t="s">
        <v>19</v>
      </c>
      <c r="D20" s="13" t="s">
        <v>24</v>
      </c>
      <c r="E20" s="13" t="s">
        <v>30</v>
      </c>
      <c r="F20" s="13"/>
      <c r="G20" s="13"/>
      <c r="H20" s="30"/>
    </row>
    <row r="21" spans="1:8" ht="26.25" thickBot="1">
      <c r="A21" s="16">
        <f>LOG10(F13)</f>
        <v>1.5967345088476361</v>
      </c>
      <c r="B21" s="17">
        <f>LOG10(B13)</f>
        <v>-2.5321552055451071</v>
      </c>
      <c r="C21" s="17" t="s">
        <v>19</v>
      </c>
      <c r="D21" s="17">
        <f>(-D17-E17)/E17*100%</f>
        <v>-0.34657497155911471</v>
      </c>
      <c r="E21" s="17">
        <f>(F19-B1)/B1*100</f>
        <v>920.55557611389497</v>
      </c>
      <c r="F21" s="17"/>
      <c r="G21" s="17"/>
      <c r="H21" s="31"/>
    </row>
  </sheetData>
  <mergeCells count="33">
    <mergeCell ref="A3:A4"/>
    <mergeCell ref="B3:B4"/>
    <mergeCell ref="C3:C4"/>
    <mergeCell ref="B13:B14"/>
    <mergeCell ref="H13:H14"/>
    <mergeCell ref="B7:B8"/>
    <mergeCell ref="H7:H8"/>
    <mergeCell ref="B9:B10"/>
    <mergeCell ref="H9:H10"/>
    <mergeCell ref="G3:G4"/>
    <mergeCell ref="F5:F6"/>
    <mergeCell ref="G5:G6"/>
    <mergeCell ref="B11:B12"/>
    <mergeCell ref="H11:H12"/>
    <mergeCell ref="H3:H4"/>
    <mergeCell ref="B5:B6"/>
    <mergeCell ref="H5:H6"/>
    <mergeCell ref="F13:F14"/>
    <mergeCell ref="G13:G14"/>
    <mergeCell ref="A1:A2"/>
    <mergeCell ref="B1:B2"/>
    <mergeCell ref="H16:H21"/>
    <mergeCell ref="F7:F8"/>
    <mergeCell ref="G7:G8"/>
    <mergeCell ref="F9:F10"/>
    <mergeCell ref="G9:G10"/>
    <mergeCell ref="F11:F12"/>
    <mergeCell ref="G11:G12"/>
    <mergeCell ref="A15:H15"/>
    <mergeCell ref="C1:H2"/>
    <mergeCell ref="D3:D4"/>
    <mergeCell ref="E3:E4"/>
    <mergeCell ref="F3:F4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6377-84A1-4AA2-9861-2713F20274F9}">
  <dimension ref="A1:I21"/>
  <sheetViews>
    <sheetView topLeftCell="A11" zoomScale="71" zoomScaleNormal="71" workbookViewId="0">
      <selection activeCell="J22" sqref="J22"/>
    </sheetView>
  </sheetViews>
  <sheetFormatPr defaultRowHeight="19.5"/>
  <cols>
    <col min="1" max="8" width="16.25" style="6" customWidth="1"/>
    <col min="9" max="9" width="18.875" style="6" customWidth="1"/>
  </cols>
  <sheetData>
    <row r="1" spans="1:9">
      <c r="A1" s="38" t="s">
        <v>6</v>
      </c>
      <c r="B1" s="40">
        <v>5.2388839999999997</v>
      </c>
      <c r="C1" s="28" t="s">
        <v>37</v>
      </c>
      <c r="D1" s="28"/>
      <c r="E1" s="28"/>
      <c r="F1" s="28"/>
      <c r="G1" s="28"/>
      <c r="H1" s="34"/>
      <c r="I1" s="10"/>
    </row>
    <row r="2" spans="1:9">
      <c r="A2" s="39"/>
      <c r="B2" s="41"/>
      <c r="C2" s="25"/>
      <c r="D2" s="25"/>
      <c r="E2" s="25"/>
      <c r="F2" s="25"/>
      <c r="G2" s="25"/>
      <c r="H2" s="33"/>
      <c r="I2" s="10"/>
    </row>
    <row r="3" spans="1:9" ht="16.5" customHeight="1">
      <c r="A3" s="32" t="s">
        <v>4</v>
      </c>
      <c r="B3" s="36" t="s">
        <v>32</v>
      </c>
      <c r="C3" s="37" t="s">
        <v>33</v>
      </c>
      <c r="D3" s="44" t="s">
        <v>34</v>
      </c>
      <c r="E3" s="42" t="s">
        <v>10</v>
      </c>
      <c r="F3" s="42" t="s">
        <v>11</v>
      </c>
      <c r="G3" s="42" t="s">
        <v>12</v>
      </c>
      <c r="H3" s="33" t="s">
        <v>13</v>
      </c>
      <c r="I3" s="7"/>
    </row>
    <row r="4" spans="1:9" ht="16.5" customHeight="1">
      <c r="A4" s="32"/>
      <c r="B4" s="25"/>
      <c r="C4" s="25"/>
      <c r="D4" s="45"/>
      <c r="E4" s="41"/>
      <c r="F4" s="41"/>
      <c r="G4" s="41"/>
      <c r="H4" s="33"/>
      <c r="I4" s="7"/>
    </row>
    <row r="5" spans="1:9" ht="25.5">
      <c r="A5" s="14">
        <v>2</v>
      </c>
      <c r="B5" s="25">
        <v>5.3571000000000001E-3</v>
      </c>
      <c r="C5" s="13">
        <v>37.4</v>
      </c>
      <c r="D5" s="13">
        <v>0.81399999999999995</v>
      </c>
      <c r="E5" s="13">
        <f>C5*D5</f>
        <v>30.443599999999996</v>
      </c>
      <c r="F5" s="42">
        <f>AVERAGE(E5:E6)</f>
        <v>30.93365</v>
      </c>
      <c r="G5" s="42">
        <f>(B1/B5)^(1/2)</f>
        <v>31.271917702565471</v>
      </c>
      <c r="H5" s="33">
        <f>(F5-G5)/G5*100</f>
        <v>-1.0816979815015315</v>
      </c>
      <c r="I5" s="7"/>
    </row>
    <row r="6" spans="1:9" ht="25.5">
      <c r="A6" s="14">
        <v>3</v>
      </c>
      <c r="B6" s="25"/>
      <c r="C6" s="13">
        <v>58.3</v>
      </c>
      <c r="D6" s="13">
        <v>0.53900000000000003</v>
      </c>
      <c r="E6" s="13">
        <f>C6*D6</f>
        <v>31.4237</v>
      </c>
      <c r="F6" s="41"/>
      <c r="G6" s="41"/>
      <c r="H6" s="33"/>
      <c r="I6" s="7"/>
    </row>
    <row r="7" spans="1:9" ht="25.5">
      <c r="A7" s="14">
        <v>2</v>
      </c>
      <c r="B7" s="25">
        <v>3.9515000000000002E-3</v>
      </c>
      <c r="C7" s="13">
        <v>45.2</v>
      </c>
      <c r="D7" s="13">
        <v>0.81499999999999995</v>
      </c>
      <c r="E7" s="13">
        <f>C7*D7</f>
        <v>36.838000000000001</v>
      </c>
      <c r="F7" s="42">
        <f t="shared" ref="F7" si="0">AVERAGE(E7:E8)</f>
        <v>36.840000000000003</v>
      </c>
      <c r="G7" s="42">
        <f>(B1/B7)^(1/2)</f>
        <v>36.411485549119128</v>
      </c>
      <c r="H7" s="33">
        <f t="shared" ref="H7" si="1">(F7-G7)/G7*100</f>
        <v>1.1768661575282591</v>
      </c>
      <c r="I7" s="7"/>
    </row>
    <row r="8" spans="1:9" ht="25.5">
      <c r="A8" s="14">
        <v>3</v>
      </c>
      <c r="B8" s="25"/>
      <c r="C8" s="13">
        <v>67.599999999999994</v>
      </c>
      <c r="D8" s="13">
        <v>0.54500000000000004</v>
      </c>
      <c r="E8" s="13">
        <f>C8*D8</f>
        <v>36.841999999999999</v>
      </c>
      <c r="F8" s="41"/>
      <c r="G8" s="41"/>
      <c r="H8" s="33"/>
      <c r="I8" s="7"/>
    </row>
    <row r="9" spans="1:9" ht="25.5">
      <c r="A9" s="14">
        <v>2</v>
      </c>
      <c r="B9" s="25">
        <v>9.4629999999999992E-3</v>
      </c>
      <c r="C9" s="13">
        <v>34.4</v>
      </c>
      <c r="D9" s="13">
        <v>0.68899999999999995</v>
      </c>
      <c r="E9" s="13">
        <f>C9*D9</f>
        <v>23.701599999999996</v>
      </c>
      <c r="F9" s="42">
        <f t="shared" ref="F9" si="2">AVERAGE(E9:E10)</f>
        <v>23.632099999999998</v>
      </c>
      <c r="G9" s="42">
        <f>(B1/B9)^(1/2)</f>
        <v>23.529081342359845</v>
      </c>
      <c r="H9" s="33">
        <f t="shared" ref="H9" si="3">(F9-G9)/G9*100</f>
        <v>0.43783544347176101</v>
      </c>
      <c r="I9" s="7"/>
    </row>
    <row r="10" spans="1:9" ht="25.5">
      <c r="A10" s="14">
        <v>3</v>
      </c>
      <c r="B10" s="25"/>
      <c r="C10" s="13">
        <v>45.4</v>
      </c>
      <c r="D10" s="13">
        <v>0.51900000000000002</v>
      </c>
      <c r="E10" s="13">
        <f>C10*D10</f>
        <v>23.5626</v>
      </c>
      <c r="F10" s="41"/>
      <c r="G10" s="41"/>
      <c r="H10" s="33"/>
      <c r="I10" s="7"/>
    </row>
    <row r="11" spans="1:9" ht="25.5">
      <c r="A11" s="14">
        <v>2</v>
      </c>
      <c r="B11" s="25">
        <v>1.125E-2</v>
      </c>
      <c r="C11" s="13">
        <v>28.5</v>
      </c>
      <c r="D11" s="13">
        <v>0.63</v>
      </c>
      <c r="E11" s="13">
        <f>C11*D11</f>
        <v>17.955000000000002</v>
      </c>
      <c r="F11" s="42">
        <f>AVERAGE(E11:E12)</f>
        <v>20.682000000000002</v>
      </c>
      <c r="G11" s="42">
        <f>(B1/B11)^(1/2)</f>
        <v>21.57958706226275</v>
      </c>
      <c r="H11" s="33">
        <f>(F11-G11)/G11*100</f>
        <v>-4.1594264972400739</v>
      </c>
      <c r="I11" s="7"/>
    </row>
    <row r="12" spans="1:9" ht="25.5">
      <c r="A12" s="14">
        <v>3</v>
      </c>
      <c r="B12" s="25"/>
      <c r="C12" s="13">
        <v>45.9</v>
      </c>
      <c r="D12" s="13">
        <v>0.51</v>
      </c>
      <c r="E12" s="13">
        <f>C12*D12</f>
        <v>23.408999999999999</v>
      </c>
      <c r="F12" s="41"/>
      <c r="G12" s="41"/>
      <c r="H12" s="33"/>
      <c r="I12" s="7"/>
    </row>
    <row r="13" spans="1:9" ht="25.5">
      <c r="A13" s="14">
        <v>2</v>
      </c>
      <c r="B13" s="25">
        <v>2.9366000000000001E-3</v>
      </c>
      <c r="C13" s="13">
        <v>50.1</v>
      </c>
      <c r="D13" s="13">
        <v>0.81699999999999995</v>
      </c>
      <c r="E13" s="13">
        <f>C13*D13</f>
        <v>40.931699999999999</v>
      </c>
      <c r="F13" s="42">
        <f>AVERAGE(E13:E14)</f>
        <v>39.784350000000003</v>
      </c>
      <c r="G13" s="42">
        <f>(B1/B13)^(1/2)</f>
        <v>42.237382240018256</v>
      </c>
      <c r="H13" s="33">
        <f t="shared" ref="H13" si="4">(F13-G13)/G13*100</f>
        <v>-5.8077279176030494</v>
      </c>
      <c r="I13" s="7"/>
    </row>
    <row r="14" spans="1:9" ht="25.5">
      <c r="A14" s="14">
        <v>3</v>
      </c>
      <c r="B14" s="25"/>
      <c r="C14" s="13">
        <v>72.900000000000006</v>
      </c>
      <c r="D14" s="13">
        <v>0.53</v>
      </c>
      <c r="E14" s="13">
        <f>C14*D14</f>
        <v>38.637000000000008</v>
      </c>
      <c r="F14" s="41"/>
      <c r="G14" s="41"/>
      <c r="H14" s="33"/>
      <c r="I14" s="7"/>
    </row>
    <row r="15" spans="1:9" ht="26.25" thickBot="1">
      <c r="A15" s="32"/>
      <c r="B15" s="25"/>
      <c r="C15" s="25"/>
      <c r="D15" s="42"/>
      <c r="E15" s="42"/>
      <c r="F15" s="42"/>
      <c r="G15" s="42"/>
      <c r="H15" s="29"/>
      <c r="I15" s="7"/>
    </row>
    <row r="16" spans="1:9" ht="25.5">
      <c r="A16" s="14" t="s">
        <v>15</v>
      </c>
      <c r="B16" s="13" t="s">
        <v>28</v>
      </c>
      <c r="C16" s="15"/>
      <c r="D16" s="11" t="s">
        <v>17</v>
      </c>
      <c r="E16" s="12" t="s">
        <v>18</v>
      </c>
      <c r="F16" s="12" t="s">
        <v>19</v>
      </c>
      <c r="G16" s="12" t="s">
        <v>20</v>
      </c>
      <c r="H16" s="34"/>
      <c r="I16" s="7"/>
    </row>
    <row r="17" spans="1:8" ht="25.5">
      <c r="A17" s="14">
        <f>LOG10(F5)</f>
        <v>1.4904311673790058</v>
      </c>
      <c r="B17" s="13">
        <f>LOG10(B5)</f>
        <v>-2.2710702466562909</v>
      </c>
      <c r="C17" s="15"/>
      <c r="D17" s="14">
        <f>E17*F17+G17</f>
        <v>0.71956545387754822</v>
      </c>
      <c r="E17" s="13">
        <f>SLOPE(B17:B21,A17:A21)</f>
        <v>-2.0117068796210242</v>
      </c>
      <c r="F17" s="13">
        <v>0</v>
      </c>
      <c r="G17" s="13">
        <f>INTERCEPT(B17:B21,A17:A21)</f>
        <v>0.71956545387754822</v>
      </c>
      <c r="H17" s="33"/>
    </row>
    <row r="18" spans="1:8" ht="25.5">
      <c r="A18" s="14">
        <f>LOG10(F7)</f>
        <v>1.5663196215248114</v>
      </c>
      <c r="B18" s="13">
        <f>LOG10(B7)</f>
        <v>-2.4032380137247564</v>
      </c>
      <c r="C18" s="15"/>
      <c r="D18" s="14" t="s">
        <v>21</v>
      </c>
      <c r="E18" s="13" t="s">
        <v>22</v>
      </c>
      <c r="F18" s="13" t="s">
        <v>29</v>
      </c>
      <c r="G18" s="13"/>
      <c r="H18" s="33"/>
    </row>
    <row r="19" spans="1:8" ht="25.5">
      <c r="A19" s="14">
        <f>LOG10(F9)</f>
        <v>1.373502315702992</v>
      </c>
      <c r="B19" s="13">
        <f>LOG10(B9)</f>
        <v>-2.0239711599088741</v>
      </c>
      <c r="C19" s="15"/>
      <c r="D19" s="14">
        <f>10^F17</f>
        <v>1</v>
      </c>
      <c r="E19" s="13">
        <f>10^D17</f>
        <v>5.2428261132390865</v>
      </c>
      <c r="F19" s="13">
        <f>10^G17</f>
        <v>5.2428261132390865</v>
      </c>
      <c r="G19" s="13"/>
      <c r="H19" s="33"/>
    </row>
    <row r="20" spans="1:8" ht="25.5">
      <c r="A20" s="14">
        <f>LOG10(F11)</f>
        <v>1.3155925337915912</v>
      </c>
      <c r="B20" s="13">
        <f>LOG10(B11)</f>
        <v>-1.9488474775526188</v>
      </c>
      <c r="C20" s="15"/>
      <c r="D20" s="14" t="s">
        <v>24</v>
      </c>
      <c r="E20" s="13" t="s">
        <v>30</v>
      </c>
      <c r="F20" s="13"/>
      <c r="G20" s="13"/>
      <c r="H20" s="33"/>
    </row>
    <row r="21" spans="1:8" ht="26.25" thickBot="1">
      <c r="A21" s="16">
        <f>LOG10(F13)</f>
        <v>1.5997122669159052</v>
      </c>
      <c r="B21" s="17">
        <f>LOG10(B13)</f>
        <v>-2.5321552055451071</v>
      </c>
      <c r="C21" s="18"/>
      <c r="D21" s="16">
        <f>(-D17-E17)/E17*100</f>
        <v>-64.23109841861735</v>
      </c>
      <c r="E21" s="17">
        <f>(F19-B1)/B1*100</f>
        <v>7.5247194614098845E-2</v>
      </c>
      <c r="F21" s="17"/>
      <c r="G21" s="17"/>
      <c r="H21" s="43"/>
    </row>
  </sheetData>
  <mergeCells count="33">
    <mergeCell ref="H3:H4"/>
    <mergeCell ref="B5:B6"/>
    <mergeCell ref="H5:H6"/>
    <mergeCell ref="G5:G6"/>
    <mergeCell ref="F5:F6"/>
    <mergeCell ref="B3:B4"/>
    <mergeCell ref="C3:C4"/>
    <mergeCell ref="A15:H15"/>
    <mergeCell ref="C1:H2"/>
    <mergeCell ref="H16:H21"/>
    <mergeCell ref="D3:D4"/>
    <mergeCell ref="E3:E4"/>
    <mergeCell ref="F3:F4"/>
    <mergeCell ref="G3:G4"/>
    <mergeCell ref="G13:G14"/>
    <mergeCell ref="B11:B12"/>
    <mergeCell ref="H11:H12"/>
    <mergeCell ref="B13:B14"/>
    <mergeCell ref="H13:H14"/>
    <mergeCell ref="B7:B8"/>
    <mergeCell ref="H7:H8"/>
    <mergeCell ref="B9:B10"/>
    <mergeCell ref="H9:H10"/>
    <mergeCell ref="A1:A2"/>
    <mergeCell ref="B1:B2"/>
    <mergeCell ref="F13:F14"/>
    <mergeCell ref="G11:G12"/>
    <mergeCell ref="F11:F12"/>
    <mergeCell ref="G9:G10"/>
    <mergeCell ref="F9:F10"/>
    <mergeCell ref="G7:G8"/>
    <mergeCell ref="F7:F8"/>
    <mergeCell ref="A3:A4"/>
  </mergeCells>
  <phoneticPr fontId="1" type="noConversion"/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6E93-F8DE-473F-9236-5AF3BD48714D}">
  <dimension ref="A1:J27"/>
  <sheetViews>
    <sheetView workbookViewId="0">
      <selection activeCell="B6" sqref="B6:B7"/>
    </sheetView>
  </sheetViews>
  <sheetFormatPr defaultRowHeight="19.5"/>
  <cols>
    <col min="1" max="1" width="15.5" style="6" customWidth="1"/>
    <col min="2" max="2" width="12.375" style="6" customWidth="1"/>
    <col min="3" max="3" width="19.625" style="6" customWidth="1"/>
    <col min="4" max="5" width="15.5" style="6" customWidth="1"/>
    <col min="6" max="9" width="15.625" style="6" customWidth="1"/>
    <col min="10" max="10" width="18.875" style="6" customWidth="1"/>
  </cols>
  <sheetData>
    <row r="1" spans="1:10">
      <c r="A1" s="7"/>
      <c r="B1" s="7" t="s">
        <v>0</v>
      </c>
      <c r="C1" s="7"/>
      <c r="D1" s="7"/>
      <c r="E1" s="7"/>
      <c r="F1" s="7"/>
      <c r="G1" s="7"/>
      <c r="H1" s="7"/>
      <c r="I1" s="7"/>
      <c r="J1" s="7"/>
    </row>
    <row r="2" spans="1:10">
      <c r="A2" s="9" t="s">
        <v>6</v>
      </c>
      <c r="B2" s="7">
        <f>0.28475*9.8</f>
        <v>2.7905500000000001</v>
      </c>
      <c r="C2" s="7"/>
      <c r="D2" s="7"/>
      <c r="E2" s="7"/>
      <c r="F2" s="7"/>
      <c r="G2" s="7"/>
      <c r="H2" s="7"/>
      <c r="I2" s="7"/>
      <c r="J2" s="7"/>
    </row>
    <row r="3" spans="1:10">
      <c r="A3" s="7"/>
      <c r="B3" s="2" t="s">
        <v>0</v>
      </c>
      <c r="C3" s="2" t="s">
        <v>3</v>
      </c>
      <c r="D3" s="2" t="s">
        <v>0</v>
      </c>
      <c r="E3" s="2" t="s">
        <v>0</v>
      </c>
      <c r="F3" s="19" t="s">
        <v>3</v>
      </c>
      <c r="G3" s="19"/>
      <c r="H3" s="19"/>
      <c r="I3" s="19"/>
      <c r="J3" s="19"/>
    </row>
    <row r="4" spans="1:10" ht="16.5">
      <c r="A4" s="19" t="s">
        <v>4</v>
      </c>
      <c r="B4" s="23" t="s">
        <v>26</v>
      </c>
      <c r="C4" s="19"/>
      <c r="D4" s="22" t="s">
        <v>7</v>
      </c>
      <c r="E4" s="24" t="s">
        <v>27</v>
      </c>
      <c r="F4" s="20" t="s">
        <v>9</v>
      </c>
      <c r="G4" s="19" t="s">
        <v>10</v>
      </c>
      <c r="H4" s="19" t="s">
        <v>11</v>
      </c>
      <c r="I4" s="19" t="s">
        <v>12</v>
      </c>
      <c r="J4" s="19" t="s">
        <v>13</v>
      </c>
    </row>
    <row r="5" spans="1:10" ht="16.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7">
        <v>2</v>
      </c>
      <c r="B6" s="19">
        <v>5.3571000000000001E-3</v>
      </c>
      <c r="C6" s="7">
        <v>37.4</v>
      </c>
      <c r="D6" s="7"/>
      <c r="E6" s="7">
        <v>0.81399999999999995</v>
      </c>
      <c r="F6" s="7">
        <v>0.84499999999999997</v>
      </c>
      <c r="G6" s="7">
        <f>D6*F6</f>
        <v>0</v>
      </c>
      <c r="H6" s="19">
        <f>AVERAGE(G6:G7)</f>
        <v>0.2277275</v>
      </c>
      <c r="I6" s="19">
        <f>(B2/B6)^(1/2)</f>
        <v>22.823383489775086</v>
      </c>
      <c r="J6" s="19">
        <f>(H6-I6)/I6*100</f>
        <v>-99.002218491828685</v>
      </c>
    </row>
    <row r="7" spans="1:10">
      <c r="A7" s="7">
        <v>3</v>
      </c>
      <c r="B7" s="19"/>
      <c r="C7" s="7">
        <v>58.3</v>
      </c>
      <c r="D7" s="7">
        <f>E7/2*3</f>
        <v>0.8085</v>
      </c>
      <c r="E7" s="7">
        <v>0.53900000000000003</v>
      </c>
      <c r="F7" s="7">
        <f>0.845/3*2</f>
        <v>0.56333333333333335</v>
      </c>
      <c r="G7" s="7">
        <f>D7*F7</f>
        <v>0.455455</v>
      </c>
      <c r="H7" s="19"/>
      <c r="I7" s="19"/>
      <c r="J7" s="19"/>
    </row>
    <row r="8" spans="1:10">
      <c r="A8" s="7">
        <v>2</v>
      </c>
      <c r="B8" s="19">
        <v>3.9515000000000002E-3</v>
      </c>
      <c r="C8" s="7">
        <v>45.2</v>
      </c>
      <c r="D8" s="7"/>
      <c r="E8" s="7">
        <v>0.81499999999999995</v>
      </c>
      <c r="F8" s="7">
        <v>0.84299999999999997</v>
      </c>
      <c r="G8" s="7">
        <f t="shared" ref="G8:G11" si="0">D8*F8</f>
        <v>0</v>
      </c>
      <c r="H8" s="19">
        <f t="shared" ref="H8" si="1">AVERAGE(G8:G9)</f>
        <v>0.22971750000000002</v>
      </c>
      <c r="I8" s="19">
        <f>(B2/B8)^(1/2)</f>
        <v>26.574427127370374</v>
      </c>
      <c r="J8" s="19">
        <f>(H8-I8)/I8*100</f>
        <v>-99.135569324226751</v>
      </c>
    </row>
    <row r="9" spans="1:10">
      <c r="A9" s="7">
        <v>3</v>
      </c>
      <c r="B9" s="19"/>
      <c r="C9" s="7">
        <v>67.599999999999994</v>
      </c>
      <c r="D9" s="7">
        <f t="shared" ref="D9" si="2">E9/2*3</f>
        <v>0.81750000000000012</v>
      </c>
      <c r="E9" s="7">
        <v>0.54500000000000004</v>
      </c>
      <c r="F9" s="7">
        <f>0.843/3*2</f>
        <v>0.56199999999999994</v>
      </c>
      <c r="G9" s="7">
        <f t="shared" si="0"/>
        <v>0.45943500000000004</v>
      </c>
      <c r="H9" s="19"/>
      <c r="I9" s="19"/>
      <c r="J9" s="19"/>
    </row>
    <row r="10" spans="1:10">
      <c r="A10" s="7">
        <v>2</v>
      </c>
      <c r="B10" s="19">
        <v>9.4629999999999992E-3</v>
      </c>
      <c r="C10" s="7">
        <v>34.4</v>
      </c>
      <c r="D10" s="7"/>
      <c r="E10" s="7">
        <v>0.68899999999999995</v>
      </c>
      <c r="F10" s="7">
        <f>0.41*2</f>
        <v>0.82</v>
      </c>
      <c r="G10" s="7">
        <f t="shared" si="0"/>
        <v>0</v>
      </c>
      <c r="H10" s="19">
        <f>AVERAGE(G10:G11)</f>
        <v>0.20863800000000002</v>
      </c>
      <c r="I10" s="19">
        <f>(B2/B10)^(1/2)</f>
        <v>17.172379760859229</v>
      </c>
      <c r="J10" s="19">
        <f>(H10-I10)/I10*100</f>
        <v>-98.785037351226379</v>
      </c>
    </row>
    <row r="11" spans="1:10">
      <c r="A11" s="7">
        <v>3</v>
      </c>
      <c r="B11" s="19"/>
      <c r="C11" s="7">
        <v>45.4</v>
      </c>
      <c r="D11" s="7">
        <f t="shared" ref="D11" si="3">E11/2*3</f>
        <v>0.77849999999999997</v>
      </c>
      <c r="E11" s="7">
        <v>0.51900000000000002</v>
      </c>
      <c r="F11" s="7">
        <f>0.268*2</f>
        <v>0.53600000000000003</v>
      </c>
      <c r="G11" s="7">
        <f t="shared" si="0"/>
        <v>0.41727600000000004</v>
      </c>
      <c r="H11" s="19"/>
      <c r="I11" s="19"/>
      <c r="J11" s="19"/>
    </row>
    <row r="12" spans="1:10">
      <c r="A12" s="7">
        <v>2</v>
      </c>
      <c r="B12" s="19">
        <v>1.125E-2</v>
      </c>
      <c r="C12" s="7">
        <v>28.5</v>
      </c>
      <c r="D12" s="7"/>
      <c r="E12" s="7">
        <v>0.63</v>
      </c>
      <c r="F12" s="7">
        <f>0.842</f>
        <v>0.84199999999999997</v>
      </c>
      <c r="G12" s="7">
        <f>D12*F12</f>
        <v>0</v>
      </c>
      <c r="H12" s="19">
        <f>AVERAGE(G12:G13)</f>
        <v>0.21496499999999999</v>
      </c>
      <c r="I12" s="19">
        <f>(B2/B12)^(1/2)</f>
        <v>15.749567895307125</v>
      </c>
      <c r="J12" s="19">
        <f>(H12-I12)/I12*100</f>
        <v>-98.635105410961458</v>
      </c>
    </row>
    <row r="13" spans="1:10">
      <c r="A13" s="7">
        <v>3</v>
      </c>
      <c r="B13" s="19"/>
      <c r="C13" s="7">
        <v>45.9</v>
      </c>
      <c r="D13" s="7">
        <f t="shared" ref="D13" si="4">E13/2*3</f>
        <v>0.76500000000000001</v>
      </c>
      <c r="E13" s="7">
        <v>0.51</v>
      </c>
      <c r="F13" s="7">
        <f>0.843/3*2</f>
        <v>0.56199999999999994</v>
      </c>
      <c r="G13" s="7">
        <f>D13*F13</f>
        <v>0.42992999999999998</v>
      </c>
      <c r="H13" s="19"/>
      <c r="I13" s="19"/>
      <c r="J13" s="19"/>
    </row>
    <row r="14" spans="1:10">
      <c r="A14" s="7">
        <v>2</v>
      </c>
      <c r="B14" s="19">
        <v>2.9366000000000001E-3</v>
      </c>
      <c r="C14" s="7">
        <v>50.1</v>
      </c>
      <c r="D14" s="7"/>
      <c r="E14" s="7">
        <v>0.81699999999999995</v>
      </c>
      <c r="F14" s="7">
        <v>0.84199999999999997</v>
      </c>
      <c r="G14" s="7">
        <f t="shared" ref="G14:G17" si="5">D14*F14</f>
        <v>0</v>
      </c>
      <c r="H14" s="19">
        <f t="shared" ref="H14" si="6">AVERAGE(G14:G15)</f>
        <v>0.22313000000000002</v>
      </c>
      <c r="I14" s="19">
        <f>(B2/B14)^(1/2)</f>
        <v>30.826378530315331</v>
      </c>
      <c r="J14" s="19">
        <f>(H14-I14)/I14*100</f>
        <v>-99.276171867608227</v>
      </c>
    </row>
    <row r="15" spans="1:10">
      <c r="A15" s="7">
        <v>3</v>
      </c>
      <c r="B15" s="19"/>
      <c r="C15" s="7">
        <v>72.099999999999994</v>
      </c>
      <c r="D15" s="7">
        <f t="shared" ref="D15" si="7">E15/2*3</f>
        <v>0.79500000000000004</v>
      </c>
      <c r="E15" s="7">
        <v>0.53</v>
      </c>
      <c r="F15" s="7">
        <f>0.842/3*2</f>
        <v>0.56133333333333335</v>
      </c>
      <c r="G15" s="7">
        <f t="shared" si="5"/>
        <v>0.44626000000000005</v>
      </c>
      <c r="H15" s="19"/>
      <c r="I15" s="19"/>
      <c r="J15" s="19"/>
    </row>
    <row r="16" spans="1:10">
      <c r="A16" s="7">
        <v>2</v>
      </c>
      <c r="B16" s="19"/>
      <c r="C16" s="19"/>
      <c r="D16" s="7"/>
      <c r="E16" s="7">
        <v>0.875</v>
      </c>
      <c r="F16" s="7">
        <f t="shared" ref="F16:F17" si="8">2*E16/A16</f>
        <v>0.875</v>
      </c>
      <c r="G16" s="7">
        <f t="shared" si="5"/>
        <v>0</v>
      </c>
      <c r="H16" s="19">
        <f t="shared" ref="H16" si="9">AVERAGE(G16:G17)</f>
        <v>0</v>
      </c>
      <c r="I16" s="19" t="e">
        <f>(B2/B16)^(1/2)</f>
        <v>#DIV/0!</v>
      </c>
      <c r="J16" s="19" t="e">
        <f>(H16-I16)/I16*100</f>
        <v>#DIV/0!</v>
      </c>
    </row>
    <row r="17" spans="1:10">
      <c r="A17" s="7">
        <v>3</v>
      </c>
      <c r="B17" s="19"/>
      <c r="C17" s="19"/>
      <c r="D17" s="7"/>
      <c r="E17" s="7">
        <v>0.875</v>
      </c>
      <c r="F17" s="7">
        <f t="shared" si="8"/>
        <v>0.58333333333333337</v>
      </c>
      <c r="G17" s="7">
        <f t="shared" si="5"/>
        <v>0</v>
      </c>
      <c r="H17" s="19"/>
      <c r="I17" s="19"/>
      <c r="J17" s="19"/>
    </row>
    <row r="19" spans="1:10">
      <c r="A19" s="19" t="s">
        <v>14</v>
      </c>
      <c r="B19" s="19"/>
      <c r="C19" s="19"/>
      <c r="D19" s="19"/>
      <c r="E19" s="19"/>
      <c r="F19" s="19"/>
      <c r="G19" s="19"/>
      <c r="H19" s="7"/>
      <c r="I19" s="7"/>
      <c r="J19" s="7"/>
    </row>
    <row r="20" spans="1:10">
      <c r="A20" s="7" t="s">
        <v>15</v>
      </c>
      <c r="B20" s="7" t="s">
        <v>28</v>
      </c>
      <c r="C20" s="7"/>
      <c r="D20" s="7" t="s">
        <v>17</v>
      </c>
      <c r="E20" s="7" t="s">
        <v>18</v>
      </c>
      <c r="F20" s="7" t="s">
        <v>19</v>
      </c>
      <c r="G20" s="7" t="s">
        <v>38</v>
      </c>
      <c r="H20" s="7"/>
      <c r="I20" s="7"/>
      <c r="J20" s="7"/>
    </row>
    <row r="21" spans="1:10">
      <c r="A21" s="7">
        <f>LOG10(27.635725)</f>
        <v>1.4414708624176764</v>
      </c>
      <c r="B21" s="7">
        <f>LOG10(0.0039515)</f>
        <v>-2.4032380137247564</v>
      </c>
      <c r="C21" s="7"/>
      <c r="D21" s="7">
        <f>E21*F21+G21</f>
        <v>0.82502327529951947</v>
      </c>
      <c r="E21" s="7">
        <f>SLOPE(B22:B23,A22:A23)</f>
        <v>-2.4722614436130814</v>
      </c>
      <c r="F21" s="7">
        <v>0</v>
      </c>
      <c r="G21" s="7">
        <f>INTERCEPT(B21:B23,A21:A23)</f>
        <v>0.82502327529951947</v>
      </c>
      <c r="H21" s="7"/>
      <c r="I21" s="7"/>
      <c r="J21" s="7"/>
    </row>
    <row r="22" spans="1:10">
      <c r="A22" s="7">
        <f>LOG10(18.625)</f>
        <v>1.2700962814203305</v>
      </c>
      <c r="B22" s="7">
        <f>LOG10(0.0094682)</f>
        <v>-2.0237325768964194</v>
      </c>
      <c r="C22" s="7"/>
      <c r="D22" s="7" t="s">
        <v>21</v>
      </c>
      <c r="E22" s="7" t="s">
        <v>22</v>
      </c>
      <c r="F22" s="19" t="s">
        <v>23</v>
      </c>
      <c r="G22" s="19"/>
      <c r="H22" s="7"/>
      <c r="I22" s="7"/>
      <c r="J22" s="7"/>
    </row>
    <row r="23" spans="1:10">
      <c r="A23" s="7">
        <f>LOG10(17.37244)</f>
        <v>1.2398608204111281</v>
      </c>
      <c r="B23" s="7">
        <f>LOG10(0.0112465)</f>
        <v>-1.9489826124135017</v>
      </c>
      <c r="C23" s="7"/>
      <c r="D23" s="7">
        <f>10^D21</f>
        <v>6.6837973732310321</v>
      </c>
      <c r="E23" s="7">
        <f>10^F21</f>
        <v>1</v>
      </c>
      <c r="F23" s="19">
        <f>1/(E23^2/D23)</f>
        <v>6.683797373231033</v>
      </c>
      <c r="G23" s="19"/>
      <c r="H23" s="7"/>
      <c r="I23" s="7"/>
      <c r="J23" s="7"/>
    </row>
    <row r="24" spans="1:10">
      <c r="A24" s="7">
        <f>LOG10(24.98494667)</f>
        <v>1.3976784267844315</v>
      </c>
      <c r="B24" s="7">
        <f>LOG10(0.0039515)</f>
        <v>-2.4032380137247564</v>
      </c>
      <c r="C24" s="7"/>
      <c r="D24" s="7" t="s">
        <v>24</v>
      </c>
      <c r="E24" s="7" t="s">
        <v>25</v>
      </c>
      <c r="F24" s="7"/>
      <c r="G24" s="7"/>
      <c r="H24" s="7"/>
      <c r="I24" s="7"/>
      <c r="J24" s="7"/>
    </row>
    <row r="25" spans="1:10">
      <c r="A25" s="7"/>
      <c r="B25" s="7"/>
      <c r="C25" s="7"/>
      <c r="D25" s="7">
        <f>(-D21-E21)/E21*100%</f>
        <v>-0.66628801438823926</v>
      </c>
      <c r="E25" s="7">
        <f>(F23-B2)/B2*100%</f>
        <v>1.3951541356474648</v>
      </c>
      <c r="F25" s="7"/>
      <c r="G25" s="7"/>
      <c r="H25" s="7"/>
      <c r="I25" s="7"/>
      <c r="J25" s="7"/>
    </row>
    <row r="26" spans="1:10">
      <c r="A26" s="7" t="e">
        <f>LOG10(H16)</f>
        <v>#NUM!</v>
      </c>
      <c r="B26" s="7" t="e">
        <f>-2*LOG10(I16)+LOG10(B2)</f>
        <v>#DIV/0!</v>
      </c>
      <c r="C26" s="7"/>
      <c r="D26" s="7"/>
      <c r="E26" s="7"/>
      <c r="F26" s="7"/>
      <c r="G26" s="7"/>
      <c r="H26" s="7"/>
      <c r="I26" s="7"/>
      <c r="J26" s="7"/>
    </row>
    <row r="27" spans="1:10">
      <c r="A27" s="7"/>
      <c r="B27" s="7">
        <f>LOG10(H6)</f>
        <v>-0.64258452152755019</v>
      </c>
      <c r="C27" s="7">
        <f>(-2)*LOG10(I6)+LOG10(B2)</f>
        <v>-2.2710702466562909</v>
      </c>
      <c r="D27" s="7"/>
      <c r="E27" s="7"/>
      <c r="F27" s="7"/>
      <c r="G27" s="7"/>
      <c r="H27" s="7"/>
      <c r="I27" s="7"/>
      <c r="J27" s="7"/>
    </row>
  </sheetData>
  <mergeCells count="39">
    <mergeCell ref="F3:J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B6:B7"/>
    <mergeCell ref="H6:H7"/>
    <mergeCell ref="I6:I7"/>
    <mergeCell ref="J6:J7"/>
    <mergeCell ref="B8:B9"/>
    <mergeCell ref="H8:H9"/>
    <mergeCell ref="I8:I9"/>
    <mergeCell ref="J8:J9"/>
    <mergeCell ref="B10:B11"/>
    <mergeCell ref="H10:H11"/>
    <mergeCell ref="I10:I11"/>
    <mergeCell ref="J10:J11"/>
    <mergeCell ref="I16:I17"/>
    <mergeCell ref="J16:J17"/>
    <mergeCell ref="A19:G19"/>
    <mergeCell ref="B12:B13"/>
    <mergeCell ref="H12:H13"/>
    <mergeCell ref="I12:I13"/>
    <mergeCell ref="J12:J13"/>
    <mergeCell ref="B14:B15"/>
    <mergeCell ref="H14:H15"/>
    <mergeCell ref="I14:I15"/>
    <mergeCell ref="J14:J15"/>
    <mergeCell ref="F22:G22"/>
    <mergeCell ref="F23:G23"/>
    <mergeCell ref="B16:B17"/>
    <mergeCell ref="C16:C17"/>
    <mergeCell ref="H16:H17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B233-3F82-4AD2-8FB0-A9741D5A35CF}">
  <dimension ref="A1:J27"/>
  <sheetViews>
    <sheetView topLeftCell="B1" workbookViewId="0">
      <selection activeCell="B10" sqref="B10:B11"/>
    </sheetView>
  </sheetViews>
  <sheetFormatPr defaultRowHeight="19.5"/>
  <cols>
    <col min="1" max="1" width="15.5" style="5" customWidth="1"/>
    <col min="2" max="2" width="12.375" style="5" customWidth="1"/>
    <col min="3" max="3" width="19.625" style="5" customWidth="1"/>
    <col min="4" max="5" width="15.5" style="5" customWidth="1"/>
    <col min="6" max="9" width="15.625" style="5" customWidth="1"/>
    <col min="10" max="10" width="18.875" style="5" customWidth="1"/>
  </cols>
  <sheetData>
    <row r="1" spans="1:10">
      <c r="A1" s="7"/>
      <c r="B1" s="7" t="s">
        <v>0</v>
      </c>
      <c r="C1" s="7"/>
      <c r="D1" s="7"/>
      <c r="E1" s="7"/>
      <c r="F1" s="7"/>
      <c r="G1" s="7"/>
      <c r="H1" s="7"/>
      <c r="I1" s="7"/>
      <c r="J1" s="7"/>
    </row>
    <row r="2" spans="1:10">
      <c r="A2" s="9" t="s">
        <v>6</v>
      </c>
      <c r="B2" s="7">
        <f>0.28475*9.8</f>
        <v>2.7905500000000001</v>
      </c>
      <c r="C2" s="7"/>
      <c r="D2" s="7"/>
      <c r="E2" s="7"/>
      <c r="F2" s="7"/>
      <c r="G2" s="7"/>
      <c r="H2" s="7"/>
      <c r="I2" s="7"/>
      <c r="J2" s="7"/>
    </row>
    <row r="3" spans="1:10">
      <c r="A3" s="7"/>
      <c r="B3" s="2" t="s">
        <v>0</v>
      </c>
      <c r="C3" s="2" t="s">
        <v>3</v>
      </c>
      <c r="D3" s="2" t="s">
        <v>0</v>
      </c>
      <c r="E3" s="2" t="s">
        <v>0</v>
      </c>
      <c r="F3" s="19" t="s">
        <v>3</v>
      </c>
      <c r="G3" s="19"/>
      <c r="H3" s="19"/>
      <c r="I3" s="19"/>
      <c r="J3" s="19"/>
    </row>
    <row r="4" spans="1:10" ht="16.5">
      <c r="A4" s="19" t="s">
        <v>4</v>
      </c>
      <c r="B4" s="23" t="s">
        <v>26</v>
      </c>
      <c r="C4" s="19"/>
      <c r="D4" s="22" t="s">
        <v>7</v>
      </c>
      <c r="E4" s="24" t="s">
        <v>27</v>
      </c>
      <c r="F4" s="20" t="s">
        <v>9</v>
      </c>
      <c r="G4" s="19" t="s">
        <v>10</v>
      </c>
      <c r="H4" s="19" t="s">
        <v>11</v>
      </c>
      <c r="I4" s="19" t="s">
        <v>12</v>
      </c>
      <c r="J4" s="19" t="s">
        <v>13</v>
      </c>
    </row>
    <row r="5" spans="1:10" ht="16.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7">
        <v>2</v>
      </c>
      <c r="B6" s="19">
        <f>5.05*10^(-3)/1.278</f>
        <v>3.9514866979655713E-3</v>
      </c>
      <c r="C6" s="19" t="s">
        <v>39</v>
      </c>
      <c r="D6" s="7">
        <v>32.81</v>
      </c>
      <c r="E6" s="7"/>
      <c r="F6" s="7">
        <v>0.84499999999999997</v>
      </c>
      <c r="G6" s="7">
        <f>D6*F6</f>
        <v>27.724450000000001</v>
      </c>
      <c r="H6" s="19">
        <f>AVERAGE(G6:G7)</f>
        <v>27.635725000000001</v>
      </c>
      <c r="I6" s="19">
        <f>(B2/B6)^(1/2)</f>
        <v>26.574471856566511</v>
      </c>
      <c r="J6" s="19">
        <f>(H6-I6)/I6*100</f>
        <v>3.9935060578494839</v>
      </c>
    </row>
    <row r="7" spans="1:10">
      <c r="A7" s="7">
        <v>3</v>
      </c>
      <c r="B7" s="19"/>
      <c r="C7" s="19"/>
      <c r="D7" s="7">
        <v>48.9</v>
      </c>
      <c r="E7" s="7"/>
      <c r="F7" s="7">
        <f>0.845/3*2</f>
        <v>0.56333333333333335</v>
      </c>
      <c r="G7" s="7">
        <f>D7*F7</f>
        <v>27.547000000000001</v>
      </c>
      <c r="H7" s="19"/>
      <c r="I7" s="19"/>
      <c r="J7" s="19"/>
    </row>
    <row r="8" spans="1:10">
      <c r="A8" s="7">
        <v>2</v>
      </c>
      <c r="B8" s="19">
        <f>14.62*10^(-3)/1.545</f>
        <v>9.4627831715210359E-3</v>
      </c>
      <c r="C8" s="19" t="s">
        <v>40</v>
      </c>
      <c r="D8" s="7">
        <v>21.6</v>
      </c>
      <c r="E8" s="7">
        <v>0.873</v>
      </c>
      <c r="F8" s="7">
        <v>0.84299999999999997</v>
      </c>
      <c r="G8" s="7">
        <f t="shared" ref="G8:G11" si="0">D8*F8</f>
        <v>18.2088</v>
      </c>
      <c r="H8" s="19">
        <f t="shared" ref="H8" si="1">AVERAGE(G8:G9)</f>
        <v>18.265000000000001</v>
      </c>
      <c r="I8" s="19">
        <f>(B2/B8)^(1/2)</f>
        <v>17.172576502113195</v>
      </c>
      <c r="J8" s="19">
        <f>(H8-I8)/I8*100</f>
        <v>6.3614420221239145</v>
      </c>
    </row>
    <row r="9" spans="1:10">
      <c r="A9" s="7">
        <v>3</v>
      </c>
      <c r="B9" s="19"/>
      <c r="C9" s="19"/>
      <c r="D9" s="7">
        <v>32.6</v>
      </c>
      <c r="E9" s="7">
        <v>0.872</v>
      </c>
      <c r="F9" s="7">
        <f>0.843/3*2</f>
        <v>0.56199999999999994</v>
      </c>
      <c r="G9" s="7">
        <f t="shared" si="0"/>
        <v>18.321199999999997</v>
      </c>
      <c r="H9" s="19"/>
      <c r="I9" s="19"/>
      <c r="J9" s="19"/>
    </row>
    <row r="10" spans="1:10">
      <c r="A10" s="7">
        <v>2</v>
      </c>
      <c r="B10" s="19">
        <f>15.97*10^(-3)/1.42</f>
        <v>1.1246478873239438E-2</v>
      </c>
      <c r="C10" s="19" t="s">
        <v>41</v>
      </c>
      <c r="D10" s="7">
        <v>20.52</v>
      </c>
      <c r="E10" s="7"/>
      <c r="F10" s="7">
        <f>0.41*2</f>
        <v>0.82</v>
      </c>
      <c r="G10" s="7">
        <f t="shared" si="0"/>
        <v>16.8264</v>
      </c>
      <c r="H10" s="19">
        <f>AVERAGE(G10:G11)</f>
        <v>17.372440000000001</v>
      </c>
      <c r="I10" s="19">
        <f>(B2/B10)^(1/2)</f>
        <v>15.752033195141479</v>
      </c>
      <c r="J10" s="19">
        <f>(H10-I10)/I10*100</f>
        <v>10.2869692107957</v>
      </c>
    </row>
    <row r="11" spans="1:10">
      <c r="A11" s="7">
        <v>3</v>
      </c>
      <c r="B11" s="19"/>
      <c r="C11" s="19"/>
      <c r="D11" s="7">
        <v>33.43</v>
      </c>
      <c r="E11" s="7"/>
      <c r="F11" s="7">
        <f>0.268*2</f>
        <v>0.53600000000000003</v>
      </c>
      <c r="G11" s="7">
        <f t="shared" si="0"/>
        <v>17.918480000000002</v>
      </c>
      <c r="H11" s="19"/>
      <c r="I11" s="19"/>
      <c r="J11" s="19"/>
    </row>
    <row r="12" spans="1:10">
      <c r="A12" s="7">
        <v>2</v>
      </c>
      <c r="B12" s="19">
        <f>4.17*10^(-3)/1.42</f>
        <v>2.9366197183098592E-3</v>
      </c>
      <c r="C12" s="19" t="s">
        <v>42</v>
      </c>
      <c r="D12" s="7">
        <v>33</v>
      </c>
      <c r="E12" s="7">
        <v>0.86499999999999999</v>
      </c>
      <c r="F12" s="7">
        <f>0.842</f>
        <v>0.84199999999999997</v>
      </c>
      <c r="G12" s="7">
        <f>D12*F12</f>
        <v>27.785999999999998</v>
      </c>
      <c r="H12" s="19">
        <f>AVERAGE(G12:G13)</f>
        <v>27.802499999999995</v>
      </c>
      <c r="I12" s="19">
        <f>(B2/B12)^(1/2)</f>
        <v>30.826275036304807</v>
      </c>
      <c r="J12" s="19">
        <f>(H12-I12)/I12*100</f>
        <v>-9.8090834288075452</v>
      </c>
    </row>
    <row r="13" spans="1:10">
      <c r="A13" s="7">
        <v>3</v>
      </c>
      <c r="B13" s="19"/>
      <c r="C13" s="19"/>
      <c r="D13" s="7">
        <v>49.5</v>
      </c>
      <c r="E13" s="7">
        <v>0.86499999999999999</v>
      </c>
      <c r="F13" s="7">
        <f>0.843/3*2</f>
        <v>0.56199999999999994</v>
      </c>
      <c r="G13" s="7">
        <f>D13*F13</f>
        <v>27.818999999999996</v>
      </c>
      <c r="H13" s="19"/>
      <c r="I13" s="19"/>
      <c r="J13" s="19"/>
    </row>
    <row r="14" spans="1:10">
      <c r="A14" s="7">
        <v>2</v>
      </c>
      <c r="B14" s="19">
        <v>5.3517E-3</v>
      </c>
      <c r="C14" s="19"/>
      <c r="D14" s="7">
        <v>30.72</v>
      </c>
      <c r="E14" s="7">
        <v>0.83299999999999996</v>
      </c>
      <c r="F14" s="7">
        <v>0.84199999999999997</v>
      </c>
      <c r="G14" s="7">
        <f t="shared" ref="G14:G17" si="2">D14*F14</f>
        <v>25.866239999999998</v>
      </c>
      <c r="H14" s="19">
        <f t="shared" ref="H14" si="3">AVERAGE(G14:G15)</f>
        <v>24.984946666666666</v>
      </c>
      <c r="I14" s="19">
        <f>(B2/B14)^(1/2)</f>
        <v>22.834895270786046</v>
      </c>
      <c r="J14" s="19">
        <f>(H14-I14)/I14*100</f>
        <v>9.4156393991931324</v>
      </c>
    </row>
    <row r="15" spans="1:10">
      <c r="A15" s="7">
        <v>3</v>
      </c>
      <c r="B15" s="19"/>
      <c r="C15" s="19"/>
      <c r="D15" s="7">
        <v>42.94</v>
      </c>
      <c r="E15" s="7">
        <v>0.84499999999999997</v>
      </c>
      <c r="F15" s="7">
        <f>0.842/3*2</f>
        <v>0.56133333333333335</v>
      </c>
      <c r="G15" s="7">
        <f t="shared" si="2"/>
        <v>24.103653333333334</v>
      </c>
      <c r="H15" s="19"/>
      <c r="I15" s="19"/>
      <c r="J15" s="19"/>
    </row>
    <row r="16" spans="1:10">
      <c r="A16" s="7">
        <v>2</v>
      </c>
      <c r="B16" s="19"/>
      <c r="C16" s="19"/>
      <c r="D16" s="7"/>
      <c r="E16" s="7">
        <v>0.875</v>
      </c>
      <c r="F16" s="7">
        <f t="shared" ref="F16:F17" si="4">2*E16/A16</f>
        <v>0.875</v>
      </c>
      <c r="G16" s="7">
        <f t="shared" si="2"/>
        <v>0</v>
      </c>
      <c r="H16" s="19">
        <f t="shared" ref="H16" si="5">AVERAGE(G16:G17)</f>
        <v>0</v>
      </c>
      <c r="I16" s="19" t="e">
        <f>(B2/B16)^(1/2)</f>
        <v>#DIV/0!</v>
      </c>
      <c r="J16" s="19" t="e">
        <f>(H16-I16)/I16*100</f>
        <v>#DIV/0!</v>
      </c>
    </row>
    <row r="17" spans="1:10">
      <c r="A17" s="7">
        <v>3</v>
      </c>
      <c r="B17" s="19"/>
      <c r="C17" s="19"/>
      <c r="D17" s="7"/>
      <c r="E17" s="7">
        <v>0.875</v>
      </c>
      <c r="F17" s="7">
        <f t="shared" si="4"/>
        <v>0.58333333333333337</v>
      </c>
      <c r="G17" s="7">
        <f t="shared" si="2"/>
        <v>0</v>
      </c>
      <c r="H17" s="19"/>
      <c r="I17" s="19"/>
      <c r="J17" s="19"/>
    </row>
    <row r="19" spans="1:10">
      <c r="A19" s="19" t="s">
        <v>14</v>
      </c>
      <c r="B19" s="19"/>
      <c r="C19" s="19"/>
      <c r="D19" s="19"/>
      <c r="E19" s="19"/>
      <c r="F19" s="19"/>
      <c r="G19" s="19"/>
      <c r="H19" s="7"/>
      <c r="I19" s="7"/>
      <c r="J19" s="7"/>
    </row>
    <row r="20" spans="1:10">
      <c r="A20" s="7" t="s">
        <v>15</v>
      </c>
      <c r="B20" s="7" t="s">
        <v>28</v>
      </c>
      <c r="C20" s="7"/>
      <c r="D20" s="7" t="s">
        <v>17</v>
      </c>
      <c r="E20" s="7" t="s">
        <v>18</v>
      </c>
      <c r="F20" s="7" t="s">
        <v>19</v>
      </c>
      <c r="G20" s="7" t="s">
        <v>38</v>
      </c>
      <c r="H20" s="7"/>
      <c r="I20" s="7"/>
      <c r="J20" s="7"/>
    </row>
    <row r="21" spans="1:10">
      <c r="A21" s="7">
        <f>LOG10(27.635725)</f>
        <v>1.4414708624176764</v>
      </c>
      <c r="B21" s="7">
        <f>LOG10(0.0039515)</f>
        <v>-2.4032380137247564</v>
      </c>
      <c r="C21" s="7"/>
      <c r="D21" s="7">
        <f>E21*F21+G21</f>
        <v>0.82502327529951947</v>
      </c>
      <c r="E21" s="7">
        <f>SLOPE(B22:B23,A22:A23)</f>
        <v>-2.4722614436130814</v>
      </c>
      <c r="F21" s="7">
        <v>0</v>
      </c>
      <c r="G21" s="7">
        <f>INTERCEPT(B21:B23,A21:A23)</f>
        <v>0.82502327529951947</v>
      </c>
      <c r="H21" s="7"/>
      <c r="I21" s="7"/>
      <c r="J21" s="7"/>
    </row>
    <row r="22" spans="1:10">
      <c r="A22" s="7">
        <f>LOG10(18.625)</f>
        <v>1.2700962814203305</v>
      </c>
      <c r="B22" s="7">
        <f>LOG10(0.0094682)</f>
        <v>-2.0237325768964194</v>
      </c>
      <c r="C22" s="7"/>
      <c r="D22" s="7" t="s">
        <v>21</v>
      </c>
      <c r="E22" s="7" t="s">
        <v>22</v>
      </c>
      <c r="F22" s="19" t="s">
        <v>23</v>
      </c>
      <c r="G22" s="19"/>
      <c r="H22" s="7"/>
      <c r="I22" s="7"/>
      <c r="J22" s="7"/>
    </row>
    <row r="23" spans="1:10">
      <c r="A23" s="7">
        <f>LOG10(17.37244)</f>
        <v>1.2398608204111281</v>
      </c>
      <c r="B23" s="7">
        <f>LOG10(0.0112465)</f>
        <v>-1.9489826124135017</v>
      </c>
      <c r="C23" s="7"/>
      <c r="D23" s="7">
        <f>10^D21</f>
        <v>6.6837973732310321</v>
      </c>
      <c r="E23" s="7">
        <f>10^F21</f>
        <v>1</v>
      </c>
      <c r="F23" s="19">
        <f>1/(E23^2/D23)</f>
        <v>6.683797373231033</v>
      </c>
      <c r="G23" s="19"/>
      <c r="H23" s="7"/>
      <c r="I23" s="7"/>
      <c r="J23" s="7"/>
    </row>
    <row r="24" spans="1:10">
      <c r="A24" s="7">
        <f>LOG10(24.98494667)</f>
        <v>1.3976784267844315</v>
      </c>
      <c r="B24" s="7">
        <f>LOG10(0.0039515)</f>
        <v>-2.4032380137247564</v>
      </c>
      <c r="C24" s="7"/>
      <c r="D24" s="7" t="s">
        <v>24</v>
      </c>
      <c r="E24" s="7" t="s">
        <v>25</v>
      </c>
      <c r="F24" s="7"/>
      <c r="G24" s="7"/>
      <c r="H24" s="7"/>
      <c r="I24" s="7"/>
      <c r="J24" s="7"/>
    </row>
    <row r="25" spans="1:10">
      <c r="A25" s="7"/>
      <c r="B25" s="7"/>
      <c r="C25" s="7"/>
      <c r="D25" s="7">
        <f>(-D21-E21)/E21*100%</f>
        <v>-0.66628801438823926</v>
      </c>
      <c r="E25" s="7">
        <f>(F23-B2)/B2*100%</f>
        <v>1.3951541356474648</v>
      </c>
      <c r="F25" s="7"/>
      <c r="G25" s="7"/>
      <c r="H25" s="7"/>
      <c r="I25" s="7"/>
      <c r="J25" s="7"/>
    </row>
    <row r="26" spans="1:10">
      <c r="A26" s="7" t="e">
        <f>LOG10(H16)</f>
        <v>#NUM!</v>
      </c>
      <c r="B26" s="7" t="e">
        <f>-2*LOG10(I16)+LOG10(B2)</f>
        <v>#DIV/0!</v>
      </c>
      <c r="C26" s="7"/>
      <c r="D26" s="7"/>
      <c r="E26" s="7"/>
      <c r="F26" s="7"/>
      <c r="G26" s="7"/>
      <c r="H26" s="7"/>
      <c r="I26" s="7"/>
      <c r="J26" s="7"/>
    </row>
    <row r="27" spans="1:10">
      <c r="A27" s="7"/>
      <c r="B27" s="7">
        <f>LOG10(H6)</f>
        <v>1.4414708624176764</v>
      </c>
      <c r="C27" s="7">
        <f>(-2)*LOG10(I6)+LOG10(B2)</f>
        <v>-2.4032394757037201</v>
      </c>
      <c r="D27" s="7"/>
      <c r="E27" s="7"/>
      <c r="F27" s="7"/>
      <c r="G27" s="7"/>
      <c r="H27" s="7"/>
      <c r="I27" s="7"/>
      <c r="J27" s="7"/>
    </row>
  </sheetData>
  <mergeCells count="44">
    <mergeCell ref="F22:G22"/>
    <mergeCell ref="F23:G23"/>
    <mergeCell ref="B16:B17"/>
    <mergeCell ref="C16:C17"/>
    <mergeCell ref="H16:H17"/>
    <mergeCell ref="I16:I17"/>
    <mergeCell ref="J16:J17"/>
    <mergeCell ref="A19:G19"/>
    <mergeCell ref="B12:B13"/>
    <mergeCell ref="C12:C13"/>
    <mergeCell ref="H12:H13"/>
    <mergeCell ref="I12:I13"/>
    <mergeCell ref="J12:J13"/>
    <mergeCell ref="B14:B15"/>
    <mergeCell ref="C14:C15"/>
    <mergeCell ref="H14:H15"/>
    <mergeCell ref="I14:I15"/>
    <mergeCell ref="J14:J15"/>
    <mergeCell ref="B8:B9"/>
    <mergeCell ref="C8:C9"/>
    <mergeCell ref="H8:H9"/>
    <mergeCell ref="I8:I9"/>
    <mergeCell ref="J8:J9"/>
    <mergeCell ref="B10:B11"/>
    <mergeCell ref="C10:C11"/>
    <mergeCell ref="H10:H11"/>
    <mergeCell ref="I10:I11"/>
    <mergeCell ref="J10:J11"/>
    <mergeCell ref="B6:B7"/>
    <mergeCell ref="C6:C7"/>
    <mergeCell ref="H6:H7"/>
    <mergeCell ref="I6:I7"/>
    <mergeCell ref="J6:J7"/>
    <mergeCell ref="F3:J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F3A4-3133-41FB-8EE4-B81EB380ACF4}">
  <dimension ref="A1:J27"/>
  <sheetViews>
    <sheetView topLeftCell="B1" workbookViewId="0">
      <selection activeCell="F12" sqref="F12"/>
    </sheetView>
  </sheetViews>
  <sheetFormatPr defaultRowHeight="19.5"/>
  <cols>
    <col min="1" max="1" width="15.5" style="3" customWidth="1"/>
    <col min="2" max="2" width="12.375" style="3" customWidth="1"/>
    <col min="3" max="3" width="19.625" style="3" customWidth="1"/>
    <col min="4" max="5" width="15.5" style="3" customWidth="1"/>
    <col min="6" max="9" width="15.625" style="3" customWidth="1"/>
    <col min="10" max="10" width="18.875" style="3" customWidth="1"/>
  </cols>
  <sheetData>
    <row r="1" spans="1:10">
      <c r="A1" s="7"/>
      <c r="B1" s="7" t="s">
        <v>0</v>
      </c>
      <c r="C1" s="7"/>
      <c r="D1" s="7"/>
      <c r="E1" s="7"/>
      <c r="F1" s="7"/>
      <c r="G1" s="7"/>
      <c r="H1" s="7"/>
      <c r="I1" s="7"/>
      <c r="J1" s="7"/>
    </row>
    <row r="2" spans="1:10">
      <c r="A2" s="9" t="s">
        <v>6</v>
      </c>
      <c r="B2" s="7">
        <f>0.28475*9.8</f>
        <v>2.7905500000000001</v>
      </c>
      <c r="C2" s="7"/>
      <c r="D2" s="7"/>
      <c r="E2" s="7"/>
      <c r="F2" s="7"/>
      <c r="G2" s="7"/>
      <c r="H2" s="7"/>
      <c r="I2" s="7"/>
      <c r="J2" s="7"/>
    </row>
    <row r="3" spans="1:10">
      <c r="A3" s="7"/>
      <c r="B3" s="2" t="s">
        <v>0</v>
      </c>
      <c r="C3" s="2" t="s">
        <v>3</v>
      </c>
      <c r="D3" s="2" t="s">
        <v>0</v>
      </c>
      <c r="E3" s="2" t="s">
        <v>0</v>
      </c>
      <c r="F3" s="19" t="s">
        <v>3</v>
      </c>
      <c r="G3" s="19"/>
      <c r="H3" s="19"/>
      <c r="I3" s="19"/>
      <c r="J3" s="19"/>
    </row>
    <row r="4" spans="1:10" ht="16.5">
      <c r="A4" s="19" t="s">
        <v>4</v>
      </c>
      <c r="B4" s="23" t="s">
        <v>26</v>
      </c>
      <c r="C4" s="19"/>
      <c r="D4" s="22" t="s">
        <v>7</v>
      </c>
      <c r="E4" s="24" t="s">
        <v>27</v>
      </c>
      <c r="F4" s="20" t="s">
        <v>9</v>
      </c>
      <c r="G4" s="19" t="s">
        <v>10</v>
      </c>
      <c r="H4" s="19" t="s">
        <v>11</v>
      </c>
      <c r="I4" s="19" t="s">
        <v>12</v>
      </c>
      <c r="J4" s="19" t="s">
        <v>13</v>
      </c>
    </row>
    <row r="5" spans="1:10" ht="16.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7">
        <v>2</v>
      </c>
      <c r="B6" s="19">
        <f>5.05*10^(-3)/1.278</f>
        <v>3.9514866979655713E-3</v>
      </c>
      <c r="C6" s="19" t="s">
        <v>39</v>
      </c>
      <c r="D6" s="7">
        <v>32.81</v>
      </c>
      <c r="E6" s="7"/>
      <c r="F6" s="7">
        <v>0.84499999999999997</v>
      </c>
      <c r="G6" s="7">
        <f>D6*F6</f>
        <v>27.724450000000001</v>
      </c>
      <c r="H6" s="19">
        <f>AVERAGE(G6:G7)</f>
        <v>27.635725000000001</v>
      </c>
      <c r="I6" s="19">
        <f>(B2/B6)^(1/2)</f>
        <v>26.574471856566511</v>
      </c>
      <c r="J6" s="19">
        <f>(H6-I6)/I6*100</f>
        <v>3.9935060578494839</v>
      </c>
    </row>
    <row r="7" spans="1:10">
      <c r="A7" s="7">
        <v>3</v>
      </c>
      <c r="B7" s="19"/>
      <c r="C7" s="19"/>
      <c r="D7" s="7">
        <v>48.9</v>
      </c>
      <c r="E7" s="7"/>
      <c r="F7" s="7">
        <f>0.845/3*2</f>
        <v>0.56333333333333335</v>
      </c>
      <c r="G7" s="7">
        <f>D7*F7</f>
        <v>27.547000000000001</v>
      </c>
      <c r="H7" s="19"/>
      <c r="I7" s="19"/>
      <c r="J7" s="19"/>
    </row>
    <row r="8" spans="1:10">
      <c r="A8" s="7">
        <v>2</v>
      </c>
      <c r="B8" s="19">
        <f>14.62*10^(-3)/1.545</f>
        <v>9.4627831715210359E-3</v>
      </c>
      <c r="C8" s="19" t="s">
        <v>40</v>
      </c>
      <c r="D8" s="7">
        <v>21.6</v>
      </c>
      <c r="E8" s="7">
        <v>0.873</v>
      </c>
      <c r="F8" s="7">
        <v>0.84299999999999997</v>
      </c>
      <c r="G8" s="7">
        <f t="shared" ref="G8:G11" si="0">D8*F8</f>
        <v>18.2088</v>
      </c>
      <c r="H8" s="19">
        <f t="shared" ref="H8" si="1">AVERAGE(G8:G9)</f>
        <v>18.265000000000001</v>
      </c>
      <c r="I8" s="19">
        <f>(B2/B8)^(1/2)</f>
        <v>17.172576502113195</v>
      </c>
      <c r="J8" s="19">
        <f>(H8-I8)/I8*100</f>
        <v>6.3614420221239145</v>
      </c>
    </row>
    <row r="9" spans="1:10">
      <c r="A9" s="7">
        <v>3</v>
      </c>
      <c r="B9" s="19"/>
      <c r="C9" s="19"/>
      <c r="D9" s="7">
        <v>32.6</v>
      </c>
      <c r="E9" s="7">
        <v>0.872</v>
      </c>
      <c r="F9" s="7">
        <f>0.843/3*2</f>
        <v>0.56199999999999994</v>
      </c>
      <c r="G9" s="7">
        <f t="shared" si="0"/>
        <v>18.321199999999997</v>
      </c>
      <c r="H9" s="19"/>
      <c r="I9" s="19"/>
      <c r="J9" s="19"/>
    </row>
    <row r="10" spans="1:10">
      <c r="A10" s="7">
        <v>2</v>
      </c>
      <c r="B10" s="19">
        <f>15.97*10^(-3)/1.42</f>
        <v>1.1246478873239438E-2</v>
      </c>
      <c r="C10" s="19" t="s">
        <v>41</v>
      </c>
      <c r="D10" s="7">
        <v>20.52</v>
      </c>
      <c r="E10" s="7"/>
      <c r="F10" s="7">
        <f>0.41*2</f>
        <v>0.82</v>
      </c>
      <c r="G10" s="7">
        <f t="shared" si="0"/>
        <v>16.8264</v>
      </c>
      <c r="H10" s="19">
        <f>AVERAGE(G10:G11)</f>
        <v>17.372440000000001</v>
      </c>
      <c r="I10" s="19">
        <f>(B2/B10)^(1/2)</f>
        <v>15.752033195141479</v>
      </c>
      <c r="J10" s="19">
        <f>(H10-I10)/I10*100</f>
        <v>10.2869692107957</v>
      </c>
    </row>
    <row r="11" spans="1:10">
      <c r="A11" s="7">
        <v>3</v>
      </c>
      <c r="B11" s="19"/>
      <c r="C11" s="19"/>
      <c r="D11" s="7">
        <v>33.43</v>
      </c>
      <c r="E11" s="7"/>
      <c r="F11" s="7">
        <f>0.268*2</f>
        <v>0.53600000000000003</v>
      </c>
      <c r="G11" s="7">
        <f t="shared" si="0"/>
        <v>17.918480000000002</v>
      </c>
      <c r="H11" s="19"/>
      <c r="I11" s="19"/>
      <c r="J11" s="19"/>
    </row>
    <row r="12" spans="1:10">
      <c r="A12" s="7">
        <v>2</v>
      </c>
      <c r="B12" s="19">
        <f>4.17*10^(-3)/1.42</f>
        <v>2.9366197183098592E-3</v>
      </c>
      <c r="C12" s="19" t="s">
        <v>42</v>
      </c>
      <c r="D12" s="7">
        <v>33</v>
      </c>
      <c r="E12" s="7">
        <v>0.86499999999999999</v>
      </c>
      <c r="F12" s="7">
        <f>0.842</f>
        <v>0.84199999999999997</v>
      </c>
      <c r="G12" s="7">
        <f>D12*F12</f>
        <v>27.785999999999998</v>
      </c>
      <c r="H12" s="19">
        <f>AVERAGE(G12:G13)</f>
        <v>27.802499999999995</v>
      </c>
      <c r="I12" s="19">
        <f>(B2/B12)^(1/2)</f>
        <v>30.826275036304807</v>
      </c>
      <c r="J12" s="19">
        <f>(H12-I12)/I12*100</f>
        <v>-9.8090834288075452</v>
      </c>
    </row>
    <row r="13" spans="1:10">
      <c r="A13" s="7">
        <v>3</v>
      </c>
      <c r="B13" s="19"/>
      <c r="C13" s="19"/>
      <c r="D13" s="7">
        <v>49.5</v>
      </c>
      <c r="E13" s="7">
        <v>0.86499999999999999</v>
      </c>
      <c r="F13" s="7">
        <f>0.843/3*2</f>
        <v>0.56199999999999994</v>
      </c>
      <c r="G13" s="7">
        <f>D13*F13</f>
        <v>27.818999999999996</v>
      </c>
      <c r="H13" s="19"/>
      <c r="I13" s="19"/>
      <c r="J13" s="19"/>
    </row>
    <row r="14" spans="1:10">
      <c r="A14" s="7">
        <v>2</v>
      </c>
      <c r="B14" s="19">
        <v>5.3517E-3</v>
      </c>
      <c r="C14" s="19"/>
      <c r="D14" s="7">
        <v>30.72</v>
      </c>
      <c r="E14" s="7">
        <v>0.83299999999999996</v>
      </c>
      <c r="F14" s="7">
        <v>0.84199999999999997</v>
      </c>
      <c r="G14" s="7">
        <f t="shared" ref="G14:G17" si="2">D14*F14</f>
        <v>25.866239999999998</v>
      </c>
      <c r="H14" s="19">
        <f t="shared" ref="H14" si="3">AVERAGE(G14:G15)</f>
        <v>24.984946666666666</v>
      </c>
      <c r="I14" s="19">
        <f>(B2/B14)^(1/2)</f>
        <v>22.834895270786046</v>
      </c>
      <c r="J14" s="19">
        <f>(H14-I14)/I14*100</f>
        <v>9.4156393991931324</v>
      </c>
    </row>
    <row r="15" spans="1:10">
      <c r="A15" s="7">
        <v>3</v>
      </c>
      <c r="B15" s="19"/>
      <c r="C15" s="19"/>
      <c r="D15" s="7">
        <v>42.94</v>
      </c>
      <c r="E15" s="7">
        <v>0.84499999999999997</v>
      </c>
      <c r="F15" s="7">
        <f>0.842/3*2</f>
        <v>0.56133333333333335</v>
      </c>
      <c r="G15" s="7">
        <f t="shared" si="2"/>
        <v>24.103653333333334</v>
      </c>
      <c r="H15" s="19"/>
      <c r="I15" s="19"/>
      <c r="J15" s="19"/>
    </row>
    <row r="16" spans="1:10">
      <c r="A16" s="7">
        <v>2</v>
      </c>
      <c r="B16" s="19"/>
      <c r="C16" s="19"/>
      <c r="D16" s="7"/>
      <c r="E16" s="7">
        <v>0.875</v>
      </c>
      <c r="F16" s="7">
        <f t="shared" ref="F16:F17" si="4">2*E16/A16</f>
        <v>0.875</v>
      </c>
      <c r="G16" s="7">
        <f t="shared" si="2"/>
        <v>0</v>
      </c>
      <c r="H16" s="19">
        <f t="shared" ref="H16" si="5">AVERAGE(G16:G17)</f>
        <v>0</v>
      </c>
      <c r="I16" s="19" t="e">
        <f>(B2/B16)^(1/2)</f>
        <v>#DIV/0!</v>
      </c>
      <c r="J16" s="19" t="e">
        <f>(H16-I16)/I16*100</f>
        <v>#DIV/0!</v>
      </c>
    </row>
    <row r="17" spans="1:10">
      <c r="A17" s="7">
        <v>3</v>
      </c>
      <c r="B17" s="19"/>
      <c r="C17" s="19"/>
      <c r="D17" s="7"/>
      <c r="E17" s="7">
        <v>0.875</v>
      </c>
      <c r="F17" s="7">
        <f t="shared" si="4"/>
        <v>0.58333333333333337</v>
      </c>
      <c r="G17" s="7">
        <f t="shared" si="2"/>
        <v>0</v>
      </c>
      <c r="H17" s="19"/>
      <c r="I17" s="19"/>
      <c r="J17" s="19"/>
    </row>
    <row r="19" spans="1:10">
      <c r="A19" s="19" t="s">
        <v>14</v>
      </c>
      <c r="B19" s="19"/>
      <c r="C19" s="19"/>
      <c r="D19" s="19"/>
      <c r="E19" s="19"/>
      <c r="F19" s="19"/>
      <c r="G19" s="19"/>
      <c r="H19" s="7"/>
      <c r="I19" s="7"/>
      <c r="J19" s="7"/>
    </row>
    <row r="20" spans="1:10">
      <c r="A20" s="7" t="s">
        <v>15</v>
      </c>
      <c r="B20" s="7" t="s">
        <v>28</v>
      </c>
      <c r="C20" s="7"/>
      <c r="D20" s="7" t="s">
        <v>17</v>
      </c>
      <c r="E20" s="7" t="s">
        <v>18</v>
      </c>
      <c r="F20" s="7" t="s">
        <v>19</v>
      </c>
      <c r="G20" s="7" t="s">
        <v>38</v>
      </c>
      <c r="H20" s="7"/>
      <c r="I20" s="7"/>
      <c r="J20" s="7"/>
    </row>
    <row r="21" spans="1:10">
      <c r="A21" s="7">
        <f>LOG10(27.635725)</f>
        <v>1.4414708624176764</v>
      </c>
      <c r="B21" s="7">
        <f>LOG10(0.0039515)</f>
        <v>-2.4032380137247564</v>
      </c>
      <c r="C21" s="7"/>
      <c r="D21" s="7">
        <f>E21*F21+G21</f>
        <v>0.82502327529951947</v>
      </c>
      <c r="E21" s="7">
        <f>SLOPE(B22:B23,A22:A23)</f>
        <v>-2.4722614436130814</v>
      </c>
      <c r="F21" s="7">
        <v>0</v>
      </c>
      <c r="G21" s="7">
        <f>INTERCEPT(B21:B23,A21:A23)</f>
        <v>0.82502327529951947</v>
      </c>
      <c r="H21" s="7"/>
      <c r="I21" s="7"/>
      <c r="J21" s="7"/>
    </row>
    <row r="22" spans="1:10">
      <c r="A22" s="7">
        <f>LOG10(18.625)</f>
        <v>1.2700962814203305</v>
      </c>
      <c r="B22" s="7">
        <f>LOG10(0.0094682)</f>
        <v>-2.0237325768964194</v>
      </c>
      <c r="C22" s="7"/>
      <c r="D22" s="7" t="s">
        <v>21</v>
      </c>
      <c r="E22" s="7" t="s">
        <v>22</v>
      </c>
      <c r="F22" s="19" t="s">
        <v>23</v>
      </c>
      <c r="G22" s="19"/>
      <c r="H22" s="7"/>
      <c r="I22" s="7"/>
      <c r="J22" s="7"/>
    </row>
    <row r="23" spans="1:10">
      <c r="A23" s="7">
        <f>LOG10(17.37244)</f>
        <v>1.2398608204111281</v>
      </c>
      <c r="B23" s="7">
        <f>LOG10(0.0112465)</f>
        <v>-1.9489826124135017</v>
      </c>
      <c r="C23" s="7"/>
      <c r="D23" s="7">
        <f>10^D21</f>
        <v>6.6837973732310321</v>
      </c>
      <c r="E23" s="7">
        <f>10^F21</f>
        <v>1</v>
      </c>
      <c r="F23" s="19">
        <f>1/(E23^2/D23)</f>
        <v>6.683797373231033</v>
      </c>
      <c r="G23" s="19"/>
      <c r="H23" s="7"/>
      <c r="I23" s="7"/>
      <c r="J23" s="7"/>
    </row>
    <row r="24" spans="1:10">
      <c r="A24" s="7">
        <f>LOG10(24.98494667)</f>
        <v>1.3976784267844315</v>
      </c>
      <c r="B24" s="7">
        <f>LOG10(0.0039515)</f>
        <v>-2.4032380137247564</v>
      </c>
      <c r="C24" s="7"/>
      <c r="D24" s="7" t="s">
        <v>24</v>
      </c>
      <c r="E24" s="7" t="s">
        <v>25</v>
      </c>
      <c r="F24" s="7"/>
      <c r="G24" s="7"/>
      <c r="H24" s="7"/>
      <c r="I24" s="7"/>
      <c r="J24" s="7"/>
    </row>
    <row r="25" spans="1:10">
      <c r="A25" s="7"/>
      <c r="B25" s="7"/>
      <c r="C25" s="7"/>
      <c r="D25" s="7">
        <f>(-D21-E21)/E21*100%</f>
        <v>-0.66628801438823926</v>
      </c>
      <c r="E25" s="7">
        <f>(F23-B2)/B2*1</f>
        <v>1.3951541356474648</v>
      </c>
      <c r="F25" s="7"/>
      <c r="G25" s="7"/>
      <c r="H25" s="7"/>
      <c r="I25" s="7"/>
      <c r="J25" s="7"/>
    </row>
    <row r="26" spans="1:10">
      <c r="A26" s="7" t="e">
        <f>LOG10(H16)</f>
        <v>#NUM!</v>
      </c>
      <c r="B26" s="7" t="e">
        <f>-2*LOG10(I16)+LOG10(B2)</f>
        <v>#DIV/0!</v>
      </c>
      <c r="C26" s="7"/>
      <c r="D26" s="7"/>
      <c r="E26" s="7"/>
      <c r="F26" s="7"/>
      <c r="G26" s="7"/>
      <c r="H26" s="7"/>
      <c r="I26" s="7"/>
      <c r="J26" s="7"/>
    </row>
    <row r="27" spans="1:10">
      <c r="A27" s="7"/>
      <c r="B27" s="7">
        <f>LOG10(H6)</f>
        <v>1.4414708624176764</v>
      </c>
      <c r="C27" s="7">
        <f>(-2)*LOG10(I6)+LOG10(B2)</f>
        <v>-2.4032394757037201</v>
      </c>
      <c r="D27" s="7"/>
      <c r="E27" s="7"/>
      <c r="F27" s="7"/>
      <c r="G27" s="7"/>
      <c r="H27" s="7"/>
      <c r="I27" s="7"/>
      <c r="J27" s="7"/>
    </row>
  </sheetData>
  <mergeCells count="44">
    <mergeCell ref="F22:G22"/>
    <mergeCell ref="F23:G23"/>
    <mergeCell ref="A19:G19"/>
    <mergeCell ref="B16:B17"/>
    <mergeCell ref="C16:C17"/>
    <mergeCell ref="H16:H17"/>
    <mergeCell ref="I16:I17"/>
    <mergeCell ref="J16:J17"/>
    <mergeCell ref="B12:B13"/>
    <mergeCell ref="C12:C13"/>
    <mergeCell ref="H12:H13"/>
    <mergeCell ref="I12:I13"/>
    <mergeCell ref="J12:J13"/>
    <mergeCell ref="B14:B15"/>
    <mergeCell ref="C14:C15"/>
    <mergeCell ref="H14:H15"/>
    <mergeCell ref="I14:I15"/>
    <mergeCell ref="J14:J15"/>
    <mergeCell ref="B8:B9"/>
    <mergeCell ref="C8:C9"/>
    <mergeCell ref="H8:H9"/>
    <mergeCell ref="I8:I9"/>
    <mergeCell ref="J8:J9"/>
    <mergeCell ref="B10:B11"/>
    <mergeCell ref="C10:C11"/>
    <mergeCell ref="H10:H11"/>
    <mergeCell ref="I10:I11"/>
    <mergeCell ref="J10:J11"/>
    <mergeCell ref="B6:B7"/>
    <mergeCell ref="C6:C7"/>
    <mergeCell ref="H6:H7"/>
    <mergeCell ref="I6:I7"/>
    <mergeCell ref="J6:J7"/>
    <mergeCell ref="F3:J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0EC6-A5E4-49EA-B8EB-A892E105C760}">
  <dimension ref="A1:J26"/>
  <sheetViews>
    <sheetView topLeftCell="A14" workbookViewId="0">
      <selection activeCell="D22" sqref="D22"/>
    </sheetView>
  </sheetViews>
  <sheetFormatPr defaultRowHeight="19.5"/>
  <cols>
    <col min="1" max="1" width="15.5" style="4" customWidth="1"/>
    <col min="2" max="2" width="12.375" style="4" customWidth="1"/>
    <col min="3" max="3" width="19.625" style="4" customWidth="1"/>
    <col min="4" max="5" width="15.5" style="4" customWidth="1"/>
    <col min="6" max="9" width="15.625" style="4" customWidth="1"/>
    <col min="10" max="10" width="18.875" style="4" customWidth="1"/>
  </cols>
  <sheetData>
    <row r="1" spans="1:10">
      <c r="A1" s="7"/>
      <c r="B1" s="7" t="s">
        <v>0</v>
      </c>
      <c r="C1" s="7"/>
      <c r="D1" s="7"/>
      <c r="E1" s="7"/>
      <c r="F1" s="7"/>
      <c r="G1" s="7"/>
      <c r="H1" s="7"/>
      <c r="I1" s="7"/>
      <c r="J1" s="7"/>
    </row>
    <row r="2" spans="1:10">
      <c r="A2" s="9" t="s">
        <v>6</v>
      </c>
      <c r="B2" s="7">
        <v>4.9000000000000004</v>
      </c>
      <c r="C2" s="7"/>
      <c r="D2" s="7"/>
      <c r="E2" s="7"/>
      <c r="F2" s="7"/>
      <c r="G2" s="7"/>
      <c r="H2" s="7"/>
      <c r="I2" s="7"/>
      <c r="J2" s="7"/>
    </row>
    <row r="3" spans="1:10">
      <c r="A3" s="7"/>
      <c r="B3" s="2" t="s">
        <v>0</v>
      </c>
      <c r="C3" s="2" t="s">
        <v>3</v>
      </c>
      <c r="D3" s="2" t="s">
        <v>0</v>
      </c>
      <c r="E3" s="2" t="s">
        <v>0</v>
      </c>
      <c r="F3" s="19" t="s">
        <v>3</v>
      </c>
      <c r="G3" s="19"/>
      <c r="H3" s="19"/>
      <c r="I3" s="19"/>
      <c r="J3" s="19"/>
    </row>
    <row r="4" spans="1:10" ht="16.5">
      <c r="A4" s="19" t="s">
        <v>4</v>
      </c>
      <c r="B4" s="23" t="s">
        <v>26</v>
      </c>
      <c r="C4" s="19"/>
      <c r="D4" s="22" t="s">
        <v>7</v>
      </c>
      <c r="E4" s="24" t="s">
        <v>27</v>
      </c>
      <c r="F4" s="20" t="s">
        <v>9</v>
      </c>
      <c r="G4" s="19" t="s">
        <v>10</v>
      </c>
      <c r="H4" s="19" t="s">
        <v>11</v>
      </c>
      <c r="I4" s="19" t="s">
        <v>12</v>
      </c>
      <c r="J4" s="19" t="s">
        <v>13</v>
      </c>
    </row>
    <row r="5" spans="1:10" ht="16.5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7">
        <v>2</v>
      </c>
      <c r="B6" s="19">
        <v>5.3571000000000001E-3</v>
      </c>
      <c r="C6" s="7">
        <v>37.4</v>
      </c>
      <c r="D6" s="7"/>
      <c r="E6" s="7">
        <v>0.81399999999999995</v>
      </c>
      <c r="F6" s="7">
        <f>2*E6/A6</f>
        <v>0.81399999999999995</v>
      </c>
      <c r="G6" s="7">
        <f>D6*F6</f>
        <v>0</v>
      </c>
      <c r="H6" s="19">
        <f>AVERAGE(G6:G7)</f>
        <v>0.14526050000000001</v>
      </c>
      <c r="I6" s="19">
        <f>(B2/B6)^(1/2)</f>
        <v>30.243577567122234</v>
      </c>
      <c r="J6" s="19">
        <f>(H6-I6)/I6*100%</f>
        <v>-0.99519698026208669</v>
      </c>
    </row>
    <row r="7" spans="1:10">
      <c r="A7" s="7">
        <v>3</v>
      </c>
      <c r="B7" s="19"/>
      <c r="C7" s="7">
        <v>58.3</v>
      </c>
      <c r="D7" s="7">
        <f>E7/2*3</f>
        <v>0.8085</v>
      </c>
      <c r="E7" s="7">
        <v>0.53900000000000003</v>
      </c>
      <c r="F7" s="7">
        <f t="shared" ref="F7:F17" si="0">2*E7/A7</f>
        <v>0.35933333333333334</v>
      </c>
      <c r="G7" s="7">
        <f>D7*F7</f>
        <v>0.29052100000000003</v>
      </c>
      <c r="H7" s="19"/>
      <c r="I7" s="19"/>
      <c r="J7" s="19"/>
    </row>
    <row r="8" spans="1:10">
      <c r="A8" s="7">
        <v>2</v>
      </c>
      <c r="B8" s="19">
        <v>3.9515000000000002E-3</v>
      </c>
      <c r="C8" s="7">
        <v>45.2</v>
      </c>
      <c r="D8" s="7"/>
      <c r="E8" s="7">
        <v>0.81499999999999995</v>
      </c>
      <c r="F8" s="7">
        <f t="shared" si="0"/>
        <v>0.81499999999999995</v>
      </c>
      <c r="G8" s="7">
        <f t="shared" ref="G8:G11" si="1">D8*F8</f>
        <v>0</v>
      </c>
      <c r="H8" s="19">
        <f t="shared" ref="H8" si="2">AVERAGE(G8:G9)</f>
        <v>0.14851250000000002</v>
      </c>
      <c r="I8" s="19">
        <f>(B2/B8)^(1/2)</f>
        <v>35.214136786008289</v>
      </c>
      <c r="J8" s="19">
        <f>(H8-I8)/I8*100%</f>
        <v>-0.99578258865459368</v>
      </c>
    </row>
    <row r="9" spans="1:10">
      <c r="A9" s="7">
        <v>3</v>
      </c>
      <c r="B9" s="19"/>
      <c r="C9" s="7">
        <v>67.599999999999994</v>
      </c>
      <c r="D9" s="7">
        <f t="shared" ref="D9" si="3">E9/2*3</f>
        <v>0.81750000000000012</v>
      </c>
      <c r="E9" s="7">
        <v>0.54500000000000004</v>
      </c>
      <c r="F9" s="7">
        <f t="shared" si="0"/>
        <v>0.36333333333333334</v>
      </c>
      <c r="G9" s="7">
        <f t="shared" si="1"/>
        <v>0.29702500000000004</v>
      </c>
      <c r="H9" s="19"/>
      <c r="I9" s="19"/>
      <c r="J9" s="19"/>
    </row>
    <row r="10" spans="1:10">
      <c r="A10" s="7">
        <v>2</v>
      </c>
      <c r="B10" s="19">
        <v>9.4629999999999992E-3</v>
      </c>
      <c r="C10" s="7">
        <v>34.4</v>
      </c>
      <c r="D10" s="7"/>
      <c r="E10" s="7">
        <v>0.68899999999999995</v>
      </c>
      <c r="F10" s="7">
        <f t="shared" si="0"/>
        <v>0.68899999999999995</v>
      </c>
      <c r="G10" s="7">
        <f t="shared" si="1"/>
        <v>0</v>
      </c>
      <c r="H10" s="19">
        <f t="shared" ref="H10" si="4">AVERAGE(G10:G11)</f>
        <v>0.13468050000000001</v>
      </c>
      <c r="I10" s="19">
        <f>(B2/B10)^(1/2)</f>
        <v>22.755355249684939</v>
      </c>
      <c r="J10" s="19">
        <f t="shared" ref="J10" si="5">(H10-I10)/I10*100%</f>
        <v>-0.99408137124108986</v>
      </c>
    </row>
    <row r="11" spans="1:10">
      <c r="A11" s="7">
        <v>3</v>
      </c>
      <c r="B11" s="19"/>
      <c r="C11" s="7">
        <v>45.4</v>
      </c>
      <c r="D11" s="7">
        <f t="shared" ref="D11" si="6">E11/2*3</f>
        <v>0.77849999999999997</v>
      </c>
      <c r="E11" s="7">
        <v>0.51900000000000002</v>
      </c>
      <c r="F11" s="7">
        <f t="shared" si="0"/>
        <v>0.34600000000000003</v>
      </c>
      <c r="G11" s="7">
        <f t="shared" si="1"/>
        <v>0.26936100000000002</v>
      </c>
      <c r="H11" s="19"/>
      <c r="I11" s="19"/>
      <c r="J11" s="19"/>
    </row>
    <row r="12" spans="1:10">
      <c r="A12" s="7">
        <v>2</v>
      </c>
      <c r="B12" s="19">
        <v>1.125E-2</v>
      </c>
      <c r="C12" s="7">
        <v>28.5</v>
      </c>
      <c r="D12" s="7"/>
      <c r="E12" s="7">
        <v>0.63</v>
      </c>
      <c r="F12" s="7">
        <f t="shared" si="0"/>
        <v>0.63</v>
      </c>
      <c r="G12" s="7">
        <f>D12*F12</f>
        <v>0</v>
      </c>
      <c r="H12" s="19">
        <f>AVERAGE(G12:G13)</f>
        <v>0.13005</v>
      </c>
      <c r="I12" s="19">
        <f>(B2/B12)^(1/2)</f>
        <v>20.869967789998039</v>
      </c>
      <c r="J12" s="19">
        <f>(H12-I12)/I12*100%</f>
        <v>-0.99376855770413175</v>
      </c>
    </row>
    <row r="13" spans="1:10">
      <c r="A13" s="7">
        <v>3</v>
      </c>
      <c r="B13" s="19"/>
      <c r="C13" s="7">
        <v>45.9</v>
      </c>
      <c r="D13" s="7">
        <f t="shared" ref="D13" si="7">E13/2*3</f>
        <v>0.76500000000000001</v>
      </c>
      <c r="E13" s="7">
        <v>0.51</v>
      </c>
      <c r="F13" s="7">
        <f t="shared" si="0"/>
        <v>0.34</v>
      </c>
      <c r="G13" s="7">
        <f>D13*F13</f>
        <v>0.2601</v>
      </c>
      <c r="H13" s="19"/>
      <c r="I13" s="19"/>
      <c r="J13" s="19"/>
    </row>
    <row r="14" spans="1:10">
      <c r="A14" s="7">
        <v>2</v>
      </c>
      <c r="B14" s="19">
        <v>2.9366000000000001E-3</v>
      </c>
      <c r="C14" s="7">
        <v>50.1</v>
      </c>
      <c r="D14" s="7"/>
      <c r="E14" s="7">
        <v>0.81699999999999995</v>
      </c>
      <c r="F14" s="7">
        <f t="shared" si="0"/>
        <v>0.81699999999999995</v>
      </c>
      <c r="G14" s="7">
        <f t="shared" ref="G14:G17" si="8">D14*F14</f>
        <v>0</v>
      </c>
      <c r="H14" s="19">
        <f t="shared" ref="H14" si="9">AVERAGE(G14:G15)</f>
        <v>0.14045000000000002</v>
      </c>
      <c r="I14" s="19">
        <f>(B2/B14)^(1/2)</f>
        <v>40.84845573456429</v>
      </c>
      <c r="J14" s="19">
        <f t="shared" ref="J14" si="10">(H14-I14)/I14*100%</f>
        <v>-0.99656168152567004</v>
      </c>
    </row>
    <row r="15" spans="1:10">
      <c r="A15" s="7">
        <v>3</v>
      </c>
      <c r="B15" s="19"/>
      <c r="C15" s="7">
        <v>72.099999999999994</v>
      </c>
      <c r="D15" s="7">
        <f t="shared" ref="D15" si="11">E15/2*3</f>
        <v>0.79500000000000004</v>
      </c>
      <c r="E15" s="7">
        <v>0.53</v>
      </c>
      <c r="F15" s="7">
        <f t="shared" si="0"/>
        <v>0.35333333333333333</v>
      </c>
      <c r="G15" s="7">
        <f t="shared" si="8"/>
        <v>0.28090000000000004</v>
      </c>
      <c r="H15" s="19"/>
      <c r="I15" s="19"/>
      <c r="J15" s="19"/>
    </row>
    <row r="16" spans="1:10">
      <c r="A16" s="7">
        <v>2</v>
      </c>
      <c r="B16" s="19"/>
      <c r="C16" s="19"/>
      <c r="D16" s="7"/>
      <c r="E16" s="7"/>
      <c r="F16" s="7">
        <f t="shared" si="0"/>
        <v>0</v>
      </c>
      <c r="G16" s="7">
        <f t="shared" si="8"/>
        <v>0</v>
      </c>
      <c r="H16" s="19">
        <f t="shared" ref="H16" si="12">AVERAGE(G16:G17)</f>
        <v>0</v>
      </c>
      <c r="I16" s="19" t="e">
        <f>(B2/B16)^(1/2)</f>
        <v>#DIV/0!</v>
      </c>
      <c r="J16" s="19" t="e">
        <f t="shared" ref="J16" si="13">(H16-I16)/I16*100%</f>
        <v>#DIV/0!</v>
      </c>
    </row>
    <row r="17" spans="1:10">
      <c r="A17" s="7">
        <v>3</v>
      </c>
      <c r="B17" s="19"/>
      <c r="C17" s="19"/>
      <c r="D17" s="7"/>
      <c r="E17" s="7"/>
      <c r="F17" s="7">
        <f t="shared" si="0"/>
        <v>0</v>
      </c>
      <c r="G17" s="7">
        <f t="shared" si="8"/>
        <v>0</v>
      </c>
      <c r="H17" s="19"/>
      <c r="I17" s="19"/>
      <c r="J17" s="19"/>
    </row>
    <row r="19" spans="1:10">
      <c r="A19" s="19" t="s">
        <v>14</v>
      </c>
      <c r="B19" s="19"/>
      <c r="C19" s="19"/>
      <c r="D19" s="19"/>
      <c r="E19" s="19"/>
      <c r="F19" s="19"/>
      <c r="G19" s="19"/>
      <c r="H19" s="7"/>
      <c r="I19" s="7"/>
      <c r="J19" s="7"/>
    </row>
    <row r="20" spans="1:10">
      <c r="A20" s="7" t="s">
        <v>15</v>
      </c>
      <c r="B20" s="7" t="s">
        <v>28</v>
      </c>
      <c r="C20" s="7"/>
      <c r="D20" s="7" t="s">
        <v>17</v>
      </c>
      <c r="E20" s="7" t="s">
        <v>18</v>
      </c>
      <c r="F20" s="7" t="s">
        <v>19</v>
      </c>
      <c r="G20" s="7" t="s">
        <v>20</v>
      </c>
      <c r="H20" s="7"/>
      <c r="I20" s="7"/>
      <c r="J20" s="7"/>
    </row>
    <row r="21" spans="1:10">
      <c r="A21" s="7">
        <f>LOG10(H6)</f>
        <v>-0.83785246529050372</v>
      </c>
      <c r="B21" s="7">
        <f>(-2)*LOG10(I6)+LOG10(B2)</f>
        <v>-2.2710702466562904</v>
      </c>
      <c r="C21" s="7"/>
      <c r="D21" s="7">
        <f>E21*F21+G21</f>
        <v>-9.1858362407433241</v>
      </c>
      <c r="E21" s="7">
        <f>SLOPE(B21:B25,A21:A25)</f>
        <v>-8.1283411509755528</v>
      </c>
      <c r="F21" s="7">
        <v>0</v>
      </c>
      <c r="G21" s="7">
        <f>INTERCEPT(B21:B25,A21:A25)</f>
        <v>-9.1858362407433241</v>
      </c>
      <c r="H21" s="7"/>
      <c r="I21" s="7"/>
      <c r="J21" s="7"/>
    </row>
    <row r="22" spans="1:10">
      <c r="A22" s="7">
        <f>LOG10(H8)</f>
        <v>-0.82823699111069626</v>
      </c>
      <c r="B22" s="7">
        <f>-2*LOG10(I8)+LOG10(B2)</f>
        <v>-2.4032380137247564</v>
      </c>
      <c r="C22" s="7"/>
      <c r="D22" s="7" t="s">
        <v>21</v>
      </c>
      <c r="E22" s="7" t="s">
        <v>22</v>
      </c>
      <c r="F22" s="19" t="s">
        <v>23</v>
      </c>
      <c r="G22" s="19"/>
      <c r="H22" s="7"/>
      <c r="I22" s="7"/>
      <c r="J22" s="7"/>
    </row>
    <row r="23" spans="1:10">
      <c r="A23" s="7">
        <f>LOG10(H10)</f>
        <v>-0.87069527996706542</v>
      </c>
      <c r="B23" s="7">
        <f>-2*LOG10(I10)+LOG10(B2)</f>
        <v>-2.0239711599088741</v>
      </c>
      <c r="C23" s="7"/>
      <c r="D23" s="7">
        <f>10^F21</f>
        <v>1</v>
      </c>
      <c r="E23" s="7">
        <f>10^D21</f>
        <v>6.5187414966447158E-10</v>
      </c>
      <c r="F23" s="19">
        <f>1/(E23^2/D23)</f>
        <v>2.3532739183241021E+18</v>
      </c>
      <c r="G23" s="19"/>
      <c r="H23" s="7"/>
      <c r="I23" s="7"/>
      <c r="J23" s="7"/>
    </row>
    <row r="24" spans="1:10">
      <c r="A24" s="7">
        <f>LOG10(H12)</f>
        <v>-0.8858896434681085</v>
      </c>
      <c r="B24" s="7">
        <f>-2*LOG10(I12)+LOG10(B2)</f>
        <v>-1.9488474775526186</v>
      </c>
      <c r="C24" s="7"/>
      <c r="D24" s="7" t="s">
        <v>24</v>
      </c>
      <c r="E24" s="7" t="s">
        <v>25</v>
      </c>
      <c r="F24" s="7"/>
      <c r="G24" s="7"/>
      <c r="H24" s="7"/>
      <c r="I24" s="7"/>
      <c r="J24" s="7"/>
    </row>
    <row r="25" spans="1:10">
      <c r="A25" s="7">
        <f>LOG10(H14)</f>
        <v>-0.85247825646240305</v>
      </c>
      <c r="B25" s="7">
        <f>-2*LOG10(I14)+LOG10(B2)</f>
        <v>-2.5321552055451066</v>
      </c>
      <c r="C25" s="7"/>
      <c r="D25" s="7">
        <f>(-D21-E21)/E21*100%</f>
        <v>-2.1300997423860406</v>
      </c>
      <c r="E25" s="7">
        <f>(F23-B2)/B2*100%</f>
        <v>4.8025998333144941E+17</v>
      </c>
      <c r="F25" s="7"/>
      <c r="G25" s="7"/>
      <c r="H25" s="7"/>
      <c r="I25" s="7"/>
      <c r="J25" s="7"/>
    </row>
    <row r="26" spans="1:10">
      <c r="A26" s="7" t="e">
        <f>LOG10(H16)</f>
        <v>#NUM!</v>
      </c>
      <c r="B26" s="7" t="e">
        <f>-2*LOG10(I16)+LOG10(B2)</f>
        <v>#DIV/0!</v>
      </c>
      <c r="C26" s="7"/>
      <c r="D26" s="7"/>
      <c r="E26" s="7"/>
      <c r="F26" s="7"/>
      <c r="G26" s="7"/>
      <c r="H26" s="7"/>
      <c r="I26" s="7"/>
      <c r="J26" s="7"/>
    </row>
  </sheetData>
  <mergeCells count="39">
    <mergeCell ref="A4:A5"/>
    <mergeCell ref="B4:B5"/>
    <mergeCell ref="C4:C5"/>
    <mergeCell ref="D4:D5"/>
    <mergeCell ref="E4:E5"/>
    <mergeCell ref="B6:B7"/>
    <mergeCell ref="H6:H7"/>
    <mergeCell ref="I6:I7"/>
    <mergeCell ref="J6:J7"/>
    <mergeCell ref="F3:J3"/>
    <mergeCell ref="F4:F5"/>
    <mergeCell ref="G4:G5"/>
    <mergeCell ref="H4:H5"/>
    <mergeCell ref="I4:I5"/>
    <mergeCell ref="J4:J5"/>
    <mergeCell ref="B8:B9"/>
    <mergeCell ref="H8:H9"/>
    <mergeCell ref="I8:I9"/>
    <mergeCell ref="J8:J9"/>
    <mergeCell ref="B10:B11"/>
    <mergeCell ref="H10:H11"/>
    <mergeCell ref="I10:I11"/>
    <mergeCell ref="J10:J11"/>
    <mergeCell ref="I16:I17"/>
    <mergeCell ref="J16:J17"/>
    <mergeCell ref="A19:G19"/>
    <mergeCell ref="B12:B13"/>
    <mergeCell ref="H12:H13"/>
    <mergeCell ref="I12:I13"/>
    <mergeCell ref="J12:J13"/>
    <mergeCell ref="B14:B15"/>
    <mergeCell ref="H14:H15"/>
    <mergeCell ref="I14:I15"/>
    <mergeCell ref="J14:J15"/>
    <mergeCell ref="F22:G22"/>
    <mergeCell ref="F23:G23"/>
    <mergeCell ref="B16:B17"/>
    <mergeCell ref="C16:C17"/>
    <mergeCell ref="H16:H17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A7F158-312B-475C-8F3C-550A7C207125}"/>
</file>

<file path=customXml/itemProps2.xml><?xml version="1.0" encoding="utf-8"?>
<ds:datastoreItem xmlns:ds="http://schemas.openxmlformats.org/officeDocument/2006/customXml" ds:itemID="{0443D50A-C7FA-473F-A277-98B2BA5610E5}"/>
</file>

<file path=customXml/itemProps3.xml><?xml version="1.0" encoding="utf-8"?>
<ds:datastoreItem xmlns:ds="http://schemas.openxmlformats.org/officeDocument/2006/customXml" ds:itemID="{82DA4D06-7F2E-4AD9-81F2-9D5701E2EA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揭崇岱</dc:creator>
  <cp:keywords/>
  <dc:description/>
  <cp:lastModifiedBy>08133016</cp:lastModifiedBy>
  <cp:revision/>
  <dcterms:created xsi:type="dcterms:W3CDTF">2019-11-28T03:10:09Z</dcterms:created>
  <dcterms:modified xsi:type="dcterms:W3CDTF">2019-12-19T13:29:44Z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Order">
    <vt:r8>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