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 windowHeight="1305" tabRatio="729" activeTab="3"/>
  </bookViews>
  <sheets>
    <sheet name="List of documents" sheetId="1" r:id="rId1"/>
    <sheet name="Stats on documents" sheetId="5" r:id="rId2"/>
    <sheet name="List of organisations" sheetId="2" r:id="rId3"/>
    <sheet name="List of abbreviations" sheetId="3" r:id="rId4"/>
  </sheets>
  <calcPr calcId="145621"/>
</workbook>
</file>

<file path=xl/calcChain.xml><?xml version="1.0" encoding="utf-8"?>
<calcChain xmlns="http://schemas.openxmlformats.org/spreadsheetml/2006/main">
  <c r="F113" i="5" l="1"/>
  <c r="E113" i="5"/>
  <c r="D113" i="5"/>
  <c r="C113" i="5"/>
  <c r="B113" i="5"/>
  <c r="F92" i="5"/>
  <c r="E92" i="5"/>
  <c r="D92" i="5"/>
  <c r="C92" i="5"/>
  <c r="B92" i="5"/>
  <c r="G113" i="5" l="1"/>
  <c r="G92" i="5"/>
  <c r="C49" i="5"/>
  <c r="C41" i="5"/>
  <c r="B41" i="5"/>
  <c r="B81" i="5" l="1"/>
  <c r="B90" i="5"/>
  <c r="F77" i="5" l="1"/>
  <c r="E77" i="5"/>
  <c r="D77" i="5"/>
  <c r="C77" i="5"/>
  <c r="B77" i="5"/>
  <c r="F76" i="5"/>
  <c r="E76" i="5"/>
  <c r="D76" i="5"/>
  <c r="C76" i="5"/>
  <c r="B76" i="5"/>
  <c r="F75" i="5"/>
  <c r="E75" i="5"/>
  <c r="D75" i="5"/>
  <c r="C75" i="5"/>
  <c r="B75" i="5"/>
  <c r="F74" i="5"/>
  <c r="E74" i="5"/>
  <c r="D74" i="5"/>
  <c r="C74" i="5"/>
  <c r="B74" i="5"/>
  <c r="F73" i="5"/>
  <c r="E73" i="5"/>
  <c r="D73" i="5"/>
  <c r="C73" i="5"/>
  <c r="B73" i="5"/>
  <c r="F72" i="5"/>
  <c r="E72" i="5"/>
  <c r="D72" i="5"/>
  <c r="C72" i="5"/>
  <c r="B72" i="5"/>
  <c r="F71" i="5"/>
  <c r="E71" i="5"/>
  <c r="D71" i="5"/>
  <c r="C71" i="5"/>
  <c r="B71" i="5"/>
  <c r="B112" i="5"/>
  <c r="B111" i="5"/>
  <c r="B110" i="5"/>
  <c r="B109" i="5"/>
  <c r="B108" i="5"/>
  <c r="B107" i="5"/>
  <c r="B106" i="5"/>
  <c r="B105" i="5"/>
  <c r="B104" i="5"/>
  <c r="B103" i="5"/>
  <c r="B102" i="5"/>
  <c r="B101" i="5"/>
  <c r="B100" i="5"/>
  <c r="F112" i="5"/>
  <c r="E112" i="5"/>
  <c r="D112" i="5"/>
  <c r="C112" i="5"/>
  <c r="F111" i="5"/>
  <c r="E111" i="5"/>
  <c r="D111" i="5"/>
  <c r="C111" i="5"/>
  <c r="F110" i="5"/>
  <c r="E110" i="5"/>
  <c r="D110" i="5"/>
  <c r="C110" i="5"/>
  <c r="F109" i="5"/>
  <c r="E109" i="5"/>
  <c r="D109" i="5"/>
  <c r="C109" i="5"/>
  <c r="F108" i="5"/>
  <c r="E108" i="5"/>
  <c r="D108" i="5"/>
  <c r="C108" i="5"/>
  <c r="F107" i="5"/>
  <c r="E107" i="5"/>
  <c r="D107" i="5"/>
  <c r="C107" i="5"/>
  <c r="F106" i="5"/>
  <c r="E106" i="5"/>
  <c r="D106" i="5"/>
  <c r="C106" i="5"/>
  <c r="F105" i="5"/>
  <c r="E105" i="5"/>
  <c r="D105" i="5"/>
  <c r="C105" i="5"/>
  <c r="F104" i="5"/>
  <c r="E104" i="5"/>
  <c r="D104" i="5"/>
  <c r="C104" i="5"/>
  <c r="F103" i="5"/>
  <c r="E103" i="5"/>
  <c r="D103" i="5"/>
  <c r="C103" i="5"/>
  <c r="F102" i="5"/>
  <c r="E102" i="5"/>
  <c r="D102" i="5"/>
  <c r="C102" i="5"/>
  <c r="F101" i="5"/>
  <c r="E101" i="5"/>
  <c r="D101" i="5"/>
  <c r="C101" i="5"/>
  <c r="F100" i="5"/>
  <c r="E100" i="5"/>
  <c r="D100" i="5"/>
  <c r="C100" i="5"/>
  <c r="F99" i="5"/>
  <c r="E99" i="5"/>
  <c r="D99" i="5"/>
  <c r="C99" i="5"/>
  <c r="G99" i="5"/>
  <c r="B99" i="5"/>
  <c r="F91" i="5"/>
  <c r="E91" i="5"/>
  <c r="D91" i="5"/>
  <c r="C91" i="5"/>
  <c r="B91" i="5"/>
  <c r="F90" i="5"/>
  <c r="E90" i="5"/>
  <c r="D90" i="5"/>
  <c r="C90" i="5"/>
  <c r="F89" i="5"/>
  <c r="E89" i="5"/>
  <c r="D89" i="5"/>
  <c r="C89" i="5"/>
  <c r="B89" i="5"/>
  <c r="F88" i="5"/>
  <c r="E88" i="5"/>
  <c r="D88" i="5"/>
  <c r="C88" i="5"/>
  <c r="B88" i="5"/>
  <c r="F87" i="5"/>
  <c r="E87" i="5"/>
  <c r="D87" i="5"/>
  <c r="C87" i="5"/>
  <c r="B87" i="5"/>
  <c r="F86" i="5"/>
  <c r="E86" i="5"/>
  <c r="D86" i="5"/>
  <c r="C86" i="5"/>
  <c r="B86" i="5"/>
  <c r="F85" i="5"/>
  <c r="E85" i="5"/>
  <c r="D85" i="5"/>
  <c r="C85" i="5"/>
  <c r="B85" i="5"/>
  <c r="F84" i="5"/>
  <c r="E84" i="5"/>
  <c r="D84" i="5"/>
  <c r="C84" i="5"/>
  <c r="B84" i="5"/>
  <c r="F83" i="5"/>
  <c r="E83" i="5"/>
  <c r="D83" i="5"/>
  <c r="C83" i="5"/>
  <c r="B83" i="5"/>
  <c r="F82" i="5"/>
  <c r="E82" i="5"/>
  <c r="D82" i="5"/>
  <c r="C82" i="5"/>
  <c r="B82" i="5"/>
  <c r="F81" i="5"/>
  <c r="E81" i="5"/>
  <c r="D81" i="5"/>
  <c r="C81" i="5"/>
  <c r="F80" i="5"/>
  <c r="E80" i="5"/>
  <c r="D80" i="5"/>
  <c r="C80" i="5"/>
  <c r="B80" i="5"/>
  <c r="F79" i="5"/>
  <c r="E79" i="5"/>
  <c r="D79" i="5"/>
  <c r="C79" i="5"/>
  <c r="B79" i="5"/>
  <c r="F78" i="5"/>
  <c r="E78" i="5"/>
  <c r="D78" i="5"/>
  <c r="C78" i="5"/>
  <c r="B78" i="5"/>
  <c r="G81" i="5" l="1"/>
  <c r="G77" i="5"/>
  <c r="C94" i="5"/>
  <c r="D94" i="5"/>
  <c r="E94" i="5"/>
  <c r="B94" i="5"/>
  <c r="F94" i="5"/>
  <c r="G73" i="5"/>
  <c r="G83" i="5"/>
  <c r="G87" i="5"/>
  <c r="G91" i="5"/>
  <c r="G71" i="5"/>
  <c r="G75" i="5"/>
  <c r="G72" i="5"/>
  <c r="G76" i="5"/>
  <c r="G78" i="5"/>
  <c r="G86" i="5"/>
  <c r="G74" i="5"/>
  <c r="G82" i="5"/>
  <c r="G90" i="5"/>
  <c r="G79" i="5"/>
  <c r="G84" i="5"/>
  <c r="G88" i="5"/>
  <c r="G102" i="5"/>
  <c r="G80" i="5"/>
  <c r="G85" i="5"/>
  <c r="G89" i="5"/>
  <c r="G111" i="5"/>
  <c r="G109" i="5"/>
  <c r="G107" i="5"/>
  <c r="G106" i="5"/>
  <c r="G105" i="5"/>
  <c r="G104" i="5"/>
  <c r="G103" i="5"/>
  <c r="G101" i="5"/>
  <c r="G100" i="5"/>
  <c r="G110" i="5"/>
  <c r="C115" i="5"/>
  <c r="G112" i="5"/>
  <c r="G108" i="5"/>
  <c r="F115" i="5"/>
  <c r="E115" i="5"/>
  <c r="D115" i="5"/>
  <c r="B115" i="5"/>
  <c r="K80" i="1"/>
  <c r="K61" i="1"/>
  <c r="K84" i="1"/>
  <c r="K94" i="1"/>
  <c r="B35" i="5"/>
  <c r="G94" i="5" l="1"/>
  <c r="G115" i="5"/>
  <c r="B49" i="5"/>
  <c r="C48" i="5"/>
  <c r="B48" i="5"/>
  <c r="C47" i="5"/>
  <c r="B47" i="5"/>
  <c r="B26" i="5" l="1"/>
  <c r="C26" i="5"/>
  <c r="B30" i="5"/>
  <c r="B37" i="5"/>
  <c r="B40" i="5"/>
  <c r="C40" i="5"/>
  <c r="C37" i="5"/>
  <c r="C30" i="5"/>
  <c r="B24" i="5"/>
  <c r="B34" i="5"/>
  <c r="B31" i="5"/>
  <c r="B33" i="5"/>
  <c r="B25" i="5"/>
  <c r="B42" i="5"/>
  <c r="B29" i="5"/>
  <c r="B39" i="5"/>
  <c r="B23" i="5"/>
  <c r="B28" i="5"/>
  <c r="B32" i="5"/>
  <c r="B27" i="5"/>
  <c r="B36" i="5"/>
  <c r="B38" i="5"/>
  <c r="B22" i="5"/>
  <c r="B16" i="5"/>
  <c r="B17" i="5"/>
  <c r="B18" i="5"/>
  <c r="B12" i="5"/>
  <c r="B10" i="5"/>
  <c r="B11" i="5"/>
  <c r="B6" i="5"/>
  <c r="B3" i="5"/>
  <c r="B5" i="5"/>
  <c r="B4" i="5"/>
  <c r="B2" i="5"/>
  <c r="B46" i="5" l="1"/>
  <c r="B64" i="5"/>
  <c r="B62" i="5"/>
  <c r="B63" i="5"/>
  <c r="B51" i="5"/>
  <c r="B50" i="5"/>
  <c r="B43" i="5"/>
  <c r="B13" i="5"/>
  <c r="B7" i="5"/>
  <c r="B19" i="5"/>
  <c r="C35" i="5"/>
  <c r="C24" i="5"/>
  <c r="C34" i="5"/>
  <c r="C31" i="5"/>
  <c r="C33" i="5"/>
  <c r="C25" i="5"/>
  <c r="C42" i="5"/>
  <c r="C29" i="5"/>
  <c r="C39" i="5"/>
  <c r="C23" i="5"/>
  <c r="C28" i="5"/>
  <c r="C32" i="5"/>
  <c r="C27" i="5"/>
  <c r="C36" i="5"/>
  <c r="C38" i="5"/>
  <c r="C22" i="5"/>
  <c r="C16" i="5"/>
  <c r="C17" i="5"/>
  <c r="C18" i="5"/>
  <c r="C12" i="5"/>
  <c r="C10" i="5"/>
  <c r="C11" i="5"/>
  <c r="C6" i="5"/>
  <c r="C3" i="5"/>
  <c r="C5" i="5"/>
  <c r="C4" i="5"/>
  <c r="C2" i="5"/>
  <c r="C46" i="5" l="1"/>
  <c r="B65" i="5"/>
  <c r="C63" i="5"/>
  <c r="C62" i="5"/>
  <c r="C64" i="5"/>
  <c r="B52" i="5"/>
  <c r="C50" i="5"/>
  <c r="C51" i="5"/>
  <c r="C43" i="5"/>
  <c r="C7" i="5"/>
  <c r="C13" i="5"/>
  <c r="C19" i="5"/>
  <c r="C65" i="5" l="1"/>
  <c r="C52" i="5"/>
</calcChain>
</file>

<file path=xl/sharedStrings.xml><?xml version="1.0" encoding="utf-8"?>
<sst xmlns="http://schemas.openxmlformats.org/spreadsheetml/2006/main" count="4910" uniqueCount="1531">
  <si>
    <t>Remarks</t>
  </si>
  <si>
    <t>Language</t>
  </si>
  <si>
    <t>Document title</t>
  </si>
  <si>
    <t xml:space="preserve">https://www.bea.gov/data/intl-trade-investment/international-transactions </t>
  </si>
  <si>
    <t xml:space="preserve">https://statistiques.public.lu/fr/methodologie/methodes/economie-finances/Bop/bop/index.html </t>
  </si>
  <si>
    <t xml:space="preserve">https://www150.statcan.gc.ca/n1/en/subjects/economic_accounts/international_accounts </t>
  </si>
  <si>
    <t xml:space="preserve">https://www150.statcan.gc.ca/n1/fr/sujets/comptes_economiques/comptes_internationaux </t>
  </si>
  <si>
    <t>URL 1</t>
  </si>
  <si>
    <t>URL 2</t>
  </si>
  <si>
    <t>https://data.snb.ch/de/topics/aube#!/doc/explanations_aube_bopauverm</t>
  </si>
  <si>
    <t xml:space="preserve">https://data.snb.ch/fr/topics/aube#!/doc/explanations_aube_bopauverm </t>
  </si>
  <si>
    <t xml:space="preserve">https://ec.europa.eu/eurostat/web/balance-of-payments </t>
  </si>
  <si>
    <t>Organisations</t>
  </si>
  <si>
    <t xml:space="preserve">https://www.imf.org/external/np/sta/bop/bop.htm </t>
  </si>
  <si>
    <t xml:space="preserve">https://www.ecb.europa.eu/stats/balance_of_payments_and_external/html/index.en.html </t>
  </si>
  <si>
    <t xml:space="preserve">https://www.ons.gov.uk/economy/nationalaccounts/balanceofpayments/bulletins/balanceofpayments/latest </t>
  </si>
  <si>
    <t xml:space="preserve">https://www.banque-france.fr/statistiques/balance-des-paiements-et-statistiques-bancaires-internationales/la-balance-des-paiements-et-la-position-exterieure </t>
  </si>
  <si>
    <t>Notes</t>
  </si>
  <si>
    <t xml:space="preserve">https://www.bundesbank.de/de/statistiken/aussenwirtschaft/zahlungsbilanz/zahlungsbilanz-776098 </t>
  </si>
  <si>
    <t xml:space="preserve">https://www.bundesbank.de/action/de/732090/bbksearch?tf=815054%3A501158.815054%3A810762.815054%3A814192. </t>
  </si>
  <si>
    <t xml:space="preserve">https://www.nbb.be/fr/statistiques/balance-des-paiements </t>
  </si>
  <si>
    <t xml:space="preserve">https://www.bankofengland.co.uk/search#?cludoquery=%22balance%20of%20payments%22&amp;cludopage=1 </t>
  </si>
  <si>
    <t xml:space="preserve">http://www.bcl.lu/fr/statistiques/series_statistiques_luxembourg/07_balance/index.html </t>
  </si>
  <si>
    <t>Are there papers/articles on the BOP?</t>
  </si>
  <si>
    <t>Abbreviations</t>
  </si>
  <si>
    <r>
      <rPr>
        <b/>
        <sz val="16"/>
        <color theme="1"/>
        <rFont val="Liberation Sans"/>
        <family val="2"/>
      </rPr>
      <t>RE</t>
    </r>
    <r>
      <rPr>
        <sz val="16"/>
        <color theme="1"/>
        <rFont val="Liberation Sans"/>
        <family val="2"/>
      </rPr>
      <t xml:space="preserve"> = Regulatory documents</t>
    </r>
  </si>
  <si>
    <r>
      <rPr>
        <b/>
        <sz val="16"/>
        <color theme="1"/>
        <rFont val="Liberation Sans"/>
        <family val="2"/>
      </rPr>
      <t>RM</t>
    </r>
    <r>
      <rPr>
        <sz val="16"/>
        <color theme="1"/>
        <rFont val="Liberation Sans"/>
        <family val="2"/>
      </rPr>
      <t xml:space="preserve"> = Reference documents, manuals, methodology</t>
    </r>
  </si>
  <si>
    <t>Back to list of documents</t>
  </si>
  <si>
    <t>Back to list of organisations</t>
  </si>
  <si>
    <t>BEA</t>
  </si>
  <si>
    <t>BCL</t>
  </si>
  <si>
    <t>BdF</t>
  </si>
  <si>
    <t>BoE</t>
  </si>
  <si>
    <t>NBB</t>
  </si>
  <si>
    <t>BuBa</t>
  </si>
  <si>
    <t>ECB</t>
  </si>
  <si>
    <t>EuS</t>
  </si>
  <si>
    <t>IMF</t>
  </si>
  <si>
    <t>OeNB</t>
  </si>
  <si>
    <t>ONS</t>
  </si>
  <si>
    <t>SNB</t>
  </si>
  <si>
    <t>Scan</t>
  </si>
  <si>
    <t>Statec</t>
  </si>
  <si>
    <t>N</t>
  </si>
  <si>
    <t xml:space="preserve">https://www.banque-france.fr/application-mobile </t>
  </si>
  <si>
    <t>CB = Central Bank</t>
  </si>
  <si>
    <t>SO = Statistics Office</t>
  </si>
  <si>
    <t>CMFB</t>
  </si>
  <si>
    <t>https://www.cmfb.org/home</t>
  </si>
  <si>
    <t>Code</t>
  </si>
  <si>
    <t>A - Authors</t>
  </si>
  <si>
    <t>B - Document types</t>
  </si>
  <si>
    <t>Contact name</t>
  </si>
  <si>
    <t>Contact email</t>
  </si>
  <si>
    <t>Paul Feuvrier</t>
  </si>
  <si>
    <t>Paul.Feuvrier@bcl.lu</t>
  </si>
  <si>
    <t>Stefan Hopp</t>
  </si>
  <si>
    <t>stefan.hopp@bundesbank.de</t>
  </si>
  <si>
    <t>Laurent Bley</t>
  </si>
  <si>
    <t xml:space="preserve">laurent.bley@statec.etat.lu </t>
  </si>
  <si>
    <t>perry.francis@bankofengland.gsi.gov.uk</t>
  </si>
  <si>
    <t xml:space="preserve">Perry Francis </t>
  </si>
  <si>
    <t>raymond.mataloni@bea.gov; patricia.abaroa@bea.gov</t>
  </si>
  <si>
    <t>Raymond Mataloni
Patricia Abaroa</t>
  </si>
  <si>
    <t>Jennifer Withington, Eric Boulay</t>
  </si>
  <si>
    <t xml:space="preserve">Olaf Nowak </t>
  </si>
  <si>
    <t xml:space="preserve">Paul Austin </t>
  </si>
  <si>
    <t xml:space="preserve">PAUSTIN@imf.org </t>
  </si>
  <si>
    <t>Richard McCrae</t>
  </si>
  <si>
    <t>bertrand.pluyaud@banque-france.fr; bertrand.colles@banque-france.fr</t>
  </si>
  <si>
    <t>Bertrand Pluyaud
Bertrand Colle</t>
  </si>
  <si>
    <t>Roger De Boeck</t>
  </si>
  <si>
    <t>Thomas Cernohous</t>
  </si>
  <si>
    <t xml:space="preserve">thomas.cernohous@oenb.at </t>
  </si>
  <si>
    <t xml:space="preserve">rdb.db@scarlet.be </t>
  </si>
  <si>
    <t xml:space="preserve">olaf.nowak@ec.europa.eu </t>
  </si>
  <si>
    <t xml:space="preserve">richard.mccrae@ons.gov.uk  </t>
  </si>
  <si>
    <t xml:space="preserve">jennifer.withington@canada.ca ; eric.boulay@canada.ca </t>
  </si>
  <si>
    <t>Muff Hildegard; Flühmann Alexander</t>
  </si>
  <si>
    <t xml:space="preserve">hildegard.muff@snb.ch 
alexander.fluehmann@snb.ch </t>
  </si>
  <si>
    <t>Christopher Sibley</t>
  </si>
  <si>
    <t xml:space="preserve">Christopher.Sibley@cso.ie </t>
  </si>
  <si>
    <t>YES</t>
  </si>
  <si>
    <t>NO</t>
  </si>
  <si>
    <t>?</t>
  </si>
  <si>
    <r>
      <rPr>
        <b/>
        <sz val="16"/>
        <color theme="1"/>
        <rFont val="Liberation Sans"/>
        <family val="2"/>
      </rPr>
      <t>PP</t>
    </r>
    <r>
      <rPr>
        <sz val="16"/>
        <color theme="1"/>
        <rFont val="Liberation Sans"/>
        <family val="2"/>
      </rPr>
      <t xml:space="preserve"> = Papers and articles on special topics published in reviews</t>
    </r>
  </si>
  <si>
    <r>
      <rPr>
        <b/>
        <sz val="16"/>
        <color theme="1"/>
        <rFont val="Liberation Sans"/>
        <family val="2"/>
      </rPr>
      <t>PR</t>
    </r>
    <r>
      <rPr>
        <sz val="16"/>
        <color theme="1"/>
        <rFont val="Liberation Sans"/>
        <family val="2"/>
      </rPr>
      <t xml:space="preserve"> = Press releases and reports</t>
    </r>
  </si>
  <si>
    <t>No contact person: consultative body with persons from Eurostat and ECB</t>
  </si>
  <si>
    <t>na</t>
  </si>
  <si>
    <t>Contact OK to be in expert pool</t>
  </si>
  <si>
    <t>https://www.cso.ie/en/statistics/internationalaccounts/internationalaccounts/</t>
  </si>
  <si>
    <t>CSO</t>
  </si>
  <si>
    <r>
      <t xml:space="preserve">Availability of the </t>
    </r>
    <r>
      <rPr>
        <u/>
        <sz val="11"/>
        <color theme="1"/>
        <rFont val="Liberation Sans"/>
        <family val="2"/>
      </rPr>
      <t>papers</t>
    </r>
    <r>
      <rPr>
        <sz val="11"/>
        <color theme="1"/>
        <rFont val="Liberation Sans"/>
        <family val="2"/>
      </rPr>
      <t xml:space="preserve"> presented at the 2012 BOP seminary (https://www.cso.ie/en/csolatestnews/eventsconferencesseminars/balanceofpaymentsseminar/)?</t>
    </r>
  </si>
  <si>
    <t>Type</t>
  </si>
  <si>
    <t>SO</t>
  </si>
  <si>
    <t>CB</t>
  </si>
  <si>
    <r>
      <rPr>
        <b/>
        <sz val="11"/>
        <color theme="1"/>
        <rFont val="Liberation Sans"/>
        <family val="2"/>
      </rPr>
      <t>Distinction between PR and PP</t>
    </r>
    <r>
      <rPr>
        <sz val="11"/>
        <color theme="1"/>
        <rFont val="Liberation Sans"/>
        <family val="2"/>
      </rPr>
      <t xml:space="preserve">: 
- PR's main topics are linked with the presentation of actual statistical data (e.g. for the previous year or quarter)
- PPs present more fundamental reflections about the BOP </t>
    </r>
  </si>
  <si>
    <t>Typology of organisations</t>
  </si>
  <si>
    <t>OT = Others</t>
  </si>
  <si>
    <r>
      <rPr>
        <b/>
        <sz val="16"/>
        <color theme="1"/>
        <rFont val="Liberation Sans"/>
        <family val="2"/>
      </rPr>
      <t>BEA</t>
    </r>
    <r>
      <rPr>
        <sz val="16"/>
        <color theme="1"/>
        <rFont val="Liberation Sans"/>
        <family val="2"/>
      </rPr>
      <t xml:space="preserve"> = US Bureau of Economic Analysis (SO-N)</t>
    </r>
  </si>
  <si>
    <r>
      <rPr>
        <b/>
        <sz val="16"/>
        <color theme="1"/>
        <rFont val="Liberation Sans"/>
        <family val="2"/>
      </rPr>
      <t>BuBa</t>
    </r>
    <r>
      <rPr>
        <sz val="16"/>
        <color theme="1"/>
        <rFont val="Liberation Sans"/>
        <family val="2"/>
      </rPr>
      <t xml:space="preserve"> = Deutsche Bundesbank (Germany - CB-N)</t>
    </r>
  </si>
  <si>
    <r>
      <rPr>
        <b/>
        <sz val="16"/>
        <color theme="1"/>
        <rFont val="Liberation Sans"/>
        <family val="2"/>
      </rPr>
      <t>CSO</t>
    </r>
    <r>
      <rPr>
        <sz val="16"/>
        <color theme="1"/>
        <rFont val="Liberation Sans"/>
        <family val="2"/>
      </rPr>
      <t xml:space="preserve"> = Central Statistics Office (Ireland - SO-N)</t>
    </r>
  </si>
  <si>
    <r>
      <rPr>
        <b/>
        <sz val="16"/>
        <color theme="1"/>
        <rFont val="Liberation Sans"/>
        <family val="2"/>
      </rPr>
      <t>BoE</t>
    </r>
    <r>
      <rPr>
        <sz val="16"/>
        <color theme="1"/>
        <rFont val="Liberation Sans"/>
        <family val="2"/>
      </rPr>
      <t xml:space="preserve"> = Bank of England (UK - CB-N)</t>
    </r>
  </si>
  <si>
    <r>
      <rPr>
        <b/>
        <sz val="16"/>
        <color theme="1"/>
        <rFont val="Liberation Sans"/>
        <family val="2"/>
      </rPr>
      <t>BdF</t>
    </r>
    <r>
      <rPr>
        <sz val="16"/>
        <color theme="1"/>
        <rFont val="Liberation Sans"/>
        <family val="2"/>
      </rPr>
      <t xml:space="preserve"> = Banque de France (France - CB-N)</t>
    </r>
  </si>
  <si>
    <r>
      <rPr>
        <b/>
        <sz val="16"/>
        <color theme="1"/>
        <rFont val="Liberation Sans"/>
        <family val="2"/>
      </rPr>
      <t>BCL</t>
    </r>
    <r>
      <rPr>
        <sz val="16"/>
        <color theme="1"/>
        <rFont val="Liberation Sans"/>
        <family val="2"/>
      </rPr>
      <t xml:space="preserve"> = Banque centrale du Luxembourg (Luxemburg - CB-N)</t>
    </r>
  </si>
  <si>
    <r>
      <rPr>
        <b/>
        <sz val="16"/>
        <color theme="1"/>
        <rFont val="Liberation Sans"/>
        <family val="2"/>
      </rPr>
      <t>NBB</t>
    </r>
    <r>
      <rPr>
        <sz val="16"/>
        <color theme="1"/>
        <rFont val="Liberation Sans"/>
        <family val="2"/>
      </rPr>
      <t xml:space="preserve"> = Banque nationale de Belgique (Belgium - CB-N)</t>
    </r>
  </si>
  <si>
    <r>
      <rPr>
        <b/>
        <sz val="16"/>
        <color theme="1"/>
        <rFont val="Liberation Sans"/>
        <family val="2"/>
      </rPr>
      <t xml:space="preserve">ONS </t>
    </r>
    <r>
      <rPr>
        <sz val="16"/>
        <color theme="1"/>
        <rFont val="Liberation Sans"/>
        <family val="2"/>
      </rPr>
      <t>= Office for National Statistics (UK SO-N)</t>
    </r>
  </si>
  <si>
    <r>
      <rPr>
        <b/>
        <sz val="16"/>
        <color theme="1"/>
        <rFont val="Liberation Sans"/>
        <family val="2"/>
      </rPr>
      <t>SCan</t>
    </r>
    <r>
      <rPr>
        <sz val="16"/>
        <color theme="1"/>
        <rFont val="Liberation Sans"/>
        <family val="2"/>
      </rPr>
      <t xml:space="preserve"> = Statistics Canada (Canada SO-N)</t>
    </r>
  </si>
  <si>
    <r>
      <rPr>
        <b/>
        <sz val="16"/>
        <color theme="1"/>
        <rFont val="Liberation Sans"/>
        <family val="2"/>
      </rPr>
      <t xml:space="preserve">SNB </t>
    </r>
    <r>
      <rPr>
        <sz val="16"/>
        <color theme="1"/>
        <rFont val="Liberation Sans"/>
        <family val="2"/>
      </rPr>
      <t>= Swiss National Bank (Switzerland - CB-N)</t>
    </r>
  </si>
  <si>
    <r>
      <rPr>
        <b/>
        <sz val="16"/>
        <color theme="1"/>
        <rFont val="Liberation Sans"/>
        <family val="2"/>
      </rPr>
      <t xml:space="preserve">EC+al. </t>
    </r>
    <r>
      <rPr>
        <sz val="16"/>
        <color theme="1"/>
        <rFont val="Liberation Sans"/>
        <family val="2"/>
      </rPr>
      <t>= European Commission et al. (OT-I)</t>
    </r>
  </si>
  <si>
    <r>
      <rPr>
        <b/>
        <sz val="16"/>
        <color theme="1"/>
        <rFont val="Liberation Sans"/>
        <family val="2"/>
      </rPr>
      <t>ECB</t>
    </r>
    <r>
      <rPr>
        <sz val="16"/>
        <color theme="1"/>
        <rFont val="Liberation Sans"/>
        <family val="2"/>
      </rPr>
      <t xml:space="preserve"> = European Central Bank (Euro area - CB-I)</t>
    </r>
  </si>
  <si>
    <r>
      <rPr>
        <b/>
        <sz val="16"/>
        <color theme="1"/>
        <rFont val="Liberation Sans"/>
        <family val="2"/>
      </rPr>
      <t>EuS</t>
    </r>
    <r>
      <rPr>
        <sz val="16"/>
        <color theme="1"/>
        <rFont val="Liberation Sans"/>
        <family val="2"/>
      </rPr>
      <t xml:space="preserve"> = Eurostat (EU SO-I)</t>
    </r>
  </si>
  <si>
    <r>
      <rPr>
        <b/>
        <sz val="16"/>
        <color theme="1"/>
        <rFont val="Liberation Sans"/>
        <family val="2"/>
      </rPr>
      <t>IMF</t>
    </r>
    <r>
      <rPr>
        <sz val="16"/>
        <color theme="1"/>
        <rFont val="Liberation Sans"/>
        <family val="2"/>
      </rPr>
      <t xml:space="preserve"> = International Monetary Fund (OT-I)</t>
    </r>
  </si>
  <si>
    <r>
      <rPr>
        <b/>
        <sz val="16"/>
        <color theme="1"/>
        <rFont val="Liberation Sans"/>
        <family val="2"/>
      </rPr>
      <t xml:space="preserve">UN+al. </t>
    </r>
    <r>
      <rPr>
        <sz val="16"/>
        <color theme="1"/>
        <rFont val="Liberation Sans"/>
        <family val="2"/>
      </rPr>
      <t>= United Nations et al. (OT-I)</t>
    </r>
  </si>
  <si>
    <r>
      <rPr>
        <b/>
        <sz val="16"/>
        <color theme="1"/>
        <rFont val="Liberation Sans"/>
        <family val="2"/>
      </rPr>
      <t>CMFB</t>
    </r>
    <r>
      <rPr>
        <sz val="16"/>
        <color theme="1"/>
        <rFont val="Liberation Sans"/>
        <family val="2"/>
      </rPr>
      <t xml:space="preserve"> = Committee on Monetary, Financial and Balance of Payments Statistics (OT-I)</t>
    </r>
  </si>
  <si>
    <t>I</t>
  </si>
  <si>
    <t>OT</t>
  </si>
  <si>
    <t>BCL, BdF, BoE, BuBa, NBB, OeNB, SNB</t>
  </si>
  <si>
    <t>BEA, CSO, ONS, Scan, Statec</t>
  </si>
  <si>
    <t>-</t>
  </si>
  <si>
    <t>CMFB, EC+al., IMF, UN+al.</t>
  </si>
  <si>
    <t>—</t>
  </si>
  <si>
    <t>I = International</t>
  </si>
  <si>
    <t>N = National</t>
  </si>
  <si>
    <r>
      <rPr>
        <b/>
        <sz val="16"/>
        <color theme="1"/>
        <rFont val="Liberation Sans"/>
        <family val="2"/>
      </rPr>
      <t>GP</t>
    </r>
    <r>
      <rPr>
        <sz val="16"/>
        <color theme="1"/>
        <rFont val="Liberation Sans"/>
        <family val="2"/>
      </rPr>
      <t xml:space="preserve"> = General presentations and Documents for non-specialists</t>
    </r>
  </si>
  <si>
    <t>Area</t>
  </si>
  <si>
    <t>LU</t>
  </si>
  <si>
    <t>FR</t>
  </si>
  <si>
    <t>USA</t>
  </si>
  <si>
    <t>UK</t>
  </si>
  <si>
    <t>DE</t>
  </si>
  <si>
    <t>IE</t>
  </si>
  <si>
    <t>EU</t>
  </si>
  <si>
    <t>Euro</t>
  </si>
  <si>
    <t>BE</t>
  </si>
  <si>
    <t>AT</t>
  </si>
  <si>
    <t>CA</t>
  </si>
  <si>
    <t>CH</t>
  </si>
  <si>
    <t>N/I</t>
  </si>
  <si>
    <t>RM</t>
  </si>
  <si>
    <t>RM_IMF_2009_e</t>
  </si>
  <si>
    <t>E</t>
  </si>
  <si>
    <t>Balance of payments and international investment position manual, 6th ed.</t>
  </si>
  <si>
    <t>Year</t>
  </si>
  <si>
    <t>Original version</t>
  </si>
  <si>
    <t>Balance of payments and international investment position compilation guide</t>
  </si>
  <si>
    <t>RM_IMF_2014_e</t>
  </si>
  <si>
    <t>Manual on Statistics of International Trade in Services 2010 (MSITS 2010)</t>
  </si>
  <si>
    <t>RM_UN+al._2010_e</t>
  </si>
  <si>
    <t>RM_ONS_2020</t>
  </si>
  <si>
    <t>ONS Glossary</t>
  </si>
  <si>
    <t>Methodological notes (BPM6 basis)</t>
  </si>
  <si>
    <t>RM_ONS_2018</t>
  </si>
  <si>
    <t>System of National Accounts 2008</t>
  </si>
  <si>
    <t>RM_EC+al_2009</t>
  </si>
  <si>
    <t>ITS Background Notes</t>
  </si>
  <si>
    <t>RM_CSO_2017_its_bn</t>
  </si>
  <si>
    <t>CPIS Background Notes</t>
  </si>
  <si>
    <t>RM_CSO_2017_cpis_bn</t>
  </si>
  <si>
    <t>FDI Background Notes</t>
  </si>
  <si>
    <t>RM_CSO_2015_fdi_bn</t>
  </si>
  <si>
    <t>IIP Background Notes</t>
  </si>
  <si>
    <t>RM_CSO_2014_iip_bn</t>
  </si>
  <si>
    <t>BPM6 Implementation</t>
  </si>
  <si>
    <t>RM_CSO_2014</t>
  </si>
  <si>
    <t>Consistency issues in balance of payments and national accounts</t>
  </si>
  <si>
    <t>RM_CMFB_2020</t>
  </si>
  <si>
    <t>U.S. International Economic Accounts: Concepts and Methods</t>
  </si>
  <si>
    <t>RM_BEA_2014</t>
  </si>
  <si>
    <t>Comprehensive Restructuring and Annual Revision of the U.S. International Transactions Accounts</t>
  </si>
  <si>
    <t>Annual Revision of the U.S. International Transactions Accounts</t>
  </si>
  <si>
    <t>Annual Update of the U.S. International Transactions Accounts</t>
  </si>
  <si>
    <t>GP_BEA_2020</t>
  </si>
  <si>
    <t>GP_ONS_2015</t>
  </si>
  <si>
    <t>GP</t>
  </si>
  <si>
    <t>An introduction to the United Kingdom balance of payments</t>
  </si>
  <si>
    <t>International Transactions Accounts</t>
  </si>
  <si>
    <t>PP_BoE_2002</t>
  </si>
  <si>
    <t>PP_BoE_2013</t>
  </si>
  <si>
    <t>CMFB opinion on re-shaping the connection between business statistics and BOP-IIP via the FRIBS draft Regulation</t>
  </si>
  <si>
    <t>CMFB opinion on the principles for re-shaping the connection between business statistics and BoP/IIP</t>
  </si>
  <si>
    <t>PP_CMFB_2016-o2</t>
  </si>
  <si>
    <t>PP_CMFB_2016-o1</t>
  </si>
  <si>
    <t>PP_ECB_2014</t>
  </si>
  <si>
    <t>PP_ECB_2016</t>
  </si>
  <si>
    <t>PP_EuS_2017</t>
  </si>
  <si>
    <t>PP_Obstfeld_2012</t>
  </si>
  <si>
    <t>PP_ONS_2014</t>
  </si>
  <si>
    <t>Euro area balance of payments and international investment position statistics – 2013 quality report</t>
  </si>
  <si>
    <t>Euro area balance of payments and international investment position statistics 2015 Quality Report</t>
  </si>
  <si>
    <t>PP_EuS_2015</t>
  </si>
  <si>
    <t>Quality report on balance of payments, international trade in services and foreign direct investment</t>
  </si>
  <si>
    <t>Quality report on balance and payments (BOP), international trade in services (ITS) and foreign direct investment statistics (FDI)</t>
  </si>
  <si>
    <t>Does the Current Account Still Matter?</t>
  </si>
  <si>
    <t>Impact on the Balance of Payments and International Investment Position as a result of the introduction of new international standards, 1997 to 2013</t>
  </si>
  <si>
    <t>The Balance of Payments</t>
  </si>
  <si>
    <t>Leading indicators of balance-of-payments crises: a partial review</t>
  </si>
  <si>
    <t>PP</t>
  </si>
  <si>
    <t>U.S. International Transactions, Second Quarter 2020</t>
  </si>
  <si>
    <t>PR_BEA_bp_2020-2</t>
  </si>
  <si>
    <t>United Kingdom Balance of Payments: The Pink Book, 2015</t>
  </si>
  <si>
    <t>U.S. International Investment Position - Second Quarter 2020</t>
  </si>
  <si>
    <t>PR_BEA_iip_2020-2_a</t>
  </si>
  <si>
    <t>PR_BEA_iip_2020-2</t>
  </si>
  <si>
    <t>PR</t>
  </si>
  <si>
    <t>RE</t>
  </si>
  <si>
    <t>Authors</t>
  </si>
  <si>
    <t>No.</t>
  </si>
  <si>
    <t>User Guide: Canadian System of Macroeconomic Accounts, Chapter 2 History of Canada’s macroeconomic accounts</t>
  </si>
  <si>
    <t>User Guide: Canadian System of Macroeconomic Accounts, Chapter 8 International Accounts</t>
  </si>
  <si>
    <t>User Guide: Canadian System of Macroeconomic Accounts, Chapter 3 Key concepts in brief of the Canadian System of Macroeconomic Accounts</t>
  </si>
  <si>
    <t>Satellite Accounting in Canada</t>
  </si>
  <si>
    <t>A preview of the 2019 revision of the Canadian System of Macroeconomic Accounts</t>
  </si>
  <si>
    <t>PP_SCan_2019_e</t>
  </si>
  <si>
    <t>PP_Scan_2020_e</t>
  </si>
  <si>
    <t>RM_SCan_2016_csma2_e</t>
  </si>
  <si>
    <t>RM_SCan_2016_csma3_e</t>
  </si>
  <si>
    <t>RM_SCan_2017_csma8_e</t>
  </si>
  <si>
    <t>BALANCE DES PAIEMENTS</t>
  </si>
  <si>
    <t>F</t>
  </si>
  <si>
    <t>GP_STATEC_2014-2</t>
  </si>
  <si>
    <t>GP_STATEC_2014</t>
  </si>
  <si>
    <t>Présentation de l’unité</t>
  </si>
  <si>
    <t>La balance des paiements pour les non-spécialistes</t>
  </si>
  <si>
    <t>GP_NBB_2016</t>
  </si>
  <si>
    <t>GP_NBB_2019</t>
  </si>
  <si>
    <t>GP_BdF_2014</t>
  </si>
  <si>
    <t>Modifications méthodologiques apportées à la statistique de la balance des paiements</t>
  </si>
  <si>
    <t>Réponses aux questions fréquemment posées sur le passage au 6ème Manuel de balance des paiements et de la position extérieure globale (BPM6) et sur la disponibilité des données (FAQ)</t>
  </si>
  <si>
    <t>Balance des paiements du commerce des biens à Statistique Canada : Élargir le niveau de détail géographique jusqu'aux 27 principaux partenaires commerciaux</t>
  </si>
  <si>
    <t>Balance of Payments trade in goods at Statistics Canada: Expanding geographic detail to 27 principal trading partners</t>
  </si>
  <si>
    <t>PP_SCan_2014_e</t>
  </si>
  <si>
    <t>PP_SCan_2014_f</t>
  </si>
  <si>
    <t>La balance des paiements de la France selon les nouvelles normes internationales : une réponse statistique à la mondialisation de l’économie</t>
  </si>
  <si>
    <t>PP_BdF_2014-t4 pp.125-141</t>
  </si>
  <si>
    <t>Un aperçu de la révision de 2019 du Système canadien des comptes macroéconomiques</t>
  </si>
  <si>
    <t>Les comptes satellites au Canada</t>
  </si>
  <si>
    <t>PP_SCan_2020_f</t>
  </si>
  <si>
    <t>PP_SCan_2019_f</t>
  </si>
  <si>
    <t>Lang.</t>
  </si>
  <si>
    <t>D</t>
  </si>
  <si>
    <t>Translation</t>
  </si>
  <si>
    <t>Regards sur la balance courante en 2016</t>
  </si>
  <si>
    <t>PR_BdF_2014</t>
  </si>
  <si>
    <t>PR_BdF_2015</t>
  </si>
  <si>
    <t>PR_BdF_2016</t>
  </si>
  <si>
    <t>PR_BdF_2017</t>
  </si>
  <si>
    <t>PR_BdF_2018</t>
  </si>
  <si>
    <t>PR_BdF_2019</t>
  </si>
  <si>
    <t>PR_BdF_2020</t>
  </si>
  <si>
    <t>Report containing a glossary</t>
  </si>
  <si>
    <t>Balance des paiements – France • Septembre et 3ème trimestre 2020</t>
  </si>
  <si>
    <t>PR_BdF_2020-3</t>
  </si>
  <si>
    <t>Code monétaire et financier, Article L141-6</t>
  </si>
  <si>
    <t>RE_BdF_2009_L141-6CMF</t>
  </si>
  <si>
    <t>Décision n° 2009-04 du gouverneur de la Banque de France concernant la déclaration d’informations statistiques par les intermédiaires financiers pour l’établissement de la balance des paiements et de la position extérieure</t>
  </si>
  <si>
    <t>RE_BdF_2009-gouverneur</t>
  </si>
  <si>
    <t>RE_BdF_2007</t>
  </si>
  <si>
    <t>RE_BdF_2007-gouverneur</t>
  </si>
  <si>
    <t>Décision n° 2007-01 du Comité monétaire du Conseil général concernant la collecte de statistiques pour l’élaboration de la balance des paiements et de la position extérieure de la France, de la zone euro et de la Communauté européenne</t>
  </si>
  <si>
    <t>Loi du 28 février 2002 organisant l’établissement de la balance des paiements, de la position extérieure globale et des statistiques du commerce international des services et des investissements directs étrangers de la Belgique et portant modification de l’arrêté-loi du 6 octobre 1944 relatif au contrôle des changes et de diverses dispositions légales</t>
  </si>
  <si>
    <t>RE_NBB_2002</t>
  </si>
  <si>
    <t>TOTAL</t>
  </si>
  <si>
    <t>Manuel de la balance des paiements et de la position extérieure globale, 6e édition</t>
  </si>
  <si>
    <t>RM_IMF_2009-f</t>
  </si>
  <si>
    <t>GUIDE POUR L'ETABLISSEMENT DES STATISTIQUES SELON LE MBP6</t>
  </si>
  <si>
    <t>RM_IMF_2014_f</t>
  </si>
  <si>
    <t>Balance des paiements, services et investissements avec l’étranger</t>
  </si>
  <si>
    <t>RM_NBB_2020</t>
  </si>
  <si>
    <t>Système de comptabilité nationale 2008</t>
  </si>
  <si>
    <t>RM_EC+al._2013</t>
  </si>
  <si>
    <t>Méthodologie - La balance des paiements et la position extérieure de la France</t>
  </si>
  <si>
    <t>RM_BdF_2015</t>
  </si>
  <si>
    <t>Manuel des statistiques du commerce international des services 2010</t>
  </si>
  <si>
    <t>RM_UN+al._2013_f</t>
  </si>
  <si>
    <t>RM_SNB_2020_f</t>
  </si>
  <si>
    <t>Commentaires – Balance des paiements et position extérieure</t>
  </si>
  <si>
    <t>PP_SNB_2013_43-55_f</t>
  </si>
  <si>
    <t>Importance de la place financière dans la balance des transactions courantes - Adaptation des statistiques…</t>
  </si>
  <si>
    <t>Position extérieure de la Suisse: facteurs expliquant la variation des stocks</t>
  </si>
  <si>
    <t>PP_SNB_2019_f</t>
  </si>
  <si>
    <t>Relations entre le compte financier de la balance des paiements, la position extérieure et les comptes financiers</t>
  </si>
  <si>
    <t>PP_SNB_2020_f</t>
  </si>
  <si>
    <t>La représentation des activités des entreprises multinationales dans la balance des paiements</t>
  </si>
  <si>
    <t>PP_SNB_2019-2_f</t>
  </si>
  <si>
    <t>RM_SCan_2016_csma2_f</t>
  </si>
  <si>
    <t>Système canadien des comptes macroéconomiques - Chapitre 8 Comptes internationaux</t>
  </si>
  <si>
    <t>RM_SCan_2016_csma3_f</t>
  </si>
  <si>
    <t>RM_SCan_2017_csma8_f</t>
  </si>
  <si>
    <t>Système canadien des comptes macroéconomiques - Chapitre 2 Historique des comptes macroéconosmiques du Canada</t>
  </si>
  <si>
    <t>Système canadien des comptes macroéconomiques - Chapitre 3 Concepts clés en bref</t>
  </si>
  <si>
    <t>PR_SNB_2015_f</t>
  </si>
  <si>
    <t>PR_SNB_2016_f</t>
  </si>
  <si>
    <t>PR_SNB_2017_f</t>
  </si>
  <si>
    <t>PR_SNB_2018_f</t>
  </si>
  <si>
    <t>PR_SNB_2020-3_f</t>
  </si>
  <si>
    <t>Balance des paiements et position extérieure de la Suisse, 3e trimestre 2020</t>
  </si>
  <si>
    <t>Balance des paiements et position extérieure de la Suisse 2014</t>
  </si>
  <si>
    <t>Balance des paiements et position extérieure de la Suisse 2015</t>
  </si>
  <si>
    <t>Balance des paiements et position extérieure de la Suisse 2016</t>
  </si>
  <si>
    <t>Balance des paiements et position extérieure de la Suisse 2017</t>
  </si>
  <si>
    <t>Zahlungsbilanz und Internationale Vermögensposition nach BPM6 - Handbuch zu Definitionen, Quellen und Berechnungsmethoden</t>
  </si>
  <si>
    <t>RM_OeNB_2018</t>
  </si>
  <si>
    <t>Änderungen in der Methodik und Systematik der Zahlungsbilanz und des Auslandsvermögensstatus</t>
  </si>
  <si>
    <t>RM_BuBa_2014</t>
  </si>
  <si>
    <t>RM_SNB_2020_d</t>
  </si>
  <si>
    <t>Erläuterungen – Zahlungsbilanz und Auslandvermögen</t>
  </si>
  <si>
    <t>Die Zahlungsbilanz</t>
  </si>
  <si>
    <t>Zahlungsbilanz – Gesamtübersicht – Global</t>
  </si>
  <si>
    <t>GP_OeNB_2020_2</t>
  </si>
  <si>
    <t>GP_OeNB_2020</t>
  </si>
  <si>
    <t>Auslandvermögen der Schweiz: Zerlegung der Bestandesänderungen</t>
  </si>
  <si>
    <t>PP_SNB_2019_d</t>
  </si>
  <si>
    <t>Zusammenhang zwischen Kapitalbilanz, Auslandvermögen und Finanzierungsrechnung</t>
  </si>
  <si>
    <t>Tätigkeiten multinationaler Unternehmen und ihre Abbildung in der Zahlungsbilanz</t>
  </si>
  <si>
    <t>PP_SNB_2019_d_2</t>
  </si>
  <si>
    <t>PP_SNB_2020_d</t>
  </si>
  <si>
    <t>Diskrepanz zwischen der Veränderung des Auslandsvermögens und des kumulierten Saldos der Kapitalbilanz: kein geeigneter Indikator für Vermögensverluste</t>
  </si>
  <si>
    <t>PP_BuBa_2014</t>
  </si>
  <si>
    <t>Der deutsche Leistungsbilanzüberschuss aus der Sicht makroökonomischer Modelle</t>
  </si>
  <si>
    <t>PP_BuBa_2020-07</t>
  </si>
  <si>
    <t>Digitale Käufe privater Haushalte in der Zahlungsbilanz</t>
  </si>
  <si>
    <t>PP_BuBa_2020-03</t>
  </si>
  <si>
    <t>Direktinvestitionen und ihre Erträge - Ein Konzeptvergleich</t>
  </si>
  <si>
    <t>PP_OeNB_2016</t>
  </si>
  <si>
    <t>RM_OeNB_2014</t>
  </si>
  <si>
    <t>Revision der Leistungsbilanz - Die Änderungen im Detail und erste Ergebnisse</t>
  </si>
  <si>
    <t>Multinationale Unternehmen in Österreich - Nutzen einer Konzernbetrachtung von Direktinvestitionen und verwandten außenwirtschaftsstatistischen Daten</t>
  </si>
  <si>
    <t>Österreich auf dem Weg vom Nettoimporteur zum Kapitalgeber - Außenwirtschaftliche Entwicklungen in den letzten 60 Jahren</t>
  </si>
  <si>
    <t>PP_OeNB_2018</t>
  </si>
  <si>
    <t>Coordinated Direct Investment Survey – Bilaterale Direktinvestitionsbeziehungen weltweit</t>
  </si>
  <si>
    <t>PP_OeNB_2018_2</t>
  </si>
  <si>
    <t>PP_OeNB_2020</t>
  </si>
  <si>
    <t>Bestimmungsfaktoren des grenzüberschreitenden Dienstleistungshandels 2016</t>
  </si>
  <si>
    <t>PP_OeNB_2019_2</t>
  </si>
  <si>
    <t>Erste Anzeichen einer Eintrübung in Österreichs Außenwirtschaft</t>
  </si>
  <si>
    <t>PP_OeNB_2019</t>
  </si>
  <si>
    <t>Methoden, Definitionen und Quellen</t>
  </si>
  <si>
    <t>PP_OeNB_2020_3</t>
  </si>
  <si>
    <t>Österreichs Außenwirtschaft im 25. Jahr der Mitgliedschaft in der Europäischen Union</t>
  </si>
  <si>
    <t>PP_OeNB_2020_2</t>
  </si>
  <si>
    <t>Finanzkrise und Zahlungsbilanzentwicklungen in der Europäischen Währungsunion</t>
  </si>
  <si>
    <t>PP_BuBa_2012</t>
  </si>
  <si>
    <t>PR_BuBa_2015-01</t>
  </si>
  <si>
    <t>Effekte auf den grenzüberschreitenden Vermögenseinkommenssaldo:
Vermögensakkumulation, Portfolioumschichtungen und Renditeveränderungen</t>
  </si>
  <si>
    <t>PR_BuBa_2019-03</t>
  </si>
  <si>
    <t>Die deutsche Zahlungsbilanz für das Jahr 2018</t>
  </si>
  <si>
    <t>Entwicklungen im Waren- und Dienstleistungshandel Deutschlands</t>
  </si>
  <si>
    <t>PR_BuBa_2015-03-20</t>
  </si>
  <si>
    <t>Zum Leistungsbilanz- und Warenhandelsüberschuss der deutschen Wirtschaft</t>
  </si>
  <si>
    <t>Die deutsche Zahlungsbilanz für das Jahr 2019</t>
  </si>
  <si>
    <t>PR_BuBa_2020-03</t>
  </si>
  <si>
    <t>Zahlungsbilanz und Auslandvermögen der Schweiz 2014</t>
  </si>
  <si>
    <t>Zahlungsbilanz und Auslandvermögen der Schweiz 2015</t>
  </si>
  <si>
    <t>Zahlungsbilanz und Auslandvermögen der Schweiz 2016</t>
  </si>
  <si>
    <t>Zahlungsbilanz und Auslandvermögen der Schweiz 2017</t>
  </si>
  <si>
    <t>PR_SNB_2015_d</t>
  </si>
  <si>
    <t>PR_SNB_2016_d</t>
  </si>
  <si>
    <t>PR_SNB_2017_d</t>
  </si>
  <si>
    <t>PR_SNB_2018_d</t>
  </si>
  <si>
    <t>Zahlungsbilanz und Auslandvermögen der Schweiz, 3. Quartal 2020</t>
  </si>
  <si>
    <t>PR_SNB_2020-3_d</t>
  </si>
  <si>
    <t>PR_OeNB_2018</t>
  </si>
  <si>
    <t>Österreichs Außenbeitrag erstmals höher als vor der Finanzkrise</t>
  </si>
  <si>
    <t>Österreichs Zahlungsbilanz im Jahr 2018</t>
  </si>
  <si>
    <t>PR_OeNB_2019</t>
  </si>
  <si>
    <t>Zahlungsbilanzergebnisse für das Jahr 2015</t>
  </si>
  <si>
    <t>PR_OeNB_2016_2</t>
  </si>
  <si>
    <t>Österreichs Zahlungsbilanz 2016</t>
  </si>
  <si>
    <t>PR_OeNB_2017_3</t>
  </si>
  <si>
    <t>Österreichs Zahlungsbilanz im ersten Halbjahr 2017</t>
  </si>
  <si>
    <t>PR_OeNB_2017</t>
  </si>
  <si>
    <t>Zahlungsbilanz – Entwicklungen im 1. Quartal 2016</t>
  </si>
  <si>
    <t>PR_OeNB_2016</t>
  </si>
  <si>
    <t>Neues Datenangebot auf der OeNB-Website: Grenzüberschreitende Vermögenseinkommen gegliedert nach Funktion und Finanzierungsinstrument</t>
  </si>
  <si>
    <t>PR_OeNB_2017_2</t>
  </si>
  <si>
    <t>Tourismus stabilisiert Österreichs Leistungsbilanz – Zahlungsbilanz 2014</t>
  </si>
  <si>
    <t>PR_OeNB_2015_2</t>
  </si>
  <si>
    <t>PR_OeNB_2015</t>
  </si>
  <si>
    <t>Dienstleistungserfolge beflügeln Außenwirtschaft</t>
  </si>
  <si>
    <t>PR_OeNB_2014_2</t>
  </si>
  <si>
    <t>PR_OeNB_2014</t>
  </si>
  <si>
    <t>Zahlungsbilanz im ersten Halbjahr 2014 - Ergebnisse und inhaltliche Neuerungen</t>
  </si>
  <si>
    <r>
      <t>Doc. Type</t>
    </r>
    <r>
      <rPr>
        <b/>
        <u/>
        <vertAlign val="superscript"/>
        <sz val="16"/>
        <color theme="0"/>
        <rFont val="Liberation Sans"/>
        <family val="2"/>
      </rPr>
      <t>1</t>
    </r>
  </si>
  <si>
    <r>
      <t>Author Type</t>
    </r>
    <r>
      <rPr>
        <b/>
        <u/>
        <vertAlign val="superscript"/>
        <sz val="16"/>
        <color theme="0"/>
        <rFont val="Liberation Sans"/>
        <family val="2"/>
      </rPr>
      <t>2</t>
    </r>
  </si>
  <si>
    <t>UN+al.</t>
  </si>
  <si>
    <t>EC+al.</t>
  </si>
  <si>
    <t xml:space="preserve">SCan </t>
  </si>
  <si>
    <r>
      <t>Organisation</t>
    </r>
    <r>
      <rPr>
        <u/>
        <vertAlign val="superscript"/>
        <sz val="14"/>
        <color theme="0"/>
        <rFont val="Liberation Sans"/>
        <family val="2"/>
      </rPr>
      <t>3</t>
    </r>
  </si>
  <si>
    <t>Leistungsbilanz im Aufwind - Österreichs Außenwirtschaft im ersten Halbjahr 2015</t>
  </si>
  <si>
    <t>Orga.</t>
  </si>
  <si>
    <t>PR_BCL_2021</t>
  </si>
  <si>
    <t>PR_BCL_2021_2</t>
  </si>
  <si>
    <t>Position extérieure globale au troisième trimestre 2020</t>
  </si>
  <si>
    <t>Balance des paiements du Luxembourg sur les trois premiers trimestres de l’année 2020</t>
  </si>
  <si>
    <t>RE_EU_2012_e</t>
  </si>
  <si>
    <t>RE_EU_2012_f</t>
  </si>
  <si>
    <t>RE_EU_2012_d</t>
  </si>
  <si>
    <t>COMMISSION REGULATION (EU) No 555/2012 of 22 June 2012 amending Regulation (EC) No 184/2005 of the European Parliament and of the Council on Community statistics concerning balance of payments, international trade in services and foreign direct investment, as regards the update of data requirements and definitions</t>
  </si>
  <si>
    <t>RÈGLEMENT (UE) N o 555/2012 DE LA COMMISSION du 22 juin 2012 modifiant le règlement (CE) n o 184/2005 du Parlement européen et du Conseil relatif aux statistiques communautaires de la balance des paiements, du commerce international des services et des investissements directs étrangers, en ce qui concerne l’actualisation des exigences relatives aux données et les définitions</t>
  </si>
  <si>
    <t>VERORDNUNG (EU) Nr. 555/2012 DER KOMMISSION vom 22. Juni 2012 zur Änderung der Verordnung (EG) Nr. 184/2005 des Europäischen Parlaments und des Rates betreffend die gemeinschaftliche Statistik der Zahlungsbilanz, des internationalen Dienstleistungsverkehrs und der Direktinvestitionen im Hinblick auf die Aktualisierung der Datenanforderungen und Definitionen</t>
  </si>
  <si>
    <t>Size</t>
  </si>
  <si>
    <t>Acad</t>
  </si>
  <si>
    <t>BoE (n=2)</t>
  </si>
  <si>
    <t>UN+al. (n=2)</t>
  </si>
  <si>
    <t>EC+al. (n=2)</t>
  </si>
  <si>
    <t>RM_ECB_2020</t>
  </si>
  <si>
    <t>RM_ECB_2020_2</t>
  </si>
  <si>
    <t>RM_ECB_2020_3</t>
  </si>
  <si>
    <t>RM_ECB_2019</t>
  </si>
  <si>
    <t>RM_ECB_2017</t>
  </si>
  <si>
    <t>RM_ECB_2016_2</t>
  </si>
  <si>
    <t>RE_ECB_2016_f</t>
  </si>
  <si>
    <t>RE_ECB_2016_e</t>
  </si>
  <si>
    <t>RE_ECB_2016_d</t>
  </si>
  <si>
    <t>PP_ECB_2020</t>
  </si>
  <si>
    <t>Euro area balance of payments and international investment position compilation -Balancing mechanisms -</t>
  </si>
  <si>
    <t>Euro area and national balance of payments and international investment position statistics - 2019 quality report</t>
  </si>
  <si>
    <t>Euro area and national balance of payments and international investment position statistics - 2018 quality report</t>
  </si>
  <si>
    <t>Some considerations on the possible impact of the COVID-19 pandemic on balance of payments statistics</t>
  </si>
  <si>
    <t>Estimation of euro area balance of payments and international investment positions - extending the BPM6 series -</t>
  </si>
  <si>
    <t>European Union Balance of Payments and International Investment Position statistical sources and methods “B.o.p. and i.i.p. book”</t>
  </si>
  <si>
    <t>ORIENTATION DE LA BANQUE CENTRALE EUROPÉENNE du 9 décembre 2011 relative aux obligations de déclaration statistique établies par la Banque centrale européenne en matière de statistiques extérieures, modifiée en 2013 et 2015</t>
  </si>
  <si>
    <t>GUIDELINE OF THE EUROPEAN CENTRAL BANK of 9 December 2011 on the statistical reporting requirements of the European Central Bank in the field of external statistics, amended in 2013 and 2015</t>
  </si>
  <si>
    <t>LEITLINIE DER EUROPÄISCHEN ZENTRALBANK vom 9. Dezember 2011 über die statistischen Berichtsanforderungen der Europäischen Zentralbank im Bereich der außenwirtschaftlichen Statistiken, 2013 und 2015 geändert</t>
  </si>
  <si>
    <t>Revisiting the monetary presentation of the euro area balance of payments</t>
  </si>
  <si>
    <t>Erkennbare Auswirkungen der COVID-19-Pandemie auf die Außenwirtschaft im zweiten Quartal 2020</t>
  </si>
  <si>
    <t>Euro area quarterly balance of payments and international investment position: third quarter of 2019</t>
  </si>
  <si>
    <t>PR_ECB_2021_2</t>
  </si>
  <si>
    <t>Arrêté royal du 7 février 2007 relatif à l'établissement de la balance des paiements, de la position extérieure globale et des statistiques du commerce international des services et des investissements directs étrangers de la Belgique</t>
  </si>
  <si>
    <t>RE_NBB_2007</t>
  </si>
  <si>
    <t>Arrêté royal portant modification de l’arrêté royal du 7 février 2007 relatif à l’établissement de la balance des paiements, de la position extérieure globale et des statistiques du commerce international des services et des investissements directs étrangers de la Belgique</t>
  </si>
  <si>
    <t>RE_NBB_2017</t>
  </si>
  <si>
    <t>Règlement "A" de la Banque Nationale de Belgique relatif aux obligations statistiques en matière de balance des paiementsdes établissements de crédit résidents</t>
  </si>
  <si>
    <t>RE_NBB_2010</t>
  </si>
  <si>
    <t>Règlement "B" de la Banque Nationale de Belgique relatif aux enquêtes sur les opérations sur services avec l'étranger des résidents autres que les établissements de crédit (annexé à l'arrêté ministériel du 28 septembre 2012)</t>
  </si>
  <si>
    <t>RE_NBB_2012</t>
  </si>
  <si>
    <t>Règlement "C" de la Banque Nationale de Belgique relatif aux enquêtes sur les opérations sur marchandises avec l'étranger</t>
  </si>
  <si>
    <t>RE_NBB_2010_2</t>
  </si>
  <si>
    <t>Règlement "D" de la Banque Nationale de Belgique relatif à l'enquête sur les dépenses transfrontalières réalisées par carte de paiement</t>
  </si>
  <si>
    <t>RE_NBB_2010_3</t>
  </si>
  <si>
    <t>Règlement "E" de la Banque Nationale de Belgique relatif aux enquêtes sur les investissements directs avec l’étranger des personnes morales résidentes autres que les établissements de crédit</t>
  </si>
  <si>
    <t>RE_NBB_2010_4</t>
  </si>
  <si>
    <t>Règlement "F" de la Banque Nationale de Belgique relatif aux enquêtes sur les investissements entre des résidents autres que les établissements de crédit et des non-résidents non apparentés hors valeurs mobilières</t>
  </si>
  <si>
    <t>RE_NBB_2010_5</t>
  </si>
  <si>
    <t>Règlement "G" de la Banque Nationale de Belgique relatif aux enquêtes sur les avoirs et engagements en valeurs mobilières des personnes morales résidentes autres que les établissements de crédit
____________</t>
  </si>
  <si>
    <t>RE_NBB_2010_6</t>
  </si>
  <si>
    <t>Règlement "H" de la Banque Nationale de Belgique relatif à l'enquêtesur les transmissions de fonds avec l'étranger (annexé à l'arrêté ministériel du 28 septembre 2012)</t>
  </si>
  <si>
    <t>RE_NBB_2012_2</t>
  </si>
  <si>
    <t>Règlement "I" de la Banque Nationale de Belgique relatif à l'enquête
sur les opérations avec l'étranger concernant l'énergie (annexé à l'arrêté ministériel du 8 juillet 2013)</t>
  </si>
  <si>
    <t>RE_NBB_2013</t>
  </si>
  <si>
    <t>PR_STATEC_2021</t>
  </si>
  <si>
    <t>PR_STATEC_2020_2</t>
  </si>
  <si>
    <t>Balance des paiements du Luxembourg en 2019</t>
  </si>
  <si>
    <t>L’impact des frontaliers dans la balance des paiements en 2019</t>
  </si>
  <si>
    <t>Stat.1</t>
  </si>
  <si>
    <t>PP_SNB_2015_f</t>
  </si>
  <si>
    <t>PP_SNB_2016_f</t>
  </si>
  <si>
    <t>PP_SNB_2017_f</t>
  </si>
  <si>
    <t>PP_SNB_2018_f</t>
  </si>
  <si>
    <t>PP_SNB_2015_d</t>
  </si>
  <si>
    <t>PP_SNB_2016_d</t>
  </si>
  <si>
    <t>PP_SNB_2017_d</t>
  </si>
  <si>
    <t>PP_SNB_2018_d</t>
  </si>
  <si>
    <t>Le négoce de l’or</t>
  </si>
  <si>
    <t>Différents principes de présentation des investissements directs</t>
  </si>
  <si>
    <t>Balance des paiements et position  extérieure – Quelques éléments pour mieux comprendre  des statistiques importantes</t>
  </si>
  <si>
    <t xml:space="preserve">Les investissements de portefeuille dans la position extérieure de la Suisse </t>
  </si>
  <si>
    <t>Unterschiedliche Darstellung der Direktinvestitionen</t>
  </si>
  <si>
    <t>Der Goldhandel</t>
  </si>
  <si>
    <t>Zahlungsbilanz und Auslandvermögen –  zum besseren Verständnis wichtiger Statistiken</t>
  </si>
  <si>
    <t>Die Portfolioinvestitionen im Auslandvermögen der Schweiz</t>
  </si>
  <si>
    <t>PP_SNB_2014</t>
  </si>
  <si>
    <t>Epochenwechsel in der Zahlungsbilanzstatistik</t>
  </si>
  <si>
    <t>PR_SNB_2018_1_fr</t>
  </si>
  <si>
    <t xml:space="preserve">Balance des paiements et position extérieure de la Suisse - 1er trimestre 2018 </t>
  </si>
  <si>
    <t>Balance des paiements et position extérieure de la Suisse - 2e trimestre 2018</t>
  </si>
  <si>
    <t>PR_SNB_2018_2_fr</t>
  </si>
  <si>
    <t>Balance des paiements et position extérieure de la Suisse - 3e trimestre 2018</t>
  </si>
  <si>
    <t>PR_SNB_2018_3_fr</t>
  </si>
  <si>
    <t>PR_SNB_2018_4_fr</t>
  </si>
  <si>
    <t>PR_SNB_2019_1_fr</t>
  </si>
  <si>
    <t xml:space="preserve">Balance des paiements et position extérieure de la Suisse - 1er trimestre 2019 </t>
  </si>
  <si>
    <t>Balance des paiements et position extérieure de la Suisse - 2e trimestre 2019</t>
  </si>
  <si>
    <t>Balance des paiements et position extérieure de la Suisse - 3e trimestre 2019</t>
  </si>
  <si>
    <t>PR_SNB_2019_2_fr</t>
  </si>
  <si>
    <t>PR_SNB_2019_3_fr</t>
  </si>
  <si>
    <t>PR_SNB_2019_4_fr</t>
  </si>
  <si>
    <t>Balance des paiements et position extérieure de la Suisse - Année 2018 et 4e trimestre 2018</t>
  </si>
  <si>
    <t>Balance des paiements et position extérieure de la Suisse - Année 2019 et 4e trimestre 2019</t>
  </si>
  <si>
    <t>PR_SNB_2020_1_fr</t>
  </si>
  <si>
    <t>PR_SNB_2020_2_fr</t>
  </si>
  <si>
    <t>PR_SNB_2020_4_fr</t>
  </si>
  <si>
    <t xml:space="preserve">Balance des paiements et position extérieure de la Suisse - 1er trimestre 2020 </t>
  </si>
  <si>
    <t>Balance des paiements et position extérieure de la Suisse - 2e trimestre 2020</t>
  </si>
  <si>
    <t>Balance des paiements et position extérieure de la Suisse - Année 2020 et 4e trimestre 2020</t>
  </si>
  <si>
    <t xml:space="preserve">Zahlungsbilanz und Auslandvermögen der Schweiz - 1. Quartal 2018 </t>
  </si>
  <si>
    <t>Zahlungsbilanz und Auslandvermögen der Schweiz - 1. Quartal 2019</t>
  </si>
  <si>
    <t>Zahlungsbilanz und Auslandvermögen der Schweiz - 1. Quartal 2020</t>
  </si>
  <si>
    <t xml:space="preserve">Zahlungsbilanz und Auslandvermögen der Schweiz - 2. Quartal 2018 </t>
  </si>
  <si>
    <t xml:space="preserve">Zahlungsbilanz und Auslandvermögen der Schweiz - 3. Quartal 2018 </t>
  </si>
  <si>
    <t>Zahlungsbilanz und Auslandvermögen der Schweiz - 2. Quartal 2019</t>
  </si>
  <si>
    <t>Zahlungsbilanz und Auslandvermögen der Schweiz - 3. Quartal 2019</t>
  </si>
  <si>
    <t>Zahlungsbilanz und Auslandvermögen der Schweiz - 2. Quartal 2020</t>
  </si>
  <si>
    <t>PR_SNB_2018_3_de</t>
  </si>
  <si>
    <t>PR_SNB_2018_1_de</t>
  </si>
  <si>
    <t>PR_SNB_2018_2_de</t>
  </si>
  <si>
    <t>Zahlungsbilanz und Auslandvermögen der Schweiz - Jahr 2018 und 4. Quartal 2018</t>
  </si>
  <si>
    <t>PR_SNB_2018_4_de</t>
  </si>
  <si>
    <t>PR_SNB_2020_4_de</t>
  </si>
  <si>
    <t>PR_SNB_2020_2_de</t>
  </si>
  <si>
    <t>PR_SNB_2020_1_de</t>
  </si>
  <si>
    <t>PR_SNB_2019_1_de</t>
  </si>
  <si>
    <t>PR_SNB_2019_2_de</t>
  </si>
  <si>
    <t>PR_SNB_2019_3_de</t>
  </si>
  <si>
    <t>PR_SNB_2019_4_de</t>
  </si>
  <si>
    <t>Zahlungsbilanz und Auslandvermögen der Schweiz - Jahr 2019 und 4. Quartal 2019</t>
  </si>
  <si>
    <t>Zahlungsbilanz und Auslandvermögen der Schweiz - Jahr 2020 und 4. Quartal 2020</t>
  </si>
  <si>
    <t>PR_ECB_2020_1</t>
  </si>
  <si>
    <t>Euro area quarterly balance of payments and international investment position: first quarter of 2020</t>
  </si>
  <si>
    <t>PR_ECB_2019_4</t>
  </si>
  <si>
    <t>Euro area quarterly balance of payments and international investment position: fourth quarter of 2019</t>
  </si>
  <si>
    <t>PR_ECB_2020_3</t>
  </si>
  <si>
    <t>Euro area quarterly balance of payments and international investment position: third quarter of 2020</t>
  </si>
  <si>
    <t>PR_ECB_2020_2</t>
  </si>
  <si>
    <t>Euro area quarterly balance of payments and international investment position: second quarter of 2020</t>
  </si>
  <si>
    <t>PR_ECB_2014_2</t>
  </si>
  <si>
    <t>Euro area quarterly balance of payments and international investment position (Second quarter of 2014)</t>
  </si>
  <si>
    <t>PR_ECB_2019_3</t>
  </si>
  <si>
    <t>PR_ECB_2019_2</t>
  </si>
  <si>
    <t>Euro area quarterly balance of payments and international investment position: second quarter of 2019</t>
  </si>
  <si>
    <t>PR_ECB_2019_1</t>
  </si>
  <si>
    <t>Euro area quarterly balance of payments and international investment position: first quarter of 2019</t>
  </si>
  <si>
    <t>PR_ECB_2018_4</t>
  </si>
  <si>
    <t>Euro area quarterly balance of payments and international investment position: fourth quarter of 2018</t>
  </si>
  <si>
    <t>PR_ECB_2018_3</t>
  </si>
  <si>
    <t>Euro area quarterly balance of payments and international investment position: third quarter of 2018</t>
  </si>
  <si>
    <t>PR_ECB_2018_2</t>
  </si>
  <si>
    <t>Euro area quarterly balance of payments and international investment position: second quarter of 2018</t>
  </si>
  <si>
    <t>PR_ECB_2018_1</t>
  </si>
  <si>
    <t>Euro area quarterly balance of payments and international investment position (first quarter of 2018)</t>
  </si>
  <si>
    <t>PR_ECB_2017_4</t>
  </si>
  <si>
    <t>Euro area quarterly balance of payments and international investment position (fourth quarter of 2017)</t>
  </si>
  <si>
    <t>PR_ECB_2017_3</t>
  </si>
  <si>
    <t>Euro area quarterly balance of payments and international investment position (third quarter of 2017)</t>
  </si>
  <si>
    <t>PR_ECB_2017_2</t>
  </si>
  <si>
    <t>Euro area quarterly balance of payments and international investment position (second quarter of 2017)</t>
  </si>
  <si>
    <t>PR_ECB_2017_1</t>
  </si>
  <si>
    <t>Euro area quarterly balance of payments and international investment position (first quarter of 2017)</t>
  </si>
  <si>
    <t>PR_ECB_2016_4</t>
  </si>
  <si>
    <t>Euro area quarterly balance of payments and international investment position (fourth quarter of 2016)</t>
  </si>
  <si>
    <t>PR_ECB_2016_3</t>
  </si>
  <si>
    <t>Euro area quarterly balance of payments and international investment position (third quarter of 2016)</t>
  </si>
  <si>
    <t>PR_ECB_2016_2</t>
  </si>
  <si>
    <t>Euro area quarterly balance of payments and international investment position (second quarter of 2016)</t>
  </si>
  <si>
    <t>PR_ECB_2016_1</t>
  </si>
  <si>
    <t>Euro area quarterly balance of payments and international investment position (first quarter of 2016)</t>
  </si>
  <si>
    <t>PR_ECB_2015_4</t>
  </si>
  <si>
    <t>Euro area quarterly balance of payments and international investment position (fourth quarter of 2015)</t>
  </si>
  <si>
    <t>PR_ECB_2015_3</t>
  </si>
  <si>
    <t>Euro area quarterly balance of payments and international investment position (third quarter of 2015)</t>
  </si>
  <si>
    <t>PR_ECB_2015_2</t>
  </si>
  <si>
    <t>Euro area quarterly balance of payments and international investment position (second quarter of 2015)</t>
  </si>
  <si>
    <t>PR_ECB_2015_1</t>
  </si>
  <si>
    <t>Euro area quarterly balance of payments and international investment position (first quarter of 2015)</t>
  </si>
  <si>
    <t>PR_ECB_2014_4</t>
  </si>
  <si>
    <t>Euro area quarterly balance of payments and international investment position (fourth quarter of 2014)</t>
  </si>
  <si>
    <t>PR_ECB_2014_3</t>
  </si>
  <si>
    <t>Euro area quarterly balance of payments and international investment position (third quarter of 2014)</t>
  </si>
  <si>
    <t>PP_STATEC_2020</t>
  </si>
  <si>
    <t>Regards sur les échanges internationaux de services financiers</t>
  </si>
  <si>
    <t>Regards sur la révision des comptes nationaux et de la balance des paiements</t>
  </si>
  <si>
    <t>Regards sur certains éléments de la balance courante en 2014</t>
  </si>
  <si>
    <t>Regards sur la balance courante en 2015</t>
  </si>
  <si>
    <t>PP_STATEC_2015_2</t>
  </si>
  <si>
    <t>PP_STATEC_2015</t>
  </si>
  <si>
    <t>PP_STATEC_2014</t>
  </si>
  <si>
    <t>PP_EuS_2019</t>
  </si>
  <si>
    <t>Quality report on balance and payments (BOP), international trade in services (ITS) and foreign direct investment statistics (FDI) DATA 2018</t>
  </si>
  <si>
    <t>RÈGLEMENT (UE) 2016/1013 DU PARLEMENT EUROPÉEN ET DU CONSEIL du 8 juin 2016 modifiant le règlement (CE) no 184/2005 relatif aux statistiques communautaires de la balance des paiements, du commerce international des services et des investissements directs étrangers</t>
  </si>
  <si>
    <t>RE_EU_2016_f</t>
  </si>
  <si>
    <t>VERORDNUNG (EU) 2016/1013 DES EUROPÄISCHEN PARLAMENTS UND DES RATES vom 8. Juni 2016 zur Änderung der Verordnung (EG) Nr. 184/2005 betreffend die gemeinschaftliche Statistik der Zahlungsbilanz, des internationalen Dienstleistungsverkehrs und der Direktinvestitionen</t>
  </si>
  <si>
    <t>REGULATION (EU) 2016/1013 OF THE EUROPEAN PARLIAMENT AND OF THE COUNCIL of 8 June 2016 amending Regulation (EC) No 184/2005 on Community statistics concerning balance of payments, international trade in services and foreign direct investment</t>
  </si>
  <si>
    <t>RE_EU_2016_d</t>
  </si>
  <si>
    <t>RE_EU_2016_e</t>
  </si>
  <si>
    <t>Typology of multinationals in Austria: CESEE focus and foreign control as distinct features</t>
  </si>
  <si>
    <t>Wozu dient die Außenwirtschaftsstatistik?</t>
  </si>
  <si>
    <t>GP_OeNB_2020_3</t>
  </si>
  <si>
    <t xml:space="preserve">Leistungsbilanz 2019 historisch gesehen mit drittbestem Ergebnis </t>
  </si>
  <si>
    <t>PR_OeNB_2020</t>
  </si>
  <si>
    <t>Rechtliche Grundlagen</t>
  </si>
  <si>
    <t>RE_OeNB_2020</t>
  </si>
  <si>
    <t>Was ist zu melden?</t>
  </si>
  <si>
    <t>RM_OeNB_2020</t>
  </si>
  <si>
    <t>Jorge.Diz_Dias@ecb.europa.eu</t>
  </si>
  <si>
    <t>Nuno Silva has changed assignment.</t>
  </si>
  <si>
    <t>Jorge Diz Dias</t>
  </si>
  <si>
    <t>Treatment of duties applied to imports of Canadian softwood lumber products into the U.S. in the Canadian System of Macroeconomic Accounts</t>
  </si>
  <si>
    <t>Foreign direct investment in Canada by 
ultimate investing country</t>
  </si>
  <si>
    <t>PP_SCan_2017-e</t>
  </si>
  <si>
    <t>PP_SCan_2018-2-e</t>
  </si>
  <si>
    <t>PP_SCan_2018-3-e</t>
  </si>
  <si>
    <t>PP_SCan_2018-4-e</t>
  </si>
  <si>
    <t>PP_SCan_2018-e</t>
  </si>
  <si>
    <t>PP_SCan_2019-2_e</t>
  </si>
  <si>
    <t>PP_SCan_2020-e</t>
  </si>
  <si>
    <t>PR_ONS_2014_3</t>
  </si>
  <si>
    <t>PR_ONS_2014_4</t>
  </si>
  <si>
    <t>PR_ONS_2015_1</t>
  </si>
  <si>
    <t>PR_ONS_2015_2</t>
  </si>
  <si>
    <t>PR_ONS_2015_3</t>
  </si>
  <si>
    <t>PR_ONS_2015_4</t>
  </si>
  <si>
    <t>PR_ONS_2016_1</t>
  </si>
  <si>
    <t>PR_ONS_2016_2</t>
  </si>
  <si>
    <t>PR_ONS_2016_3</t>
  </si>
  <si>
    <t>PR_ONS_2016_4</t>
  </si>
  <si>
    <t>PR_ONS_2016_PB</t>
  </si>
  <si>
    <t>PR_ONS_2017_1</t>
  </si>
  <si>
    <t>PR_ONS_2017_2</t>
  </si>
  <si>
    <t>PR_ONS_2017_3</t>
  </si>
  <si>
    <t>PR_ONS_2017_4</t>
  </si>
  <si>
    <t>PR_ONS_2017_PB</t>
  </si>
  <si>
    <t>PR_ONS_2018_1</t>
  </si>
  <si>
    <t>PR_ONS_2018_2</t>
  </si>
  <si>
    <t>PR_ONS_2018_3</t>
  </si>
  <si>
    <t>PR_ONS_2018_4</t>
  </si>
  <si>
    <t>PR_ONS_2018_PB</t>
  </si>
  <si>
    <t>PR_ONS_2019_1</t>
  </si>
  <si>
    <t>PR_ONS_2019_2</t>
  </si>
  <si>
    <t>PR_ONS_2019_3</t>
  </si>
  <si>
    <t>PR_ONS_2019_4</t>
  </si>
  <si>
    <t>PR_ONS_2019_PB</t>
  </si>
  <si>
    <t>PR_ONS_2020_1</t>
  </si>
  <si>
    <t>PR_ONS_2020_2</t>
  </si>
  <si>
    <t>PR_ONS_2020_3</t>
  </si>
  <si>
    <t>PR_ONS_2020_4</t>
  </si>
  <si>
    <t>PR_ONS_2020_PB</t>
  </si>
  <si>
    <t>PR_SCan_2015-1_e</t>
  </si>
  <si>
    <t>PR_SCan_2015-1_IIP_e</t>
  </si>
  <si>
    <t>PR_SCan_2015-2_e</t>
  </si>
  <si>
    <t>PR_SCan_2015-2_IIP_e</t>
  </si>
  <si>
    <t>PR_SCan_2015-3_e</t>
  </si>
  <si>
    <t>PR_SCan_2015-3_IIP_e</t>
  </si>
  <si>
    <t>PR_SCan_2015-4_e</t>
  </si>
  <si>
    <t>PR_SCan_2015-4_IIP_e</t>
  </si>
  <si>
    <t>PR_SCan_2016-1_e</t>
  </si>
  <si>
    <t>PR_SCan_2016-1_IIP_e</t>
  </si>
  <si>
    <t>PR_SCan_2016-2_e</t>
  </si>
  <si>
    <t>PR_SCan_2016-2_IIP_e</t>
  </si>
  <si>
    <t>PR_SCan_2016-3_e</t>
  </si>
  <si>
    <t>PR_SCan_2016-3_IIP_e</t>
  </si>
  <si>
    <t>PR_SCan_2016-4_e</t>
  </si>
  <si>
    <t>PR_SCan_2016-4_IIP_e</t>
  </si>
  <si>
    <t>PR_SCan_2017-1_e</t>
  </si>
  <si>
    <t>PR_SCan_2017-1_IIP_e</t>
  </si>
  <si>
    <t>PR_SCan_2017-2_e</t>
  </si>
  <si>
    <t>PR_SCan_2017-2_IIP_e</t>
  </si>
  <si>
    <t>PR_SCan_2017-3_e</t>
  </si>
  <si>
    <t>PR_SCan_2017-3_IIP_e</t>
  </si>
  <si>
    <t>PR_SCan_2017-4_e</t>
  </si>
  <si>
    <t>PR_SCan_2017-4_IIP_e</t>
  </si>
  <si>
    <t>PR_SCan_2018-1_e</t>
  </si>
  <si>
    <t>PR_SCan_2018-1_IIP_e</t>
  </si>
  <si>
    <t>PR_SCan_2018-2_e</t>
  </si>
  <si>
    <t>PR_SCan_2018-2_IIP_e</t>
  </si>
  <si>
    <t>PR_SCan_2018-3_e</t>
  </si>
  <si>
    <t>PR_SCan_2018-3_IIP_e</t>
  </si>
  <si>
    <t>PR_SCan_2018-4_e</t>
  </si>
  <si>
    <t>PR_SCan_2018-4_IIP_e</t>
  </si>
  <si>
    <t>PR_SCan_2019-1_e</t>
  </si>
  <si>
    <t>PR_SCan_2019-1_IIP_e</t>
  </si>
  <si>
    <t>PR_SCan_2019-2_e</t>
  </si>
  <si>
    <t>PR_SCan_2019-2_IIP_e</t>
  </si>
  <si>
    <t>PR_SCan_2019-3_e</t>
  </si>
  <si>
    <t>PR_SCan_2019-3_IIP_e</t>
  </si>
  <si>
    <t>PR_SCan_2019-4_e</t>
  </si>
  <si>
    <t>PR_SCan_2019-4_IIP_e</t>
  </si>
  <si>
    <t>PR_SCan_2020-1_e</t>
  </si>
  <si>
    <t>PR_SCan_2020-1_IIP_e</t>
  </si>
  <si>
    <t>PR_SCan_2020-2_e</t>
  </si>
  <si>
    <t>PR_SCan_2020-2_IIP_e</t>
  </si>
  <si>
    <t>PR_SCan_2020-3_e</t>
  </si>
  <si>
    <t>PR_SCan_2020-3_IIP_e</t>
  </si>
  <si>
    <t>PR_SCan_2020-4_e</t>
  </si>
  <si>
    <t>PR_SCan_2020-4_IIP_e</t>
  </si>
  <si>
    <t>PR_SCan_2020_FDI_e</t>
  </si>
  <si>
    <t>PR_SCan_2020_ITSer_e</t>
  </si>
  <si>
    <t>PR_SCan_2020_MNE_e</t>
  </si>
  <si>
    <t>PR_SCan_2021_IMT_e</t>
  </si>
  <si>
    <t>PR_SCan_2021_ITSec_e</t>
  </si>
  <si>
    <t>PR_SCan_2021_SS_e</t>
  </si>
  <si>
    <t>RM_SCan_2015_2_e</t>
  </si>
  <si>
    <t>RM_SCan_2015_e</t>
  </si>
  <si>
    <t>RM_SCan_2020_ITSer_e</t>
  </si>
  <si>
    <t>PP_SCan_2017-2_e</t>
  </si>
  <si>
    <t>Comparing Canada’s and China’s bilateral trade data</t>
  </si>
  <si>
    <t>Currency composition of Canada’s international investment position</t>
  </si>
  <si>
    <t>Canada’s external trade classified by Broad Economic Categories</t>
  </si>
  <si>
    <t>Canada’s international trade in information and communications technologies (ICT) and ICT-enabled services</t>
  </si>
  <si>
    <t>Employment at multinational enterprises in Canada</t>
  </si>
  <si>
    <t>Enhancing Canada’s statistics on securities</t>
  </si>
  <si>
    <t>Canada’s services exports through the lens of digital trade</t>
  </si>
  <si>
    <t>Balance of Payments, UK: Quarter 3 (July to Sept) 2014</t>
  </si>
  <si>
    <t>Balance of Payments, UK: Quarter 4 (Oct to Dec) and annual 2014</t>
  </si>
  <si>
    <t>Balance of Payments, UK: Quarter 1 (Jan to
Mar) 2015</t>
  </si>
  <si>
    <t>Balance of Payments, UK: Quarter 2 (Apr to June) 2015</t>
  </si>
  <si>
    <t>Balance of Payments, UK: Quarter 3 (July to Sept) 2015</t>
  </si>
  <si>
    <t>Balance of Payments, UK: Quarter 4 (Oct to Dec) and annual 2015</t>
  </si>
  <si>
    <t>Balance of Payments, UK: Quarter 1 (Jan to Mar) 2016</t>
  </si>
  <si>
    <t>Balance of Payments, UK: Quarter 2 (Apr to June) 2016</t>
  </si>
  <si>
    <t>Balance of Payments, UK: Quarter 3 (July to Sept) 2016</t>
  </si>
  <si>
    <t>UK Balance of Payments, The Pink Book: 2016</t>
  </si>
  <si>
    <t>Balance of payments, UK: Quarter 1 (Jan to Mar) 2017</t>
  </si>
  <si>
    <t>Balance of Payments, UK: Quarter 4 (Oct to Dec) and annual 2016</t>
  </si>
  <si>
    <t>Balance of payments, UK: Quarter 2 (Apr to June) 2017</t>
  </si>
  <si>
    <t>Balance of payments, UK: Quarter 3 (July to Sept) 2017</t>
  </si>
  <si>
    <t>Balance of payments, UK: Quarter 4 (Oct to Dec) 2017</t>
  </si>
  <si>
    <t>UK Balance of Payments, The Pink Book: 2017</t>
  </si>
  <si>
    <t>Balance of payments, UK: January to March 2018</t>
  </si>
  <si>
    <t>Balance of payments, UK: April to June 2018</t>
  </si>
  <si>
    <t>Balance of payments, UK: July to September 2018</t>
  </si>
  <si>
    <t>Balance of payments, UK: October to December 2018</t>
  </si>
  <si>
    <t>UK Balance of Payments, The Pink Book: 2018</t>
  </si>
  <si>
    <t>Balance of payments, UK: January to March 2019</t>
  </si>
  <si>
    <t>Balance of payments, UK: April to June 2019</t>
  </si>
  <si>
    <t>Balance of payments, UK: July to September 2019</t>
  </si>
  <si>
    <t>Balance of payments, UK: October to December 2019</t>
  </si>
  <si>
    <t>UK Balance of Payments, The Pink Book: 2019</t>
  </si>
  <si>
    <t>Balance of payments, UK: January to March 2020</t>
  </si>
  <si>
    <t>Balance of payments, UK: April to June 2020</t>
  </si>
  <si>
    <t>Balance of payments, UK: July to September 2020</t>
  </si>
  <si>
    <t>Balance of payments, UK: October to December 2020</t>
  </si>
  <si>
    <t>UK Balance of Payments, The Pink Book: 2020</t>
  </si>
  <si>
    <t>Canada's international investment position, fourth quarter 2015</t>
  </si>
  <si>
    <t>Canada's balance of international payments, first quarter 2015</t>
  </si>
  <si>
    <t>Canada's international investment position, first quarter 2015</t>
  </si>
  <si>
    <t>Canada's balance of international payments, second quarter 2015</t>
  </si>
  <si>
    <t>Canada's international investment position, second quarter 2015</t>
  </si>
  <si>
    <t>Canada's balance of international payments, third quarter 2015</t>
  </si>
  <si>
    <t>Canada's international investment position, third quarter 2015</t>
  </si>
  <si>
    <t>Canada's balance of international payments, fourth quarter 2015</t>
  </si>
  <si>
    <t>Canada's balance of international payments, first quarter 2016</t>
  </si>
  <si>
    <t>Canada's international investment position, first quarter 2016</t>
  </si>
  <si>
    <t>Canada's balance of international payments, second quarter 2016</t>
  </si>
  <si>
    <t>Canada's international investment position, second quarter 2016</t>
  </si>
  <si>
    <t>Canada's balance of international payments, third quarter 2016</t>
  </si>
  <si>
    <t>Canada's international investment position, third quarter 2016</t>
  </si>
  <si>
    <t>Canada's balance of international payments, fourth quarter 2016</t>
  </si>
  <si>
    <t>Canada's international investment position, fourth quarter 2016</t>
  </si>
  <si>
    <t>Canada's balance of international payments, first quarter 2017</t>
  </si>
  <si>
    <t>Canada's international investment position, first quarter 2017</t>
  </si>
  <si>
    <t>Canada's balance of international payments, second quarter 2017</t>
  </si>
  <si>
    <t>Canada's international investment position, second quarter 2017</t>
  </si>
  <si>
    <t>Canada's balance of international payments, third quarter 2017</t>
  </si>
  <si>
    <t>Canada's international investment position, third quarter 2017</t>
  </si>
  <si>
    <t>Canada's balance of international payments, fourth quarter 2017</t>
  </si>
  <si>
    <t>Canada's international investment position, fourth quarter 2017</t>
  </si>
  <si>
    <t>Canada's balance of international payments, first quarter 2018</t>
  </si>
  <si>
    <t>Canada's international investment position, first quarter 2018</t>
  </si>
  <si>
    <t>Canada's balance of international payments, second quarter 2018</t>
  </si>
  <si>
    <t>Canada's international investment position, second quarter 2018</t>
  </si>
  <si>
    <t>Canada's balance of international payments, third quarter 2018</t>
  </si>
  <si>
    <t>Canada's international investment position, third quarter 2018</t>
  </si>
  <si>
    <t>Canada's balance of international payments, fourth quarter 2018</t>
  </si>
  <si>
    <t>Canada's international investment position, fourth quarter 2018</t>
  </si>
  <si>
    <t>Canada's balance of international payments, first quarter 2019</t>
  </si>
  <si>
    <t>Canada's international investment position, first quarter 2019</t>
  </si>
  <si>
    <t>Canada's balance of international payments, second quarter 2019</t>
  </si>
  <si>
    <t>Canada's international investment position, second quarter 2019</t>
  </si>
  <si>
    <t>Canada's balance of international payments, third quarter 2019</t>
  </si>
  <si>
    <t>Canada's international investment position, third quarter 2019</t>
  </si>
  <si>
    <t>Canada's balance of international payments, fourth quarter 2019</t>
  </si>
  <si>
    <t>Canada's international investment position, fourth quarter 2019</t>
  </si>
  <si>
    <t>Canada's balance of international payments, first quarter 2020</t>
  </si>
  <si>
    <t>Canada's international investment position, first quarter 2020</t>
  </si>
  <si>
    <t>Canada's balance of international payments, second quarter 2020</t>
  </si>
  <si>
    <t>Canada's international investment position, second quarter 2020</t>
  </si>
  <si>
    <t>Canada's balance of international payments, third quarter 2020</t>
  </si>
  <si>
    <t>Canada's international investment position, third quarter 2020</t>
  </si>
  <si>
    <t>Canada's balance of international payments, fourth quarter 2020</t>
  </si>
  <si>
    <t>Canada's international investment position, fourth quarter 2020</t>
  </si>
  <si>
    <t>Foreign direct investment, 2019</t>
  </si>
  <si>
    <t>Canada's international trade in services deficit continued to contract in 2019</t>
  </si>
  <si>
    <t>Multinational enterprises exert a significant influence on the Canadian economy, 2018</t>
  </si>
  <si>
    <t>Canadian international merchandise trade, January 2021</t>
  </si>
  <si>
    <t>Canada's international transactions in securities, January 2021</t>
  </si>
  <si>
    <t>Securities statistics, fourth quarter 2020</t>
  </si>
  <si>
    <t>A preview of the 2015 comprehensive revision of the Canadian System of Macroeconomic Accounts</t>
  </si>
  <si>
    <t xml:space="preserve">Revisions to Canada's Balance of International Payments </t>
  </si>
  <si>
    <t xml:space="preserve">Canadian International Merchandise Trade (Balance of Payments Basis) Detailed information for January 2021 </t>
  </si>
  <si>
    <t>RM_SCan_2021_ITM_e</t>
  </si>
  <si>
    <t xml:space="preserve">Canada's International Transactions in Securities
Detailed information for January 2021 </t>
  </si>
  <si>
    <t>RM_SCan_2021_ITSec_e</t>
  </si>
  <si>
    <t xml:space="preserve">Canada's International Transactions in Services
Detailed information for 2019 </t>
  </si>
  <si>
    <t>PP_SCan_2017-f</t>
  </si>
  <si>
    <t>PP_SCan_2017_f</t>
  </si>
  <si>
    <t>PP_SCan_2018-2-f</t>
  </si>
  <si>
    <t>PP_SCan_2018-3-f</t>
  </si>
  <si>
    <t>PP_SCan_2018-4-f</t>
  </si>
  <si>
    <t>PP_SCan_2018-f</t>
  </si>
  <si>
    <t>PP_SCan_2019-2_f</t>
  </si>
  <si>
    <t>PP_SCan_2020-f</t>
  </si>
  <si>
    <t>PR_SCan_2015-1_f</t>
  </si>
  <si>
    <t>PR_SCan_2015-1_IIP_f</t>
  </si>
  <si>
    <t>PR_SCan_2015-2_f</t>
  </si>
  <si>
    <t>PR_SCan_2015-2_IIP_f</t>
  </si>
  <si>
    <t>PR_SCan_2015-3_f</t>
  </si>
  <si>
    <t>PR_SCan_2015-3_IIP_f</t>
  </si>
  <si>
    <t>PR_SCan_2015-4_f</t>
  </si>
  <si>
    <t>PR_SCan_2015-4_IIP_f</t>
  </si>
  <si>
    <t>PR_SCan_2016-1_f</t>
  </si>
  <si>
    <t>PR_SCan_2016-1_IIP_f</t>
  </si>
  <si>
    <t>PR_SCan_2016-2_f</t>
  </si>
  <si>
    <t>PR_SCan_2016-2_IIP_f</t>
  </si>
  <si>
    <t>PR_SCan_2016-3_f</t>
  </si>
  <si>
    <t>PR_SCan_2016-3_IIP_f</t>
  </si>
  <si>
    <t>PR_SCan_2016-4_f</t>
  </si>
  <si>
    <t>PR_SCan_2016-4_IIP_f</t>
  </si>
  <si>
    <t>PR_SCan_2017-1_f</t>
  </si>
  <si>
    <t>PR_SCan_2017-1_IIP_f</t>
  </si>
  <si>
    <t>PR_SCan_2017-2_f</t>
  </si>
  <si>
    <t>PR_SCan_2017-2_IIP_f</t>
  </si>
  <si>
    <t>PR_SCan_2017-3_f</t>
  </si>
  <si>
    <t>PR_SCan_2017-3_IIP_f</t>
  </si>
  <si>
    <t>PR_SCan_2017-4_f</t>
  </si>
  <si>
    <t>PR_SCan_2017-4_IIP_f</t>
  </si>
  <si>
    <t>PR_SCan_2018-1_f</t>
  </si>
  <si>
    <t>PR_SCan_2018-1_IIP_f</t>
  </si>
  <si>
    <t>PR_SCan_2018-2_f</t>
  </si>
  <si>
    <t>PR_SCan_2018-2_IIP_f</t>
  </si>
  <si>
    <t>PR_SCan_2018-3_f</t>
  </si>
  <si>
    <t>PR_SCan_2018-3_IIP_f</t>
  </si>
  <si>
    <t>PR_SCan_2018-4_f</t>
  </si>
  <si>
    <t>PR_SCan_2018-4_IIP_f</t>
  </si>
  <si>
    <t>PR_SCan_2019-1_f</t>
  </si>
  <si>
    <t>PR_SCan_2019-1_IIP_f</t>
  </si>
  <si>
    <t>PR_SCan_2019-2_f</t>
  </si>
  <si>
    <t>PR_SCan_2019-2_IIP_f</t>
  </si>
  <si>
    <t>PR_SCan_2019-3_f</t>
  </si>
  <si>
    <t>PR_SCan_2019-3_IIP_f</t>
  </si>
  <si>
    <t>PR_SCan_2019-4_f</t>
  </si>
  <si>
    <t>PR_SCan_2019-4_IIP_f</t>
  </si>
  <si>
    <t>PR_SCan_2020-1_f</t>
  </si>
  <si>
    <t>PR_SCan_2020-1_IIP_f</t>
  </si>
  <si>
    <t>PR_SCan_2020-2_f</t>
  </si>
  <si>
    <t>PR_SCan_2020-2_IIP_f</t>
  </si>
  <si>
    <t>PR_SCan_2020-3_f</t>
  </si>
  <si>
    <t>PR_SCan_2020-3_IIP_f</t>
  </si>
  <si>
    <t>PR_SCan_2020-4_f</t>
  </si>
  <si>
    <t>PR_SCan_2020-4_IIP_f</t>
  </si>
  <si>
    <t>PR_SCan_2020_FDI_f</t>
  </si>
  <si>
    <t>PR_SCan_2020_ITSer_f</t>
  </si>
  <si>
    <t>PR_SCan_2020_MNE_f</t>
  </si>
  <si>
    <t>PR_SCan_2021_IMT_f</t>
  </si>
  <si>
    <t>PR_SCan_2021_ITSec_f</t>
  </si>
  <si>
    <t>PR_SCan_2021_SS_f</t>
  </si>
  <si>
    <t>RM_SCan_2015_2_f</t>
  </si>
  <si>
    <t>RM_SCan_2015_f</t>
  </si>
  <si>
    <t>RM_SCan_2020_ITSer_f</t>
  </si>
  <si>
    <t>Investissement direct étranger au Canada par pays investisseur ultime</t>
  </si>
  <si>
    <t xml:space="preserve">Traitement dans le Système canadien des comptes macroéconomiques des droits appliqués aux importations aux États-Unis de produits de bois d’œuvre résineux canadiens </t>
  </si>
  <si>
    <t>Comparaison des données sur le commerce bilatéral du Canada et de la Chine</t>
  </si>
  <si>
    <t>RM_SCan_2021_ITM_f</t>
  </si>
  <si>
    <t>RM_SCan_2021_ITSec_f</t>
  </si>
  <si>
    <t>Composition en devises du bilan des investissements internationaux du Canada</t>
  </si>
  <si>
    <t>Le commerce extérieur du Canada selon la classification par grandes catégories économiques</t>
  </si>
  <si>
    <t>Commerce international du Canada en services des technologies de l’information et des communications (TIC) et en services fondés sur les TIC</t>
  </si>
  <si>
    <t>Améliorer les statistiques sur les titres financiers du Canada</t>
  </si>
  <si>
    <t>L’emploi dans les entreprises multinationales au Canada</t>
  </si>
  <si>
    <t>Les exportations de services du Canada sous l’angle du commerce numérique</t>
  </si>
  <si>
    <t>Balance des paiements internationaux du Canada, premier trimestre de 2015</t>
  </si>
  <si>
    <t>Bilan des investissements internationaux du Canada, premier trimestre de 2015</t>
  </si>
  <si>
    <t>Balance des paiements internationaux du Canada, deuxième trimestre de 2015</t>
  </si>
  <si>
    <t>Bilan des investissements internationaux du Canada, deuxième trimestre de 2015</t>
  </si>
  <si>
    <t>Balance des paiements internationaux du Canada, troisième trimestre de 2015</t>
  </si>
  <si>
    <t>Bilan des investissements internationaux du Canada, troisième trimestre de 2015</t>
  </si>
  <si>
    <t>Balance des paiements internationaux du Canada, quatrième trimestre de 2015</t>
  </si>
  <si>
    <t>Bilan des investissements internationaux du Canada, quatrième trimestre de 2015</t>
  </si>
  <si>
    <t>Balance des paiements internationaux du Canada, premier trimestre de 2016</t>
  </si>
  <si>
    <t>Bilan des investissements internationaux du Canada, premier trimestre de 2016</t>
  </si>
  <si>
    <t>Balance des paiements internationaux du Canada, deuxième trimestre de 2016</t>
  </si>
  <si>
    <t>Bilan des investissements internationaux du Canada, deuxième trimestre de 2016</t>
  </si>
  <si>
    <t>Balance des paiements internationaux du Canada, troisième trimestre de 2016</t>
  </si>
  <si>
    <t>Bilan des investissements internationaux du Canada, troisième trimestre de 2016</t>
  </si>
  <si>
    <t>Balance des paiements internationaux du Canada, quatrième trimestre de 2016</t>
  </si>
  <si>
    <t>Bilan des investissements internationaux du Canada, quatrième trimestre de 2016</t>
  </si>
  <si>
    <t>Balance des paiements internationaux du Canada, premier trimestre de 2017</t>
  </si>
  <si>
    <t>Bilan des investissements internationaux du Canada, premier trimestre de 2017</t>
  </si>
  <si>
    <t>Balance des paiements internationaux du Canada, deuxième trimestre de 2017</t>
  </si>
  <si>
    <t>Bilan des investissements internationaux du Canada, deuxième trimestre de 2017</t>
  </si>
  <si>
    <t>Balance des paiements internationaux du Canada, troisième trimestre de 2017</t>
  </si>
  <si>
    <t>Bilan des investissements internationaux du Canada, troisième trimestre de 2017</t>
  </si>
  <si>
    <t>Balance des paiements internationaux du Canada, quatrième trimestre de 2017</t>
  </si>
  <si>
    <t>Bilan des investissements internationaux du Canada, quatrième trimestre de 2017</t>
  </si>
  <si>
    <t>Balance des paiements internationaux du Canada, premier trimestre de 2018</t>
  </si>
  <si>
    <t>Bilan des investissements internationaux du Canada, premier trimestre de 2018</t>
  </si>
  <si>
    <t>Balance des paiements internationaux du Canada, deuxième trimestre de 2018</t>
  </si>
  <si>
    <t>Bilan des investissements internationaux du Canada, deuxième trimestre de 2018</t>
  </si>
  <si>
    <t>Balance des paiements internationaux du Canada, troisième trimestre de 2018</t>
  </si>
  <si>
    <t>Bilan des investissements internationaux du Canada, troisième trimestre de 2018</t>
  </si>
  <si>
    <t>Balance des paiements internationaux du Canada, quatrième trimestre de 2018</t>
  </si>
  <si>
    <t>Bilan des investissements internationaux du Canada, quatrième trimestre de 2018</t>
  </si>
  <si>
    <t>Balance des paiements internationaux du Canada, premier trimestre de 2019</t>
  </si>
  <si>
    <t>Bilan des investissements internationaux du Canada, premier trimestre de 2019</t>
  </si>
  <si>
    <t>Balance des paiements internationaux du Canada, deuxième trimestre de 2019</t>
  </si>
  <si>
    <t>Bilan des investissements internationaux du Canada, deuxième trimestre de 2019</t>
  </si>
  <si>
    <t>Balance des paiements internationaux du Canada, troisième trimestre de 2019</t>
  </si>
  <si>
    <t>Bilan des investissements internationaux du Canada, troisième trimestre de 2019</t>
  </si>
  <si>
    <t>Balance des paiements internationaux du Canada, quatrième trimestre de 2019</t>
  </si>
  <si>
    <t>Bilan des investissements internationaux du Canada, quatrième trimestre de 2019</t>
  </si>
  <si>
    <t>Balance des paiements internationaux du Canada, premier trimestre de 2020</t>
  </si>
  <si>
    <t>Bilan des investissements internationaux du Canada, premier trimestre de 2020</t>
  </si>
  <si>
    <t>Balance des paiements internationaux du Canada, deuxième trimestre de 2020</t>
  </si>
  <si>
    <t>Bilan des investissements internationaux du Canada, deuxième trimestre de 2020</t>
  </si>
  <si>
    <t>Balance des paiements internationaux du Canada, troisième trimestre de 2020</t>
  </si>
  <si>
    <t>Bilan des investissements internationaux du Canada, troisième trimestre de 2020</t>
  </si>
  <si>
    <t>Balance des paiements internationaux du Canada, quatrième trimestre de 2020</t>
  </si>
  <si>
    <t>Bilan des investissements internationaux du Canada, quatrième trimestre de 2020</t>
  </si>
  <si>
    <t>Investissement direct étranger, 2019</t>
  </si>
  <si>
    <t>Le déficit du commerce international de services du Canada a continué de diminuer en 2019</t>
  </si>
  <si>
    <t>Les entreprises multinationales exercent une influence considérable sur l'économie canadienne, 2018</t>
  </si>
  <si>
    <t>Commerce international de marchandises du Canada, janvier 2021</t>
  </si>
  <si>
    <t>Opérations internationales du Canada en valeurs mobilières, janvier 2021</t>
  </si>
  <si>
    <t>Statistiques sur les titres financiers, quatrième trimestre de 2020</t>
  </si>
  <si>
    <t>Révisions à la Balance des paiements internationaux du Canada</t>
  </si>
  <si>
    <t>Un aperçu de la révision complète de 2015 du Système canadien des comptes macroéconomiques</t>
  </si>
  <si>
    <t>Transactions internationales de services du Canada
Information détaillée pour 2019</t>
  </si>
  <si>
    <t>Commerce international de marchandises du Canada (base de la balance de paiements) - Information détaillée pour janvier 2021</t>
  </si>
  <si>
    <t xml:space="preserve">Opérations internationales du Canada en valeurs mobilières - Information détaillée pour janvier 2021 </t>
  </si>
  <si>
    <r>
      <rPr>
        <b/>
        <sz val="16"/>
        <color theme="1"/>
        <rFont val="Liberation Sans"/>
        <family val="2"/>
      </rPr>
      <t xml:space="preserve">Statec </t>
    </r>
    <r>
      <rPr>
        <sz val="16"/>
        <color theme="1"/>
        <rFont val="Liberation Sans"/>
        <family val="2"/>
      </rPr>
      <t>= Statec (Luxemburg  - SO-N)</t>
    </r>
  </si>
  <si>
    <t>A Guide to the U.S. International Transactions Accounts and the U.S. International Investment Position Accounts</t>
  </si>
  <si>
    <t>PP_BEA_2010</t>
  </si>
  <si>
    <t>BEA releases new guide to international accounts</t>
  </si>
  <si>
    <t>PR_BEA_2014</t>
  </si>
  <si>
    <t>PP_BEA_2014-2</t>
  </si>
  <si>
    <t>Multinational Enterprises and International Technology Transfer</t>
  </si>
  <si>
    <t>Activities of U.S. Multinational Enterprises in 2012</t>
  </si>
  <si>
    <t>PP_BEA_2014-1</t>
  </si>
  <si>
    <t>Operations of U.S. Multinational Companies in the United States and Abroad</t>
  </si>
  <si>
    <t>PP_BEA_2011</t>
  </si>
  <si>
    <t>U.S. International Transactions - Third Quarter 2020</t>
  </si>
  <si>
    <t>PR_BEA_2020-3</t>
  </si>
  <si>
    <t>U.S. International Transactions - First Quarter 2020</t>
  </si>
  <si>
    <t>PR_BEA_2020-1</t>
  </si>
  <si>
    <t>PR_BEA_2019-4</t>
  </si>
  <si>
    <t>U.S. International Transactions - Fourth Quarter and Year 2019</t>
  </si>
  <si>
    <t>U.S. International Transactions - Third Quarter 2019</t>
  </si>
  <si>
    <t>PR_BEA_2019-3</t>
  </si>
  <si>
    <t xml:space="preserve">U.S. International Services - Trade in Services in 2019 and Services Supplied Through Affiliates in 2018
</t>
  </si>
  <si>
    <t>PP_BEA_2020</t>
  </si>
  <si>
    <t>Regulatory  (n=26)</t>
  </si>
  <si>
    <t>GP_BEA_2020_iti</t>
  </si>
  <si>
    <t>International Trade &amp; Investment</t>
  </si>
  <si>
    <t>Definition of International Services</t>
  </si>
  <si>
    <t>RM_BEA_2018_dis</t>
  </si>
  <si>
    <t>Balance des paiements – France • Février 2021</t>
  </si>
  <si>
    <t>PR_BdF_2021-02</t>
  </si>
  <si>
    <t>Balance des paiements – France • Janvier 2021</t>
  </si>
  <si>
    <t>PR_BdF_2021-01</t>
  </si>
  <si>
    <t>Balance des paiements – France • Décembre et 4ème trimestre 2020</t>
  </si>
  <si>
    <t>PR_BdF_2020-12</t>
  </si>
  <si>
    <t>PR_BdF_2020-01</t>
  </si>
  <si>
    <t>PR_BdF_2020-02</t>
  </si>
  <si>
    <t>PR_BdF_2020-03</t>
  </si>
  <si>
    <t>PR_BdF_2020-04</t>
  </si>
  <si>
    <t>PR_BdF_2020-05</t>
  </si>
  <si>
    <t>PR_BdF_2020-06</t>
  </si>
  <si>
    <t>PR_BdF_2020-07</t>
  </si>
  <si>
    <t>PR_BdF_2020-08</t>
  </si>
  <si>
    <t>PR_BdF_2020-09</t>
  </si>
  <si>
    <t>PR_BdF_2020-10</t>
  </si>
  <si>
    <t>PR_BdF_2020-11</t>
  </si>
  <si>
    <t>Balance des paiements – France • Janvier 2020</t>
  </si>
  <si>
    <t>PR_BdF_2019-01</t>
  </si>
  <si>
    <t>PR_BdF_2019-02</t>
  </si>
  <si>
    <t>PR_BdF_2019-03</t>
  </si>
  <si>
    <t>PR_BdF_2019-04</t>
  </si>
  <si>
    <t>PR_BdF_2019-05</t>
  </si>
  <si>
    <t>PR_BdF_2019-06</t>
  </si>
  <si>
    <t>PR_BdF_2019-07</t>
  </si>
  <si>
    <t>PR_BdF_2019-08</t>
  </si>
  <si>
    <t>PR_BdF_2019-09</t>
  </si>
  <si>
    <t>PR_BdF_2019-10</t>
  </si>
  <si>
    <t>PR_BdF_2019-11</t>
  </si>
  <si>
    <t>PR_BdF_2019-12</t>
  </si>
  <si>
    <t>PR_BdF_2018-01</t>
  </si>
  <si>
    <t>PR_BdF_2018-02</t>
  </si>
  <si>
    <t>PR_BdF_2018-03</t>
  </si>
  <si>
    <t>PR_BdF_2018-04</t>
  </si>
  <si>
    <t>PR_BdF_2018-05</t>
  </si>
  <si>
    <t>PR_BdF_2018-06</t>
  </si>
  <si>
    <t>PR_BdF_2018-07</t>
  </si>
  <si>
    <t>PR_BdF_2018-08</t>
  </si>
  <si>
    <t>PR_BdF_2018-09</t>
  </si>
  <si>
    <t>PR_BdF_2018-10</t>
  </si>
  <si>
    <t>PR_BdF_2018-11</t>
  </si>
  <si>
    <t>PR_BdF_2018-12</t>
  </si>
  <si>
    <t>PR_BdF_2017-01</t>
  </si>
  <si>
    <t>PR_BdF_2017-02</t>
  </si>
  <si>
    <t>PR_BdF_2017-03</t>
  </si>
  <si>
    <t>PR_BdF_2017-04</t>
  </si>
  <si>
    <t>PR_BdF_2017-05</t>
  </si>
  <si>
    <t>PR_BdF_2017-06</t>
  </si>
  <si>
    <t>PR_BdF_2017-07</t>
  </si>
  <si>
    <t>PR_BdF_2017-08</t>
  </si>
  <si>
    <t>PR_BdF_2017-09</t>
  </si>
  <si>
    <t>PR_BdF_2017-10</t>
  </si>
  <si>
    <t>PR_BdF_2017-11</t>
  </si>
  <si>
    <t>PR_BdF_2017-12</t>
  </si>
  <si>
    <t>PR_BdF_2016-01</t>
  </si>
  <si>
    <t>PR_BdF_2016-02</t>
  </si>
  <si>
    <t>PR_BdF_2016-03</t>
  </si>
  <si>
    <t>PR_BdF_2016-04</t>
  </si>
  <si>
    <t>PR_BdF_2016-05</t>
  </si>
  <si>
    <t>PR_BdF_2016-06</t>
  </si>
  <si>
    <t>PR_BdF_2016-07</t>
  </si>
  <si>
    <t>PR_BdF_2016-08</t>
  </si>
  <si>
    <t>PR_BdF_2016-09</t>
  </si>
  <si>
    <t>PR_BdF_2016-10</t>
  </si>
  <si>
    <t>PR_BdF_2016-11</t>
  </si>
  <si>
    <t>PR_BdF_2016-12</t>
  </si>
  <si>
    <t>PR_BdF_2015-01</t>
  </si>
  <si>
    <t>PR_BdF_2015-02</t>
  </si>
  <si>
    <t>PR_BdF_2015-03</t>
  </si>
  <si>
    <t>PR_BdF_2015-04</t>
  </si>
  <si>
    <t>PR_BdF_2015-05</t>
  </si>
  <si>
    <t>PR_BdF_2015-06</t>
  </si>
  <si>
    <t>PR_BdF_2015-07</t>
  </si>
  <si>
    <t>PR_BdF_2015-08</t>
  </si>
  <si>
    <t>PR_BdF_2015-09</t>
  </si>
  <si>
    <t>PR_BdF_2015-10</t>
  </si>
  <si>
    <t>PR_BdF_2015-11</t>
  </si>
  <si>
    <t>PR_BdF_2015-12</t>
  </si>
  <si>
    <t>Balance des paiements – France • Novembre 2020</t>
  </si>
  <si>
    <t>Balance des paiements – France • Octobre 2020</t>
  </si>
  <si>
    <r>
      <t xml:space="preserve">Size
 </t>
    </r>
    <r>
      <rPr>
        <b/>
        <sz val="11"/>
        <color theme="0"/>
        <rFont val="Liberation Sans"/>
        <family val="2"/>
      </rPr>
      <t>(characters)</t>
    </r>
  </si>
  <si>
    <t>Balance des paiements – France • Août 2020</t>
  </si>
  <si>
    <t>Balance des paiements – France • Juillet 2020</t>
  </si>
  <si>
    <t>Balance des paiements – France • Juin et 2ème trimestre 2020</t>
  </si>
  <si>
    <t>Balance des paiements – France • Mai 2020</t>
  </si>
  <si>
    <t>Balance des paiements – France • Avril 2020</t>
  </si>
  <si>
    <t>Balance des paiements – France • Mars et 1er trimestre 2020</t>
  </si>
  <si>
    <t>Balance des paiements – France • Février 2020</t>
  </si>
  <si>
    <t>Balance des paiements – France • Décembre et 4ème trimestre 2019</t>
  </si>
  <si>
    <t>Balance des paiements – France • Novembre 2019</t>
  </si>
  <si>
    <t>Balance des paiements – France • Octobre 2019</t>
  </si>
  <si>
    <t>Balance des paiements – France • Septembre et 3ème trimestre 2019</t>
  </si>
  <si>
    <t>Balance des paiements – France • Août 2019</t>
  </si>
  <si>
    <t>Balance des paiements – France • Juillet 2019</t>
  </si>
  <si>
    <t>Balance des paiements – France • Juin et 2ème trimestre 2019</t>
  </si>
  <si>
    <t>Balance des paiements – France • Mai 2019</t>
  </si>
  <si>
    <t>Balance des paiements – France • Avril 2019</t>
  </si>
  <si>
    <t>Balance des paiements – France • Mars et 1er trimestre 2019</t>
  </si>
  <si>
    <t>Balance des paiements – France • Février 2019</t>
  </si>
  <si>
    <t>Balance des paiements – France • Janvier 2019</t>
  </si>
  <si>
    <t>Balance des paiements – France • Décembre et 4ème trimestre 2018</t>
  </si>
  <si>
    <t>Balance des paiements – France • Novembre 2018</t>
  </si>
  <si>
    <t>Balance des paiements – France • Octobre 2018</t>
  </si>
  <si>
    <t>Balance des paiements – France • Septembre et 3ème trimestre 2018</t>
  </si>
  <si>
    <t>Balance des paiements – France • Août 2018</t>
  </si>
  <si>
    <t>Balance des paiements – France • Juillet 2018</t>
  </si>
  <si>
    <t>Balance des paiements – France • Juin et 2ème trimestre 2018</t>
  </si>
  <si>
    <t>Balance des paiements – France • Mai 2018</t>
  </si>
  <si>
    <t>Balance des paiements – France • Avril 2018</t>
  </si>
  <si>
    <t>Balance des paiements – France • Mars et 1er trimestre 2018</t>
  </si>
  <si>
    <t>Balance des paiements – France • Février 2018</t>
  </si>
  <si>
    <t>Balance des paiements – France Janvier 2018</t>
  </si>
  <si>
    <t>Balance des paiements – France • Décembre et 4ème trimestre 2017</t>
  </si>
  <si>
    <t>Balance des paiements – France • Novembre 2017</t>
  </si>
  <si>
    <t>Balance des paiements – France • Octobre 2017</t>
  </si>
  <si>
    <t>Balance des paiements – France • Septembre et 3ème trimestre 2017</t>
  </si>
  <si>
    <t>La balance des paiements - France - Août 2017</t>
  </si>
  <si>
    <t>La balance des paiements - France - Juillet 2017</t>
  </si>
  <si>
    <t>La balance des paiements - France - Juin 2017</t>
  </si>
  <si>
    <t>La balance des paiements - France - Mai 2017</t>
  </si>
  <si>
    <t>La balance des paiements - France - Avril 2017</t>
  </si>
  <si>
    <t xml:space="preserve">La balance des paiements - France - Mars 2017
</t>
  </si>
  <si>
    <t>La balance des paiements - France - Février 2017</t>
  </si>
  <si>
    <t>La balance des paiements - France - Janvier 2017</t>
  </si>
  <si>
    <t>La balance des paiements - France - Décembre 2016</t>
  </si>
  <si>
    <t xml:space="preserve">La balance des paiements - France - Novembre 2016
</t>
  </si>
  <si>
    <t>La balance des paiements - France - Octobre 2016</t>
  </si>
  <si>
    <t xml:space="preserve">La balance des paiements - France - Septembre 2016
</t>
  </si>
  <si>
    <t>La balance des paiements - France - Août 2016</t>
  </si>
  <si>
    <t>La balance des paiements - France - Juillet 2016</t>
  </si>
  <si>
    <t>La balance des paiements - France - Juin 2016</t>
  </si>
  <si>
    <t>La balance des paiements - France - Mai 2016</t>
  </si>
  <si>
    <t>La balance des paiements - France - Avril 2016</t>
  </si>
  <si>
    <t>La balance des paiements - France - Mars 2016</t>
  </si>
  <si>
    <t>La balance des paiements - France - Février 2016</t>
  </si>
  <si>
    <t>La balance des paiements - France - Janvier 2016</t>
  </si>
  <si>
    <t>La balance des paiements - France - Décembre 2015</t>
  </si>
  <si>
    <t>La balance des paiements - France - Novembre 2015</t>
  </si>
  <si>
    <t>La balance des paiements - France - Octobre 2015</t>
  </si>
  <si>
    <t>La balance des paiements - France - Septembre 2015</t>
  </si>
  <si>
    <t xml:space="preserve">La balance des paiements - France - Août 2015
</t>
  </si>
  <si>
    <t>La balance des paiements - France - Juillet 2015</t>
  </si>
  <si>
    <t>La balance des paiements - France - Juin 2015</t>
  </si>
  <si>
    <t>La balance des paiements - France - Mai 2015</t>
  </si>
  <si>
    <t>La balance des paiements - France - Avril 2015</t>
  </si>
  <si>
    <t>La balance des paiements - France - Mars 2015</t>
  </si>
  <si>
    <t>La balance des paiements - France - Février 2015</t>
  </si>
  <si>
    <t>La balance des paiements - France - Janvier 2015</t>
  </si>
  <si>
    <t>Zum Einﬂuss des starken Ölpreisrückgangs und der EuroAbwertung auf die Ausweitung des deutschen Leistungsbilanzüberschusses in den Jahren 2014 und 2015</t>
  </si>
  <si>
    <t>PP_BuBa_2016-03</t>
  </si>
  <si>
    <t>Erläuterungen - Zahlungsbilanz</t>
  </si>
  <si>
    <t>RM_BuBa_2015-03_ERL_S._103-108</t>
  </si>
  <si>
    <t xml:space="preserve">Direktinvestitionsbestände im Jahr 2019 erneut gestiegen </t>
  </si>
  <si>
    <t>PR_BuBa_2021-03-DI</t>
  </si>
  <si>
    <t>Die deutsche Zahlungsbilanz für das Jahr 2020</t>
  </si>
  <si>
    <t>PR_BuBa_2021-03</t>
  </si>
  <si>
    <t>Das deutsche Auslandsvermögen Ende 2019</t>
  </si>
  <si>
    <t>PR_BuBa_2020-09-AV</t>
  </si>
  <si>
    <t>Das deutsche Auslandsvermögen: neue statistische Konzepte und Ergebnisse seit der Finanzkrise</t>
  </si>
  <si>
    <t>PP_BuBa_2018-04-AV</t>
  </si>
  <si>
    <t>Direktinvestitionsbestände: Verflechtung mit dem Ausland hat 2018 weiter zugenommen</t>
  </si>
  <si>
    <t>PR_BuBa_2020-04-DI</t>
  </si>
  <si>
    <t>Moderate Ausweitung der Direktinvestitionsbestände im Jahr 2016</t>
  </si>
  <si>
    <t>PR_BuBa_2018-04-DI</t>
  </si>
  <si>
    <t>Die deutsche Zahlungsbilanz für das Jahr 2017</t>
  </si>
  <si>
    <t>PR_BuBa_2018-03</t>
  </si>
  <si>
    <t>Die deutsche Zahlungsbilanz für das Jahr 2016</t>
  </si>
  <si>
    <t>PR_BuBa_2017-03</t>
  </si>
  <si>
    <t>Die deutsche Zahlungsbilanz für das Jahr 2015</t>
  </si>
  <si>
    <t>PR_BuBa_2016-03</t>
  </si>
  <si>
    <t>Die deutsche Zahlungsbilanz für das Jahr 2014</t>
  </si>
  <si>
    <t>PR_BuBa_2015-03</t>
  </si>
  <si>
    <t>Die deutsche Auslandsposition: Höhe, Rentabilität und Risiken der grenzüberschreitenden Vermögenswerte</t>
  </si>
  <si>
    <t>PP_BuBa_2018-12-AV</t>
  </si>
  <si>
    <t>Regulatory</t>
  </si>
  <si>
    <t>Reference</t>
  </si>
  <si>
    <t>Papers</t>
  </si>
  <si>
    <t>Press Releases</t>
  </si>
  <si>
    <t>General</t>
  </si>
  <si>
    <t>A Modified Current Account Balance for Ireland 2008-2018</t>
  </si>
  <si>
    <t>Contract_Manufacturing_-_rebrand</t>
  </si>
  <si>
    <t>PP_Acad_2010</t>
  </si>
  <si>
    <t>Measuring the Location of Production in a World of
intangible Productive Assets, FDI, and Intra-Firm Trade</t>
  </si>
  <si>
    <t xml:space="preserve">Redomiciled PLCs in the Irish Balance of Payments 2015 </t>
  </si>
  <si>
    <t>Redomiciled PLCs in the Irish Balance of Payments 2018</t>
  </si>
  <si>
    <t>RM_CSO_2019_2</t>
  </si>
  <si>
    <t>RM_CSO_2016</t>
  </si>
  <si>
    <t>RM_CSO_2019</t>
  </si>
  <si>
    <t>Meeting the measurement challenges of Globalisation</t>
  </si>
  <si>
    <t>Standard Report on Methods and Quality
for Balance of Payments (BOP) and related results compilation</t>
  </si>
  <si>
    <t>RM_CSO_2020</t>
  </si>
  <si>
    <t>PP_CSO_2018</t>
  </si>
  <si>
    <t>RM_CSO_2017</t>
  </si>
  <si>
    <t>Background Notes - Balance of Payments</t>
  </si>
  <si>
    <t>Background Notes - Resident Holdings of Foreign Portfolio Securities</t>
  </si>
  <si>
    <t>RM_CSO_2018</t>
  </si>
  <si>
    <t>RM_CSO_2015_cm</t>
  </si>
  <si>
    <r>
      <rPr>
        <b/>
        <sz val="16"/>
        <color theme="1"/>
        <rFont val="Liberation Sans"/>
        <family val="2"/>
      </rPr>
      <t>OeNB</t>
    </r>
    <r>
      <rPr>
        <sz val="16"/>
        <color theme="1"/>
        <rFont val="Liberation Sans"/>
        <family val="2"/>
      </rPr>
      <t xml:space="preserve"> = Östereichische Nationalbank (Austria - CB-N)</t>
    </r>
  </si>
  <si>
    <t>LOI no 2007-212 du 20 février 2007 portant diverses dispositions intéressant la Banque de France</t>
  </si>
  <si>
    <t>Grenzüberschreitende Unternehmensübernahmen:
Auswirkungen der Internationalisierung
auf Unternehmen in Deutschland</t>
  </si>
  <si>
    <t>PP_BuBa_2021_07</t>
  </si>
  <si>
    <t xml:space="preserve">Die deutsche Zahlungsbilanz im Juli 2021 </t>
  </si>
  <si>
    <t>PR_BuBa_2021_09</t>
  </si>
  <si>
    <t>Aktualisierung der internationalen Standards für die
Außenwirtschafts statistiken und die Volkswirtschaftlichen Gesamtrechnungen</t>
  </si>
  <si>
    <t>PP_BuBa_2021_03</t>
  </si>
  <si>
    <t>PR_BuBa_2021_09_AV</t>
  </si>
  <si>
    <t xml:space="preserve">Das deutsche Auslandsvermögen Ende 2020 </t>
  </si>
  <si>
    <t>RM_SNB_2020_Dok</t>
  </si>
  <si>
    <t>RM_EuS_2021</t>
  </si>
  <si>
    <t>National - Others (n=2)</t>
  </si>
  <si>
    <t>Academics (n=2)</t>
  </si>
  <si>
    <t>EU (n=6)</t>
  </si>
  <si>
    <t>BALANCE OF PAYMENTS VADEMECUM 2021</t>
  </si>
  <si>
    <t>RM_EuS_2022</t>
  </si>
  <si>
    <t>BALANCE OF PAYMENTS VADEMECUM 2022</t>
  </si>
  <si>
    <t>Dokumentation - Zahlungsbilanz und Auslandvermögen der Schweiz (gem. BPM6) V.2</t>
  </si>
  <si>
    <t>RM_SNB_2022_Dok</t>
  </si>
  <si>
    <t>Dokumentation - Zahlungsbilanz und Auslandvermögen der Schweiz (gem. BPM6) V.4</t>
  </si>
  <si>
    <t>Language of docs produced by nat. bodies</t>
  </si>
  <si>
    <t>RM_BdF_2021</t>
  </si>
  <si>
    <t>La balance des paiements et la position extérieure de la France, Rapport annuel 2013</t>
  </si>
  <si>
    <t>La balance des paiements et la position extérieure de la France, Rapport annuel 2014</t>
  </si>
  <si>
    <t>La balance des paiements et la position extérieure de la France, Rapport annuel 2015</t>
  </si>
  <si>
    <t>La balance des paiements et la position extérieure de la France, Rapport annuel 2016</t>
  </si>
  <si>
    <t>La balance des paiements et la position extérieure de la France, Rapport annuel 2017</t>
  </si>
  <si>
    <t>La balance des paiements et la position extérieure de la France, Rapport annuel 2018</t>
  </si>
  <si>
    <t>La balance des paiements et la position extérieure de la France, Rapport annuel 2019</t>
  </si>
  <si>
    <t>La balance des paiements et la position extérieure de la France, Rapport annuel 2020</t>
  </si>
  <si>
    <t>RM_BdF_2022</t>
  </si>
  <si>
    <t>La balance des paiements et la position extérieure de la France, Rapport annuel 2021</t>
  </si>
  <si>
    <t>BdF (n=91)</t>
  </si>
  <si>
    <t>Quality report on balance of payments (BOP), international investment position (IIP), international trade in services (ITS) and foreign direct investment statistics (FDI) - 2019 Data</t>
  </si>
  <si>
    <t>PP_EuS_2020</t>
  </si>
  <si>
    <t>Consistency between national accounts and balance of payment statistics — an updated view on the non-financial accounts</t>
  </si>
  <si>
    <t>PP_EuS_2017-02</t>
  </si>
  <si>
    <t>PP_EuS_2020-03</t>
  </si>
  <si>
    <t>Differences between balance of payments and foreign trade statistics</t>
  </si>
  <si>
    <t xml:space="preserve">Differences between balance of payments and foreign trade statistics </t>
  </si>
  <si>
    <t>PP_EuS_2019-02</t>
  </si>
  <si>
    <t xml:space="preserve">Measuring international trade in services - from BPM5 to BPM6 </t>
  </si>
  <si>
    <t>Current account asymmetries in EU-US statistics - 2019 edition</t>
  </si>
  <si>
    <t>PP_BEA-EuS_2019</t>
  </si>
  <si>
    <t>GP_EuS_2021</t>
  </si>
  <si>
    <t xml:space="preserve">Beginners:Balance of payments </t>
  </si>
  <si>
    <t xml:space="preserve">Remittances according to the BPM6 manual </t>
  </si>
  <si>
    <t>PP_EuS_2020-04</t>
  </si>
  <si>
    <t>PR_EuS_2022-01</t>
  </si>
  <si>
    <t>Balance of payments statistics - quarterly data (Q4/2021)</t>
  </si>
  <si>
    <t>GP_EuS_2020</t>
  </si>
  <si>
    <t>GP_EuS_2020-02</t>
  </si>
  <si>
    <t>Balance of payments — Overview</t>
  </si>
  <si>
    <t xml:space="preserve">Balance of payment statistics - background </t>
  </si>
  <si>
    <t>Balance of payments - International transactions (BPM6) (bop_6). Reference Metadata in Euro SDMX Metadata Structure (ESMS)</t>
  </si>
  <si>
    <t>GP_EuS_2020_03</t>
  </si>
  <si>
    <t>Balance of payments and international investment position manual (BPM6) - Statistics Explained</t>
  </si>
  <si>
    <t>PP_EuS_2022</t>
  </si>
  <si>
    <t>Consistency between national accounts and balance of payments statistics</t>
  </si>
  <si>
    <t>Globalisation patterns in EU trade and investment</t>
  </si>
  <si>
    <t>GP_EuS_2017</t>
  </si>
  <si>
    <t>GP_EuS_2021-01</t>
  </si>
  <si>
    <t>EU current account surplus €108.8 bn</t>
  </si>
  <si>
    <t>PR_EuS_2021_10</t>
  </si>
  <si>
    <t>EU current account surplus €116.5 bn</t>
  </si>
  <si>
    <t>PR_EuS_2021_7</t>
  </si>
  <si>
    <t>EU current account surplus €72.1 bn</t>
  </si>
  <si>
    <t>PR_EuS_2021_3</t>
  </si>
  <si>
    <t>Second quarter of 2020</t>
  </si>
  <si>
    <t>PR_EuS_2020_10</t>
  </si>
  <si>
    <t>BOP Fourth quarter of 2020</t>
  </si>
  <si>
    <t>PR_EuS_2020_4</t>
  </si>
  <si>
    <t>PR_EuS_2020_3</t>
  </si>
  <si>
    <t>BOP Third quarter of 2020</t>
  </si>
  <si>
    <t>PR_EuS_2020_1</t>
  </si>
  <si>
    <t>BOP First quarter of 2020</t>
  </si>
  <si>
    <t>PR_EuS_2019_4</t>
  </si>
  <si>
    <t>BOP Fourth quarter of 2019</t>
  </si>
  <si>
    <t>PR_EuS_2015_6</t>
  </si>
  <si>
    <t>EU28 current account surplus €14.9 bn</t>
  </si>
  <si>
    <t>PR_EuS_2017</t>
  </si>
  <si>
    <t>Personal transfers in the EU (13 November 2017)</t>
  </si>
  <si>
    <t>PR_EuS_2020</t>
  </si>
  <si>
    <t>Personal transfers in the EU (12 November 2020)</t>
  </si>
  <si>
    <t>PR_EuS_2019</t>
  </si>
  <si>
    <t>Personal transfers in the EU (12 November 2019)</t>
  </si>
  <si>
    <t>PR_EuS_2018</t>
  </si>
  <si>
    <t>Personal transfers in the EU (15 November 2018)</t>
  </si>
  <si>
    <t>PR_EuS_2015_8</t>
  </si>
  <si>
    <t>EU28 current account surplus €12.3 bn</t>
  </si>
  <si>
    <t>PR_EuS_2015_4</t>
  </si>
  <si>
    <t>EU28 current account surplus €20.4 bn</t>
  </si>
  <si>
    <t>PR_EuS_2018_3</t>
  </si>
  <si>
    <t>BOP Third quarter of 2018</t>
  </si>
  <si>
    <t>PR_ONS_2021_PB</t>
  </si>
  <si>
    <t>UK Balance of Payments, The Pink Book: 2021</t>
  </si>
  <si>
    <t>Balance of payments, UK April to June 2021</t>
  </si>
  <si>
    <t>PR_ONS_2021_2</t>
  </si>
  <si>
    <t>Balance of payments, UK April to June 2022</t>
  </si>
  <si>
    <t>PR_ONS_2022_2</t>
  </si>
  <si>
    <t>Balance of payments, UK January to March 2021</t>
  </si>
  <si>
    <t>Balance of payments, UK January to March 2022</t>
  </si>
  <si>
    <t>Balance of payments, UK July to September 2021</t>
  </si>
  <si>
    <t>Balance of payments, UK October to December 2021</t>
  </si>
  <si>
    <t>Detailed assessment of changes to balance of payments annual estimates 1997 to 2020</t>
  </si>
  <si>
    <t>Impact of the coronavirus and EU exit on the collection and compilation of UK trade statistics</t>
  </si>
  <si>
    <t>Impact of trade in goods data collection changes on UK trade statistics 2021 to 2022</t>
  </si>
  <si>
    <t>Proposed changes to be implemented in Blue Book and Pink Book 2022</t>
  </si>
  <si>
    <t>PR_ONS_2021_1</t>
  </si>
  <si>
    <t>PR_ONS_2022_1</t>
  </si>
  <si>
    <t>PR_ONS_2021_3</t>
  </si>
  <si>
    <t>PR_ONS_2021_4</t>
  </si>
  <si>
    <t>PP_ONS_2022</t>
  </si>
  <si>
    <t>PP_ONS_2021</t>
  </si>
  <si>
    <t>PP_ONS_2022_1</t>
  </si>
  <si>
    <t>PP_ONS_2022_2</t>
  </si>
  <si>
    <t>PR_ONS_2015_PB</t>
  </si>
  <si>
    <t>EuS (n=35)</t>
  </si>
  <si>
    <t>Interesting PP but as old as 1961… No recent publication on BOP on the BoE website. Everything published by ONS</t>
  </si>
  <si>
    <t>EuS&amp;BEA (n=1)</t>
  </si>
  <si>
    <t>EuS&amp;BEA</t>
  </si>
  <si>
    <t>International - Statistics offices (n=35)</t>
  </si>
  <si>
    <t>PR_BEA_2022_2</t>
  </si>
  <si>
    <t>U.S. International Transactions, 2nd Quarter 2022</t>
  </si>
  <si>
    <t>PR_BEA_2021_5</t>
  </si>
  <si>
    <t>Annual Update of the U.S. International Transactions Accounts 2021</t>
  </si>
  <si>
    <t>PR_BEA_2021_4_y</t>
  </si>
  <si>
    <t>U.S. International Transactions - Fourth Quarter and Year 2021</t>
  </si>
  <si>
    <t>U.S. International Transactions, Third Quarter 2021</t>
  </si>
  <si>
    <t>PR_BEA_2021_3</t>
  </si>
  <si>
    <t>PR_BEA_2021_2</t>
  </si>
  <si>
    <t>U.S. International Transactions, Second Quarter 2021</t>
  </si>
  <si>
    <t>PR_BEA_2021_1</t>
  </si>
  <si>
    <t>U.S. International Transactions, First Quarter 2021</t>
  </si>
  <si>
    <t>PR_BEA_2020_5</t>
  </si>
  <si>
    <t>Annual Update of the U.S. International Transactions Accounts 2020</t>
  </si>
  <si>
    <t>PP_BCL_2009</t>
  </si>
  <si>
    <t>La position extérieure globale du Luxembourg</t>
  </si>
  <si>
    <t>PR_BuBa_2022</t>
  </si>
  <si>
    <t>Die deutsche Zahlungsbilanz für das Jahr 2021</t>
  </si>
  <si>
    <t>PR_ECB_2021_1</t>
  </si>
  <si>
    <t>PR_ECB_2021_3</t>
  </si>
  <si>
    <t>PR_ECB_2021_4</t>
  </si>
  <si>
    <t>PR_ECB_2022_1</t>
  </si>
  <si>
    <t>PR_ECB_2022_2</t>
  </si>
  <si>
    <t>Euro area quarterly balance of payments and international investment position: second quarter of 2022</t>
  </si>
  <si>
    <t>Euro area quarterly balance of payments and international investment position: first quarter of 2022</t>
  </si>
  <si>
    <t>Euro area quarterly balance of payments and international investment position: fourth quarter of 2021</t>
  </si>
  <si>
    <t>Euro area quarterly balance of payments and international investment position: third quarter of 2021</t>
  </si>
  <si>
    <t>Euro area quarterly balance of payments and international investment position: second quarter of 2021</t>
  </si>
  <si>
    <t>Euro area quarterly balance of payments and international investment position: first quarter of 2021</t>
  </si>
  <si>
    <t>Euro area quarterly balance of payments and international investment position: fourth quarter of 2020</t>
  </si>
  <si>
    <t>PR_ECB_2020_4</t>
  </si>
  <si>
    <t>Quarterly National Accounts and International Accounts for Quarter 2 2022</t>
  </si>
  <si>
    <t>PR_CSO_2022_2</t>
  </si>
  <si>
    <t>PR_CSO_2022_1_p</t>
  </si>
  <si>
    <t>Quarterly National Accounts and International Accounts Quarter 1 2022 (Provisional)</t>
  </si>
  <si>
    <t>PR_CSO_2022_1</t>
  </si>
  <si>
    <t>Annual National Accounts Results for Year 2021 (ANA 2021); Updated Quarterly National Accounts and International Accounts Quarter 1 2022</t>
  </si>
  <si>
    <t>Quarterly National Accounts and International Accounts Quarter 4 2021 and Year 2021 (Preliminary)</t>
  </si>
  <si>
    <t>PR_CSO_2021_4</t>
  </si>
  <si>
    <t>PR_CSO_2021_3</t>
  </si>
  <si>
    <t>Quarterly National Accounts and International Accounts Quarter 3 2021</t>
  </si>
  <si>
    <t>Quarterly National Accounts and International Accounts Quarter 2 2021</t>
  </si>
  <si>
    <t>PR_CSO_2021_2</t>
  </si>
  <si>
    <t>Quarterly National Accounts and International Accounts Quarter 1 2021 (Provisional)</t>
  </si>
  <si>
    <t>PR_CSO_2021_1_p</t>
  </si>
  <si>
    <t>PR_CSO_2021_1</t>
  </si>
  <si>
    <t>National Income and Expenditure Results for Year 2020; Revised Quarterly National Accounts and International Accounts for Quarter 1 2021</t>
  </si>
  <si>
    <t>PR_CSO_2020_4</t>
  </si>
  <si>
    <t>Quarterly National Accounts and International Accounts Quarter 4 2020 and Year 2020 (Preliminary)</t>
  </si>
  <si>
    <t>PR_CSO_2020_3</t>
  </si>
  <si>
    <t>Quarterly National Accounts and International Accounts Quarter 3 2020 (Preliminary)</t>
  </si>
  <si>
    <t>PR_CSO_2020_2</t>
  </si>
  <si>
    <t>Quarterly National Accounts and International Accounts Quarter 2 2020</t>
  </si>
  <si>
    <t>PR_CSO_2020_1_p</t>
  </si>
  <si>
    <t>Quarterly National Accounts and International Accounts Quarter 1 2020 Provisional</t>
  </si>
  <si>
    <t>PR_CSO_2020_1</t>
  </si>
  <si>
    <t>National Income and Expenditure 2019; Revised Quarterly National Accounts and International Accounts for Quarter 1 2020</t>
  </si>
  <si>
    <t>PR_CSO_2017_2</t>
  </si>
  <si>
    <t>Quarterly National Accounts and Balance of Payments for Quarter 2, 2017</t>
  </si>
  <si>
    <t>Quarterly National Accounts and International Accounts Quarter 4 2019 and Year 2019 (Preliminary)</t>
  </si>
  <si>
    <t>PR_CSO_2019_4</t>
  </si>
  <si>
    <t>Quarterly National Accounts and International Accounts results for Quarter 3 2019</t>
  </si>
  <si>
    <t>PR_CSO_2019_3</t>
  </si>
  <si>
    <t>Quarterly National Accounts and International Accounts results for Quarter 2 2019</t>
  </si>
  <si>
    <t>PR_CSO_2019_2</t>
  </si>
  <si>
    <t>PR_CSO_2019_1</t>
  </si>
  <si>
    <t>Quarterly National Accounts and International Accounts results for Quarter 1 2019; National Income and Expenditure Results for Year 2018</t>
  </si>
  <si>
    <t>Quarterly National Accounts Quarter 4 2018 and Year 2018 (Preliminary) and International Accounts Quarter 4 2018</t>
  </si>
  <si>
    <t>PR_CSO_2018_4</t>
  </si>
  <si>
    <t>Press Statement Quarterly National Accounts, Balance of International Payments and Quarterly International Investment Position and External Debt Q3 2018</t>
  </si>
  <si>
    <t>PR_CSO_2018_3</t>
  </si>
  <si>
    <t>PR_CSO_2018_2</t>
  </si>
  <si>
    <t>Press Statement Quarterly National Accounts and Balance of Payments Quarter 2 2018</t>
  </si>
  <si>
    <t>PR_CSO_2018_1</t>
  </si>
  <si>
    <t>Quarterly National Accounts and Balance of Payments results for Quarter 1 2018, National Income and Expenditure Results for Year 2017</t>
  </si>
  <si>
    <t>PR_CSO_2017_4</t>
  </si>
  <si>
    <t>Quarterly National Accounts and Balance of Payments Quarter 4 2017 and Year 2017 (Preliminary)</t>
  </si>
  <si>
    <t>PR_CSO_2017_3</t>
  </si>
  <si>
    <t>Quarterly National Accounts and Balance of Payments for Quarter 3, 2017</t>
  </si>
  <si>
    <t>GP_NBB_2022</t>
  </si>
  <si>
    <t>Méthodologie</t>
  </si>
  <si>
    <t>PR_NBB_2022_PEGCF_2</t>
  </si>
  <si>
    <t>Position extérieure globale et compte financier de la balance des paiements (deuxième trimestre 2022)</t>
  </si>
  <si>
    <t>PR_NBB_2022_BS9</t>
  </si>
  <si>
    <t>Balance des paiements, Position extérieure globale et Investissements directs avec l’étranger, chapitre 9 du Bulletin statistique trimestriel 2022-III</t>
  </si>
  <si>
    <t>GENERAL CONSIDERATIONS ON THE QUALITY OF THE STATISTICS UNDERLYING THE MIP</t>
  </si>
  <si>
    <t>PP_CMFB_2020_BOP (exc)</t>
  </si>
  <si>
    <t>International - Central banks (n=45)</t>
  </si>
  <si>
    <t>Excerpts concerning the BOP</t>
  </si>
  <si>
    <t>PR_CSO_2016_2</t>
  </si>
  <si>
    <t>Quarterly National Accounts and Balance of Payments for Quarter 2, 2016</t>
  </si>
  <si>
    <t>PR_CSO_2016_3</t>
  </si>
  <si>
    <t>PR_CSO_2016_4</t>
  </si>
  <si>
    <t>Quarterly National Accounts Quarter 4 2016 and Year 2016 (Preliminary) and Balance of Payments results for Quarter 4 2016 and Year 2016</t>
  </si>
  <si>
    <t>Quarterly National Accounts and Balance of Payments for Quarter 3, 2016</t>
  </si>
  <si>
    <t>PR_STATEC_2022_1</t>
  </si>
  <si>
    <t>L’impact des frontaliers dans la balance
des paiements en 2020</t>
  </si>
  <si>
    <t>PP_STATEC_2022</t>
  </si>
  <si>
    <t>BALANCE DES PAIEMENTS DU LUXEMBOURG AU PREMIER TRIMESTRE 2022</t>
  </si>
  <si>
    <t>BALANCE DES PAIEMENTS DU LUXEMBOURG AU PREMIER TRIMESTRE 2021</t>
  </si>
  <si>
    <t>PR_STATEC_2021_1</t>
  </si>
  <si>
    <t>Balance des paiements du Luxembourg en 2020</t>
  </si>
  <si>
    <t>PR_STATEC_2020_4</t>
  </si>
  <si>
    <t>Regards sur l’impact des frontaliers dans la balance des paiements</t>
  </si>
  <si>
    <t>PR_STATEC_2015_3</t>
  </si>
  <si>
    <t>BALANCE DES PAIEMENTS DU LUXEMBOURG AU PREMIER SEMESTRE 2021</t>
  </si>
  <si>
    <t>PR_STATEC_2021_2</t>
  </si>
  <si>
    <t>BALANCE DES PAIEMENTS DU LUXEMBOURG SUR LES TROIS PREMIERS TRIMESTRES DE L’ANNÉE 2021</t>
  </si>
  <si>
    <t>PR_STATEC_2021_3</t>
  </si>
  <si>
    <t>BALANCE DES PAIEMENTS DU LUXEMBOURG AU PREMIER SEMESTRE 2022</t>
  </si>
  <si>
    <t>PR_STATEC_2022_2</t>
  </si>
  <si>
    <t>BALANCE DES PAIEMENTS DU LUXEMBOURG AU COURS DE L’ANNÉE 2021</t>
  </si>
  <si>
    <t>PR_STATEC_2021_4</t>
  </si>
  <si>
    <t>Bilan des investissements internationaux du Canada, deuxième trimestre de 2022</t>
  </si>
  <si>
    <t>PR_Scan_2022_2_iip_fr</t>
  </si>
  <si>
    <t>PR_Scan_2022_1_iip_fr</t>
  </si>
  <si>
    <t>Bilan des investissements internationaux du Canada, premier trimestre de 2022</t>
  </si>
  <si>
    <t>PR_Scan_2021_4_iip_fr</t>
  </si>
  <si>
    <t>PR_Scan_2021_3_iip_fr</t>
  </si>
  <si>
    <t>PR_Scan_2021_2_iip_fr</t>
  </si>
  <si>
    <t>Bilan des investissements internationaux du Canada, quatrième trimestre de 2021</t>
  </si>
  <si>
    <t>Bilan des investissements internationaux du Canada, troisième trimestre de 2021</t>
  </si>
  <si>
    <t>Bilan des investissements internationaux du Canada, deuxième trimestre de 2021</t>
  </si>
  <si>
    <t>Bilan des investissements internationaux du Canada, premier trimestre de 2021</t>
  </si>
  <si>
    <t>PR_Scan_2021_1_iip_fr</t>
  </si>
  <si>
    <t>Balance des paiements internationaux du Canada, deuxième trimestre de 2022</t>
  </si>
  <si>
    <t>Balance des paiements internationaux du Canada, premier trimestre de 2022</t>
  </si>
  <si>
    <t>Balance des paiements internationaux du Canada, quatrième trimestre de 2021</t>
  </si>
  <si>
    <t>Balance des paiements internationaux du Canada, troisième trimestre de 2021</t>
  </si>
  <si>
    <t>Balance des paiements internationaux du Canada, deuxième trimestre de 2021</t>
  </si>
  <si>
    <t>Balance des paiements internationaux du Canada, premier trimestre de 2021</t>
  </si>
  <si>
    <t>PR_Scan_2022_2_bp_fr</t>
  </si>
  <si>
    <t>PR_Scan_2022_1_bp_fr</t>
  </si>
  <si>
    <t>PR_Scan_2021_4_bp_fr</t>
  </si>
  <si>
    <t>PR_Scan_2021_3_bp_fr</t>
  </si>
  <si>
    <t>PR_Scan_2021_2_bp_fr</t>
  </si>
  <si>
    <t>PR_Scan_2021_1_bp_fr</t>
  </si>
  <si>
    <t>PR_Scan_2022_2_iip_en</t>
  </si>
  <si>
    <t>PR_Scan_2022_1_iip_en</t>
  </si>
  <si>
    <t>PR_Scan_2021_4_iip_en</t>
  </si>
  <si>
    <t>PR_Scan_2021_3_iip_en</t>
  </si>
  <si>
    <t>PR_Scan_2021_2_iip_en</t>
  </si>
  <si>
    <t>PR_Scan_2021_1_iip_en</t>
  </si>
  <si>
    <t>PR_Scan_2022_2_bp_en</t>
  </si>
  <si>
    <t>PR_Scan_2022_1_bp_en</t>
  </si>
  <si>
    <t>PR_Scan_2021_4_bp_en</t>
  </si>
  <si>
    <t>PR_Scan_2021_3_bp_en</t>
  </si>
  <si>
    <t>PR_Scan_2021_2_bp_en</t>
  </si>
  <si>
    <t>PR_Scan_2021_1_bp_en</t>
  </si>
  <si>
    <t>Canada's international investment position, second quarter 2022</t>
  </si>
  <si>
    <t>Canada's international investment position, first quarter 2022</t>
  </si>
  <si>
    <t>Canada's international investment position, first quarter 2021</t>
  </si>
  <si>
    <t>Canada's international investment position, fourth quarter 2021</t>
  </si>
  <si>
    <t>Canada's international investment position, third quarter 2021</t>
  </si>
  <si>
    <t>Canada's international investment position, second quarter 2021</t>
  </si>
  <si>
    <t>Canada's balance of international payments, second quarter 2022</t>
  </si>
  <si>
    <t>Canada's balance of international payments, first quarter 2022</t>
  </si>
  <si>
    <t>Canada's balance of international payments, fourth quarter 2021</t>
  </si>
  <si>
    <t>Canada's balance of international payments, third quarter 2021</t>
  </si>
  <si>
    <t>Canada's balance of international payments, second quarter 2021</t>
  </si>
  <si>
    <t>Canada's balance of international payments, first quarter 2021</t>
  </si>
  <si>
    <t>SCan (n=172)</t>
  </si>
  <si>
    <t>https://www.oenb.at/Statistik/Standardisierte-Tabellen/auszenwirtschaft/zahlungsbilanz-und-internationale-vermoegensposition.html</t>
  </si>
  <si>
    <t>PP_OeNB_2022_1</t>
  </si>
  <si>
    <t>Start-ups in Österreich und ihre außenwirtschaftliche Relevanz</t>
  </si>
  <si>
    <t>PP_OeNB_2021_4</t>
  </si>
  <si>
    <t>Entwicklung der Außenwirtschaft Österreichs im zweiten Jahr der COVID-19-Pandemie</t>
  </si>
  <si>
    <t>PP_OeNB_2022_2</t>
  </si>
  <si>
    <t>Auswirkungen der COVID-19-Pandemie auf Österreichs Außenwirtschaft 2020</t>
  </si>
  <si>
    <t>Same title as PP_OeNB_2021_4 but different content</t>
  </si>
  <si>
    <t>PP_OeNB_2021_2</t>
  </si>
  <si>
    <t>PR_OeNB_2022</t>
  </si>
  <si>
    <t>Pandemie führt 2021 erstmals seit mehr als 20 Jahren zu einem Leistungsbilanzdefizit</t>
  </si>
  <si>
    <t>GP_OeNB_2020_LB</t>
  </si>
  <si>
    <t>Leistungsbilanz (inkl. Vermögensübertragungen) – Detailübersicht</t>
  </si>
  <si>
    <t>PR_SNB_2021_4_de</t>
  </si>
  <si>
    <t>Zahlungsbilanz und Auslandvermögen der Schweiz - 3. Quartal 2021</t>
  </si>
  <si>
    <t>Zahlungsbilanz und Auslandvermögen der Schweiz - Jahr 2021 und 4. Quartal 2021</t>
  </si>
  <si>
    <t>Zahlungsbilanz und Auslandvermögen der Schweiz - 2. Quartal 2021</t>
  </si>
  <si>
    <t>Zahlungsbilanz und Auslandvermögen der Schweiz - 1. Quartal 2021</t>
  </si>
  <si>
    <t>Zahlungsbilanz und Auslandvermögen der Schweiz - 2. Quartal 2022</t>
  </si>
  <si>
    <t>Zahlungsbilanz und Auslandvermögen der Schweiz - 1. Quartal 2022</t>
  </si>
  <si>
    <t>Balance des paiements et position extérieure de la Suisse - 2e trimestre 2022</t>
  </si>
  <si>
    <t>Balance des paiements et position extérieure de la Suisse - 1er trimestre 2022</t>
  </si>
  <si>
    <t>Balance des paiements et position extérieure de la Suisse - 2e trimestre 2021</t>
  </si>
  <si>
    <t>Balance des paiements et position extérieure de la Suisse - 3e trimestre 2021</t>
  </si>
  <si>
    <t>Balance des paiements et position extérieure de la Suisse - 1er trimestre 2021</t>
  </si>
  <si>
    <t>Balance des paiements et position extérieure de la Suisse - Année 2021 et 4e trimestre 2021</t>
  </si>
  <si>
    <t>PR_SNB_2021_3_de</t>
  </si>
  <si>
    <t>PR_SNB_2021_2_de</t>
  </si>
  <si>
    <t>PR_SNB_2021_1_de</t>
  </si>
  <si>
    <t>PR_SNB_2021_4_fr</t>
  </si>
  <si>
    <t>PR_SNB_2021_3_fr</t>
  </si>
  <si>
    <t>PR_SNB_2021_2_fr</t>
  </si>
  <si>
    <t>PR_SNB_2021_1_fr</t>
  </si>
  <si>
    <t>PR_SNB_2022_2_de</t>
  </si>
  <si>
    <t>PR_SNB_2022_1_de</t>
  </si>
  <si>
    <t>PR_SNB_2022_2_fr</t>
  </si>
  <si>
    <t>PR_SNB_2022_1_fr</t>
  </si>
  <si>
    <t>Special Purpose Entities: Guidelines for a Data Template</t>
  </si>
  <si>
    <t>RM_IMF_2020</t>
  </si>
  <si>
    <t>ECB (n=45)</t>
  </si>
  <si>
    <t>PR_STATEC_2017</t>
  </si>
  <si>
    <t>PR_STATEC_2016</t>
  </si>
  <si>
    <t>PP_SCan_2019-3_f</t>
  </si>
  <si>
    <t>PR_ONS_2022_PB</t>
  </si>
  <si>
    <t>UK Balance of Payments, The Pink Book: 2022</t>
  </si>
  <si>
    <t>Understanding the UK's net international investment position</t>
  </si>
  <si>
    <t>PP_ONS_2020</t>
  </si>
  <si>
    <t>ok.  =&gt; PR</t>
  </si>
  <si>
    <t>ok. Glossary pp. 191-202</t>
  </si>
  <si>
    <t>PR_BEA_2014_ar</t>
  </si>
  <si>
    <t>PR_BEA_2015_ar</t>
  </si>
  <si>
    <t>PR_BEA_2016_ar</t>
  </si>
  <si>
    <t>PR_BEA_2017_ar</t>
  </si>
  <si>
    <t>PR_BEA_2018_ar</t>
  </si>
  <si>
    <t>Reference (n=62)</t>
  </si>
  <si>
    <t>Press releases (n=443)</t>
  </si>
  <si>
    <t>Papers (n=104)</t>
  </si>
  <si>
    <t>General (n=18)</t>
  </si>
  <si>
    <t>Statistics offices (n=346)</t>
  </si>
  <si>
    <t>Central banks (n=286)</t>
  </si>
  <si>
    <t>BEA (n=29)</t>
  </si>
  <si>
    <t>SNB (n=64)</t>
  </si>
  <si>
    <t>OeNB (n=35)</t>
  </si>
  <si>
    <t>BuBa (n=28)</t>
  </si>
  <si>
    <t>ONS (n=49)</t>
  </si>
  <si>
    <t>CSO (n=41)</t>
  </si>
  <si>
    <t>NBB (n=18)</t>
  </si>
  <si>
    <t>Statec (n=19)</t>
  </si>
  <si>
    <t>CMFB (n=4)</t>
  </si>
  <si>
    <t>BCL (n=3)</t>
  </si>
  <si>
    <t>National - Central banks (n=241)</t>
  </si>
  <si>
    <t>National - Statistics offices (n=310)</t>
  </si>
  <si>
    <t>Glossary removed (identical to the one included in PP_EuS_2017)</t>
  </si>
  <si>
    <t>Contains a glossary</t>
  </si>
  <si>
    <t>Annex II contains definitions</t>
  </si>
  <si>
    <t>PP_SNB_2023-f</t>
  </si>
  <si>
    <t>PP_SNB_2023-d</t>
  </si>
  <si>
    <t>Le commerce de transit, un baromètre de la mondialisation</t>
  </si>
  <si>
    <t>Transithandel: Ein Gradmesser der Globalisierung</t>
  </si>
  <si>
    <t>French (n=256)</t>
  </si>
  <si>
    <t>German (n=99)</t>
  </si>
  <si>
    <t>Quoted in Measuring GDP in a globalised world (presentation)</t>
  </si>
  <si>
    <t>German (n=96)</t>
  </si>
  <si>
    <t>English (n=209)</t>
  </si>
  <si>
    <t>RM_IMF_2018</t>
  </si>
  <si>
    <t>Final Report of the Task Force on Special Purpose Entities</t>
  </si>
  <si>
    <t>English (n=300)</t>
  </si>
  <si>
    <t>Others (n=22)</t>
  </si>
  <si>
    <t>IMF (n=6)</t>
  </si>
  <si>
    <t>International - Bretton Woods, UN &amp;  European Commission (n=21)</t>
  </si>
  <si>
    <t>French (n=249)</t>
  </si>
  <si>
    <t>PR_BuBa_2024</t>
  </si>
  <si>
    <t>Die deutsche Zahlungsbilanz für das Jahr 2023</t>
  </si>
  <si>
    <t>PP_OeNB_2017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</si>
</sst>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Liberation Sans"/>
      <family val="2"/>
    </font>
    <font>
      <sz val="11"/>
      <color theme="1"/>
      <name val="Liberation Sans"/>
      <family val="2"/>
    </font>
    <font>
      <b/>
      <sz val="10"/>
      <color rgb="FF000000"/>
      <name val="Liberation Sans"/>
      <family val="2"/>
    </font>
    <font>
      <sz val="10"/>
      <color rgb="FFFFFFFF"/>
      <name val="Liberation Sans"/>
      <family val="2"/>
    </font>
    <font>
      <sz val="10"/>
      <color rgb="FFCC0000"/>
      <name val="Liberation Sans"/>
      <family val="2"/>
    </font>
    <font>
      <b/>
      <sz val="10"/>
      <color rgb="FFFFFFFF"/>
      <name val="Liberation Sans"/>
      <family val="2"/>
    </font>
    <font>
      <i/>
      <sz val="10"/>
      <color rgb="FF808080"/>
      <name val="Liberation Sans"/>
      <family val="2"/>
    </font>
    <font>
      <sz val="10"/>
      <color rgb="FF006600"/>
      <name val="Liberation Sans"/>
      <family val="2"/>
    </font>
    <font>
      <b/>
      <sz val="24"/>
      <color rgb="FF000000"/>
      <name val="Liberation Sans"/>
      <family val="2"/>
    </font>
    <font>
      <sz val="18"/>
      <color rgb="FF000000"/>
      <name val="Liberation Sans"/>
      <family val="2"/>
    </font>
    <font>
      <sz val="12"/>
      <color rgb="FF000000"/>
      <name val="Liberation Sans"/>
      <family val="2"/>
    </font>
    <font>
      <sz val="10"/>
      <color rgb="FF996600"/>
      <name val="Liberation Sans"/>
      <family val="2"/>
    </font>
    <font>
      <sz val="10"/>
      <color rgb="FF333333"/>
      <name val="Liberation Sans"/>
      <family val="2"/>
    </font>
    <font>
      <b/>
      <sz val="11"/>
      <color theme="1"/>
      <name val="Liberation Sans"/>
      <family val="2"/>
    </font>
    <font>
      <u/>
      <sz val="11"/>
      <color theme="10"/>
      <name val="Liberation Sans"/>
      <family val="2"/>
    </font>
    <font>
      <sz val="16"/>
      <color theme="1"/>
      <name val="Liberation Sans"/>
      <family val="2"/>
    </font>
    <font>
      <b/>
      <sz val="16"/>
      <color theme="1"/>
      <name val="Liberation Sans"/>
      <family val="2"/>
    </font>
    <font>
      <b/>
      <sz val="16"/>
      <color theme="0"/>
      <name val="Liberation Sans"/>
      <family val="2"/>
    </font>
    <font>
      <b/>
      <u/>
      <sz val="16"/>
      <color theme="0"/>
      <name val="Liberation Sans"/>
      <family val="2"/>
    </font>
    <font>
      <sz val="11"/>
      <name val="Liberation Sans"/>
      <family val="2"/>
    </font>
    <font>
      <b/>
      <u/>
      <vertAlign val="superscript"/>
      <sz val="16"/>
      <color theme="0"/>
      <name val="Liberation Sans"/>
      <family val="2"/>
    </font>
    <font>
      <b/>
      <sz val="14"/>
      <color theme="1"/>
      <name val="Liberation Sans"/>
      <family val="2"/>
    </font>
    <font>
      <b/>
      <sz val="20"/>
      <color theme="1"/>
      <name val="Liberation Sans"/>
      <family val="2"/>
    </font>
    <font>
      <b/>
      <sz val="20"/>
      <name val="Liberation Sans"/>
      <family val="2"/>
    </font>
    <font>
      <b/>
      <sz val="22"/>
      <color theme="0"/>
      <name val="Liberation Sans"/>
      <family val="2"/>
    </font>
    <font>
      <sz val="22"/>
      <color theme="1"/>
      <name val="Liberation Sans"/>
      <family val="2"/>
    </font>
    <font>
      <u/>
      <sz val="11"/>
      <color theme="1"/>
      <name val="Liberation Sans"/>
      <family val="2"/>
    </font>
    <font>
      <u/>
      <sz val="16"/>
      <color theme="0"/>
      <name val="Liberation Sans"/>
      <family val="2"/>
    </font>
    <font>
      <b/>
      <sz val="11"/>
      <color theme="1"/>
      <name val="Calibri"/>
      <family val="2"/>
    </font>
    <font>
      <sz val="16"/>
      <color theme="0"/>
      <name val="Liberation Sans"/>
      <family val="2"/>
    </font>
    <font>
      <b/>
      <sz val="11"/>
      <name val="Liberation Sans"/>
      <family val="2"/>
    </font>
    <font>
      <u/>
      <sz val="14"/>
      <color theme="0"/>
      <name val="Liberation Sans"/>
      <family val="2"/>
    </font>
    <font>
      <u/>
      <vertAlign val="superscript"/>
      <sz val="14"/>
      <color theme="0"/>
      <name val="Liberation Sans"/>
      <family val="2"/>
    </font>
    <font>
      <b/>
      <sz val="11"/>
      <color theme="0"/>
      <name val="Liberation Sans"/>
      <family val="2"/>
    </font>
    <font>
      <b/>
      <sz val="16"/>
      <color theme="0"/>
      <name val="Liberation Sans"/>
    </font>
    <font>
      <sz val="11"/>
      <color rgb="FFFF0000"/>
      <name val="Liberation Sans"/>
      <family val="2"/>
    </font>
    <font>
      <sz val="11"/>
      <color rgb="FF00B050"/>
      <name val="Liberation Sans"/>
      <family val="2"/>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499984740745262"/>
        <bgColor indexed="64"/>
      </patternFill>
    </fill>
    <fill>
      <gradientFill type="path" left="0.5" right="0.5" top="0.5" bottom="0.5">
        <stop position="0">
          <color theme="9" tint="0.40000610370189521"/>
        </stop>
        <stop position="1">
          <color theme="9" tint="0.80001220740379042"/>
        </stop>
      </gradientFill>
    </fill>
    <fill>
      <patternFill patternType="solid">
        <fgColor theme="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FF00"/>
        <bgColor indexed="64"/>
      </patternFill>
    </fill>
  </fills>
  <borders count="16">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9" tint="-0.249977111117893"/>
      </left>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right style="thin">
        <color indexed="64"/>
      </right>
      <top style="thin">
        <color indexed="64"/>
      </top>
      <bottom/>
      <diagonal/>
    </border>
    <border>
      <left/>
      <right/>
      <top/>
      <bottom style="thin">
        <color indexed="64"/>
      </bottom>
      <diagonal/>
    </border>
  </borders>
  <cellStyleXfs count="18">
    <xf numFmtId="0" fontId="0" fillId="0"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8" borderId="0"/>
    <xf numFmtId="0" fontId="12" fillId="8" borderId="1"/>
    <xf numFmtId="0" fontId="1" fillId="0" borderId="0"/>
    <xf numFmtId="0" fontId="1" fillId="0" borderId="0"/>
    <xf numFmtId="0" fontId="4" fillId="0" borderId="0"/>
    <xf numFmtId="0" fontId="14" fillId="0" borderId="0" applyNumberFormat="0" applyFill="0" applyBorder="0" applyAlignment="0" applyProtection="0"/>
  </cellStyleXfs>
  <cellXfs count="92">
    <xf numFmtId="0" fontId="0" fillId="0" borderId="0" xfId="0"/>
    <xf numFmtId="0" fontId="0" fillId="0" borderId="2" xfId="0" applyBorder="1" applyAlignment="1">
      <alignment wrapText="1"/>
    </xf>
    <xf numFmtId="0" fontId="0" fillId="0" borderId="0" xfId="0" applyAlignment="1">
      <alignment wrapText="1"/>
    </xf>
    <xf numFmtId="0" fontId="14" fillId="0" borderId="2" xfId="17" applyBorder="1" applyAlignment="1">
      <alignment wrapText="1"/>
    </xf>
    <xf numFmtId="0" fontId="0" fillId="0" borderId="0" xfId="0" applyBorder="1"/>
    <xf numFmtId="0" fontId="14" fillId="12" borderId="6" xfId="17" applyFill="1" applyBorder="1" applyAlignment="1">
      <alignment horizontal="center"/>
    </xf>
    <xf numFmtId="0" fontId="13" fillId="0" borderId="2" xfId="0" applyFont="1" applyBorder="1" applyAlignment="1">
      <alignment wrapText="1"/>
    </xf>
    <xf numFmtId="0" fontId="0" fillId="0" borderId="0" xfId="0" applyBorder="1" applyAlignment="1">
      <alignment wrapText="1"/>
    </xf>
    <xf numFmtId="0" fontId="0" fillId="0" borderId="9" xfId="0" applyBorder="1" applyAlignment="1">
      <alignment wrapText="1"/>
    </xf>
    <xf numFmtId="0" fontId="13" fillId="0" borderId="10" xfId="0" applyFont="1" applyBorder="1" applyAlignment="1">
      <alignment wrapText="1"/>
    </xf>
    <xf numFmtId="0" fontId="14" fillId="0" borderId="10" xfId="17" applyBorder="1" applyAlignment="1">
      <alignment wrapText="1"/>
    </xf>
    <xf numFmtId="0" fontId="0" fillId="0" borderId="10" xfId="0" applyBorder="1" applyAlignment="1">
      <alignment wrapText="1"/>
    </xf>
    <xf numFmtId="0" fontId="0" fillId="0" borderId="4" xfId="0" applyBorder="1" applyAlignment="1">
      <alignment wrapText="1"/>
    </xf>
    <xf numFmtId="0" fontId="15" fillId="9" borderId="12" xfId="0" applyFont="1" applyFill="1" applyBorder="1"/>
    <xf numFmtId="0" fontId="15" fillId="9" borderId="13" xfId="0" applyFont="1" applyFill="1" applyBorder="1"/>
    <xf numFmtId="0" fontId="0" fillId="9" borderId="12" xfId="0" applyFill="1" applyBorder="1"/>
    <xf numFmtId="0" fontId="0" fillId="9" borderId="13" xfId="0" applyFill="1" applyBorder="1"/>
    <xf numFmtId="0" fontId="15" fillId="10" borderId="11" xfId="0" applyFont="1" applyFill="1" applyBorder="1"/>
    <xf numFmtId="0" fontId="15" fillId="10" borderId="0" xfId="0" applyFont="1" applyFill="1" applyBorder="1" applyAlignment="1">
      <alignment wrapText="1"/>
    </xf>
    <xf numFmtId="0" fontId="15" fillId="10" borderId="12" xfId="0" applyFont="1" applyFill="1" applyBorder="1" applyAlignment="1">
      <alignment vertical="center"/>
    </xf>
    <xf numFmtId="0" fontId="0" fillId="0" borderId="0" xfId="0" applyBorder="1" applyAlignment="1"/>
    <xf numFmtId="0" fontId="16" fillId="9" borderId="11" xfId="0" applyFont="1" applyFill="1" applyBorder="1" applyAlignment="1"/>
    <xf numFmtId="0" fontId="22" fillId="9" borderId="11" xfId="0" applyFont="1" applyFill="1" applyBorder="1" applyAlignment="1"/>
    <xf numFmtId="0" fontId="23" fillId="10" borderId="0" xfId="0" applyFont="1" applyFill="1" applyBorder="1"/>
    <xf numFmtId="0" fontId="0" fillId="0" borderId="8" xfId="0" applyBorder="1" applyAlignment="1">
      <alignment wrapText="1"/>
    </xf>
    <xf numFmtId="0" fontId="0" fillId="0" borderId="14" xfId="0" applyBorder="1" applyAlignment="1">
      <alignment wrapText="1"/>
    </xf>
    <xf numFmtId="0" fontId="14" fillId="0" borderId="0" xfId="17" applyBorder="1" applyAlignment="1">
      <alignment wrapText="1"/>
    </xf>
    <xf numFmtId="0" fontId="14" fillId="0" borderId="0" xfId="17" applyAlignment="1">
      <alignment wrapText="1"/>
    </xf>
    <xf numFmtId="0" fontId="0" fillId="0" borderId="0" xfId="0" quotePrefix="1" applyBorder="1" applyAlignment="1">
      <alignment wrapText="1"/>
    </xf>
    <xf numFmtId="0" fontId="0" fillId="9" borderId="13" xfId="0" applyFill="1" applyBorder="1" applyAlignment="1">
      <alignment wrapText="1"/>
    </xf>
    <xf numFmtId="0" fontId="17" fillId="15" borderId="5" xfId="0" applyFont="1" applyFill="1" applyBorder="1" applyAlignment="1">
      <alignment wrapText="1"/>
    </xf>
    <xf numFmtId="0" fontId="17" fillId="15" borderId="7" xfId="0" applyFont="1" applyFill="1" applyBorder="1" applyAlignment="1">
      <alignment wrapText="1"/>
    </xf>
    <xf numFmtId="0" fontId="17" fillId="15" borderId="3" xfId="0" applyFont="1" applyFill="1" applyBorder="1" applyAlignment="1">
      <alignment wrapText="1"/>
    </xf>
    <xf numFmtId="0" fontId="27" fillId="15" borderId="7" xfId="17" applyFont="1" applyFill="1" applyBorder="1" applyAlignment="1">
      <alignment wrapText="1"/>
    </xf>
    <xf numFmtId="0" fontId="15" fillId="16" borderId="0" xfId="0" applyFont="1" applyFill="1" applyBorder="1" applyAlignment="1">
      <alignment wrapText="1"/>
    </xf>
    <xf numFmtId="49" fontId="21" fillId="0" borderId="0" xfId="0" applyNumberFormat="1" applyFont="1"/>
    <xf numFmtId="49" fontId="0" fillId="0" borderId="0" xfId="0" applyNumberFormat="1"/>
    <xf numFmtId="0" fontId="21" fillId="10" borderId="2" xfId="0" applyFont="1" applyFill="1" applyBorder="1" applyAlignment="1">
      <alignment wrapText="1"/>
    </xf>
    <xf numFmtId="0" fontId="16" fillId="10" borderId="2" xfId="0" applyFont="1" applyFill="1" applyBorder="1" applyAlignment="1">
      <alignment wrapText="1"/>
    </xf>
    <xf numFmtId="0" fontId="13" fillId="10" borderId="2" xfId="0" applyFont="1" applyFill="1" applyBorder="1" applyAlignment="1">
      <alignment wrapText="1"/>
    </xf>
    <xf numFmtId="0" fontId="28" fillId="10" borderId="2" xfId="0" applyFont="1" applyFill="1" applyBorder="1" applyAlignment="1">
      <alignment wrapText="1"/>
    </xf>
    <xf numFmtId="0" fontId="29" fillId="15" borderId="7" xfId="17" applyFont="1" applyFill="1" applyBorder="1" applyAlignment="1">
      <alignment wrapText="1"/>
    </xf>
    <xf numFmtId="0" fontId="18" fillId="14" borderId="0" xfId="17" applyFont="1" applyFill="1" applyBorder="1" applyAlignment="1">
      <alignment horizontal="center" vertical="top" textRotation="90" wrapText="1"/>
    </xf>
    <xf numFmtId="0" fontId="17" fillId="14" borderId="0" xfId="0" applyFont="1" applyFill="1" applyBorder="1" applyAlignment="1">
      <alignment horizontal="center" vertical="top" textRotation="90" wrapText="1"/>
    </xf>
    <xf numFmtId="0" fontId="17" fillId="14" borderId="0" xfId="0" applyFont="1" applyFill="1" applyBorder="1" applyAlignment="1">
      <alignment horizontal="center" vertical="top" wrapText="1"/>
    </xf>
    <xf numFmtId="0" fontId="19" fillId="13" borderId="0" xfId="0" applyFont="1" applyFill="1" applyBorder="1" applyAlignment="1">
      <alignment horizontal="center" vertical="top"/>
    </xf>
    <xf numFmtId="0" fontId="0" fillId="0" borderId="0" xfId="0" applyBorder="1" applyAlignment="1">
      <alignment vertical="top" wrapText="1"/>
    </xf>
    <xf numFmtId="1" fontId="0" fillId="0" borderId="0" xfId="0" applyNumberFormat="1" applyBorder="1" applyAlignment="1">
      <alignment vertical="top" wrapText="1"/>
    </xf>
    <xf numFmtId="0" fontId="0" fillId="0" borderId="0" xfId="0" applyBorder="1" applyAlignment="1">
      <alignment vertical="top"/>
    </xf>
    <xf numFmtId="1" fontId="0" fillId="0" borderId="0" xfId="0" applyNumberFormat="1" applyBorder="1" applyAlignment="1">
      <alignment vertical="top"/>
    </xf>
    <xf numFmtId="0" fontId="0" fillId="0" borderId="0" xfId="0" applyAlignment="1">
      <alignment vertical="top"/>
    </xf>
    <xf numFmtId="0" fontId="17" fillId="14" borderId="0" xfId="0" applyFont="1" applyFill="1" applyBorder="1" applyAlignment="1">
      <alignment horizontal="left" vertical="top" textRotation="90"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right" vertical="top"/>
    </xf>
    <xf numFmtId="0" fontId="0" fillId="0" borderId="0" xfId="0" applyAlignment="1">
      <alignment horizontal="right"/>
    </xf>
    <xf numFmtId="0" fontId="30" fillId="13" borderId="0" xfId="0" applyFont="1" applyFill="1" applyBorder="1" applyAlignment="1">
      <alignment horizontal="right" vertical="top"/>
    </xf>
    <xf numFmtId="0" fontId="13" fillId="0" borderId="0" xfId="0" applyFont="1" applyAlignment="1">
      <alignment horizontal="right"/>
    </xf>
    <xf numFmtId="0" fontId="18" fillId="15" borderId="7" xfId="17" applyFont="1" applyFill="1" applyBorder="1" applyAlignment="1">
      <alignment wrapText="1"/>
    </xf>
    <xf numFmtId="0" fontId="31" fillId="14" borderId="0" xfId="17" applyFont="1" applyFill="1" applyBorder="1" applyAlignment="1">
      <alignment horizontal="center" vertical="top" textRotation="90" wrapText="1"/>
    </xf>
    <xf numFmtId="3" fontId="0" fillId="0" borderId="0" xfId="0" applyNumberFormat="1" applyBorder="1" applyAlignment="1">
      <alignment horizontal="right" vertical="top"/>
    </xf>
    <xf numFmtId="3" fontId="0" fillId="0" borderId="0" xfId="0" applyNumberFormat="1"/>
    <xf numFmtId="3" fontId="0" fillId="0" borderId="0" xfId="0" applyNumberFormat="1" applyAlignment="1">
      <alignment horizontal="right"/>
    </xf>
    <xf numFmtId="3" fontId="13" fillId="0" borderId="0" xfId="0" applyNumberFormat="1" applyFont="1"/>
    <xf numFmtId="3" fontId="13" fillId="0" borderId="0" xfId="0" applyNumberFormat="1" applyFont="1" applyAlignment="1">
      <alignment horizontal="right"/>
    </xf>
    <xf numFmtId="3" fontId="13" fillId="0" borderId="0" xfId="0" applyNumberFormat="1" applyFont="1" applyBorder="1" applyAlignment="1">
      <alignment horizontal="right" vertical="top"/>
    </xf>
    <xf numFmtId="3" fontId="0" fillId="0" borderId="0" xfId="0" applyNumberFormat="1" applyBorder="1" applyAlignment="1">
      <alignment vertical="top" wrapText="1"/>
    </xf>
    <xf numFmtId="3" fontId="0" fillId="0" borderId="0" xfId="0" applyNumberFormat="1" applyBorder="1" applyAlignment="1">
      <alignment vertical="top"/>
    </xf>
    <xf numFmtId="3" fontId="13" fillId="13" borderId="0" xfId="0" applyNumberFormat="1" applyFont="1" applyFill="1"/>
    <xf numFmtId="0" fontId="34" fillId="14" borderId="7" xfId="0" applyFont="1" applyFill="1" applyBorder="1" applyAlignment="1">
      <alignment horizontal="center" vertical="top" wrapText="1"/>
    </xf>
    <xf numFmtId="0" fontId="0" fillId="0" borderId="0" xfId="0" applyFont="1"/>
    <xf numFmtId="0" fontId="30" fillId="13" borderId="0" xfId="0" applyFont="1" applyFill="1" applyBorder="1" applyAlignment="1">
      <alignment horizontal="left" vertical="top"/>
    </xf>
    <xf numFmtId="0" fontId="13" fillId="0" borderId="0" xfId="0" applyFont="1" applyBorder="1" applyAlignment="1">
      <alignment horizontal="left" vertical="top"/>
    </xf>
    <xf numFmtId="0" fontId="13"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Alignment="1">
      <alignment horizontal="left"/>
    </xf>
    <xf numFmtId="0" fontId="13" fillId="0" borderId="0" xfId="0" applyFont="1" applyAlignment="1">
      <alignment horizontal="left"/>
    </xf>
    <xf numFmtId="0" fontId="0" fillId="0" borderId="0" xfId="0" applyAlignment="1">
      <alignment horizontal="left" wrapText="1"/>
    </xf>
    <xf numFmtId="0" fontId="13" fillId="0" borderId="0" xfId="0" applyFont="1" applyAlignment="1">
      <alignment horizontal="left" wrapText="1"/>
    </xf>
    <xf numFmtId="0" fontId="1" fillId="0" borderId="9" xfId="17" applyFont="1" applyBorder="1" applyAlignment="1">
      <alignment wrapText="1"/>
    </xf>
    <xf numFmtId="0" fontId="0" fillId="0" borderId="0" xfId="0" applyAlignment="1">
      <alignment horizontal="left" vertical="top"/>
    </xf>
    <xf numFmtId="3" fontId="0" fillId="0" borderId="0" xfId="0" applyNumberFormat="1" applyAlignment="1">
      <alignment vertical="top"/>
    </xf>
    <xf numFmtId="49" fontId="21" fillId="16" borderId="0" xfId="0" applyNumberFormat="1" applyFont="1" applyFill="1"/>
    <xf numFmtId="3" fontId="17" fillId="14" borderId="0" xfId="0" applyNumberFormat="1" applyFont="1" applyFill="1" applyBorder="1" applyAlignment="1">
      <alignment horizontal="center" vertical="top" textRotation="90" wrapText="1"/>
    </xf>
    <xf numFmtId="0" fontId="14" fillId="0" borderId="0" xfId="17" applyBorder="1" applyAlignment="1">
      <alignment vertical="top" wrapText="1"/>
    </xf>
    <xf numFmtId="0" fontId="35" fillId="0" borderId="0" xfId="0" applyFont="1" applyBorder="1" applyAlignment="1">
      <alignment vertical="top" wrapText="1"/>
    </xf>
    <xf numFmtId="0" fontId="36" fillId="0" borderId="0" xfId="0" applyFont="1" applyBorder="1" applyAlignment="1">
      <alignment vertical="top" wrapText="1"/>
    </xf>
    <xf numFmtId="0" fontId="24" fillId="11" borderId="0" xfId="0" applyFont="1" applyFill="1" applyBorder="1" applyAlignment="1"/>
    <xf numFmtId="0" fontId="25" fillId="0" borderId="0" xfId="0" applyFont="1" applyAlignment="1"/>
    <xf numFmtId="0" fontId="24" fillId="11" borderId="15" xfId="0" applyFont="1" applyFill="1" applyBorder="1" applyAlignment="1">
      <alignment wrapText="1"/>
    </xf>
    <xf numFmtId="0" fontId="25" fillId="0" borderId="15" xfId="0" applyFont="1" applyBorder="1" applyAlignment="1">
      <alignment wrapText="1"/>
    </xf>
    <xf numFmtId="0" fontId="0" fillId="0" borderId="15" xfId="0" applyBorder="1" applyAlignment="1">
      <alignment wrapText="1"/>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Lien hypertexte" xfId="17" builtinId="8"/>
    <cellStyle name="Neutral" xfId="12"/>
    <cellStyle name="Normal" xfId="0" builtinId="0" customBuiltin="1"/>
    <cellStyle name="Note" xfId="13"/>
    <cellStyle name="Status" xfId="14"/>
    <cellStyle name="Text" xfId="15"/>
    <cellStyle name="Warning" xfId="16"/>
  </cellStyles>
  <dxfs count="3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b val="0"/>
        <i val="0"/>
        <strike val="0"/>
        <condense val="0"/>
        <extend val="0"/>
        <outline val="0"/>
        <shadow val="0"/>
        <u val="none"/>
        <vertAlign val="baseline"/>
        <sz val="16"/>
        <color theme="1"/>
        <name val="Liberation Sans"/>
        <scheme val="none"/>
      </font>
      <fill>
        <patternFill patternType="solid">
          <fgColor indexed="64"/>
          <bgColor theme="9" tint="0.59999389629810485"/>
        </patternFill>
      </fill>
      <alignment horizontal="general" vertical="bottom" textRotation="0" wrapText="1" indent="0" justifyLastLine="0" shrinkToFit="0" readingOrder="0"/>
    </dxf>
    <dxf>
      <border outline="0">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6"/>
        <color theme="1"/>
        <name val="Liberation Sans"/>
        <scheme val="none"/>
      </font>
      <fill>
        <patternFill patternType="solid">
          <fgColor indexed="64"/>
          <bgColor theme="9" tint="0.59999389629810485"/>
        </patternFill>
      </fill>
      <alignment horizontal="general" vertical="bottom" textRotation="0" wrapText="1" indent="0" justifyLastLine="0" shrinkToFit="0" readingOrder="0"/>
    </dxf>
    <dxf>
      <font>
        <b/>
        <i val="0"/>
        <strike val="0"/>
        <condense val="0"/>
        <extend val="0"/>
        <outline val="0"/>
        <shadow val="0"/>
        <u val="none"/>
        <vertAlign val="baseline"/>
        <sz val="20"/>
        <color auto="1"/>
        <name val="Liberation Sans"/>
        <scheme val="none"/>
      </font>
      <fill>
        <patternFill patternType="solid">
          <fgColor indexed="64"/>
          <bgColor theme="9" tint="0.5999938962981048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6"/>
        <color theme="0"/>
        <name val="Liberation Sans"/>
        <scheme val="none"/>
      </font>
      <fill>
        <patternFill patternType="solid">
          <fgColor indexed="64"/>
          <bgColor theme="4"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3" formatCode="#,##0"/>
      <alignment vertical="top" indent="0" justifyLastLine="0" shrinkToFit="0" readingOrder="0"/>
    </dxf>
    <dxf>
      <alignment vertical="top" indent="0" justifyLastLine="0" shrinkToFit="0" readingOrder="0"/>
    </dxf>
    <dxf>
      <numFmt numFmtId="1" formatCode="0"/>
      <alignment vertical="top" indent="0" justifyLastLine="0" shrinkToFit="0" readingOrder="0"/>
    </dxf>
    <dxf>
      <numFmt numFmtId="3" formatCode="#,##0"/>
      <alignment vertical="top" textRotation="0" indent="0" justifyLastLine="0" shrinkToFit="0" readingOrder="0"/>
    </dxf>
    <dxf>
      <alignment vertical="top" textRotation="0" wrapText="1" indent="0" justifyLastLine="0" shrinkToFit="0" readingOrder="0"/>
    </dxf>
    <dxf>
      <alignment vertical="top" indent="0" justifyLastLine="0" shrinkToFit="0" readingOrder="0"/>
    </dxf>
    <dxf>
      <alignment horizontal="left" vertical="top" indent="0" justifyLastLine="0" shrinkToFit="0" readingOrder="0"/>
    </dxf>
    <dxf>
      <alignment vertical="top" indent="0" justifyLastLine="0" shrinkToFit="0" readingOrder="0"/>
    </dxf>
    <dxf>
      <alignment horizontal="general" vertical="top" textRotation="0" wrapText="0" indent="0" justifyLastLine="0" shrinkToFit="0" readingOrder="0"/>
    </dxf>
    <dxf>
      <alignment vertical="top" indent="0" justifyLastLine="0" shrinkToFit="0" readingOrder="0"/>
    </dxf>
    <dxf>
      <alignment vertical="top" indent="0" justifyLastLine="0" shrinkToFit="0" readingOrder="0"/>
    </dxf>
    <dxf>
      <border outline="0">
        <top style="thin">
          <color indexed="64"/>
        </top>
      </border>
    </dxf>
    <dxf>
      <alignment vertical="top" indent="0" justifyLastLine="0" shrinkToFit="0" readingOrder="0"/>
    </dxf>
    <dxf>
      <border outline="0">
        <bottom style="thin">
          <color indexed="64"/>
        </bottom>
      </border>
    </dxf>
    <dxf>
      <font>
        <b/>
        <i val="0"/>
        <strike val="0"/>
        <condense val="0"/>
        <extend val="0"/>
        <outline val="0"/>
        <shadow val="0"/>
        <u val="none"/>
        <vertAlign val="baseline"/>
        <sz val="16"/>
        <color theme="0"/>
        <name val="Liberation Sans"/>
        <scheme val="none"/>
      </font>
      <fill>
        <patternFill patternType="solid">
          <fgColor indexed="64"/>
          <bgColor theme="5" tint="0.3999755851924192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Corpus composition </a:t>
            </a:r>
            <a:r>
              <a:rPr lang="en-US"/>
              <a:t>by document types</a:t>
            </a:r>
            <a:br>
              <a:rPr lang="en-US"/>
            </a:br>
            <a:r>
              <a:rPr lang="en-US" sz="1050" b="1" i="0" baseline="0">
                <a:effectLst/>
              </a:rPr>
              <a:t>Size in number of characters</a:t>
            </a:r>
            <a:endParaRPr lang="fr-CH" sz="700">
              <a:effectLst/>
            </a:endParaRP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v>Type (number of documents)</c:v>
          </c:tx>
          <c:invertIfNegative val="0"/>
          <c:dPt>
            <c:idx val="0"/>
            <c:invertIfNegative val="0"/>
            <c:bubble3D val="0"/>
            <c:spPr>
              <a:solidFill>
                <a:schemeClr val="accent2">
                  <a:lumMod val="20000"/>
                  <a:lumOff val="80000"/>
                </a:schemeClr>
              </a:solidFill>
            </c:spPr>
            <c:extLst xmlns:c16r2="http://schemas.microsoft.com/office/drawing/2015/06/chart">
              <c:ext xmlns:c16="http://schemas.microsoft.com/office/drawing/2014/chart" uri="{C3380CC4-5D6E-409C-BE32-E72D297353CC}">
                <c16:uniqueId val="{00000001-86CA-40A9-BBB6-4E6396AACB3C}"/>
              </c:ext>
            </c:extLst>
          </c:dPt>
          <c:dPt>
            <c:idx val="1"/>
            <c:invertIfNegative val="0"/>
            <c:bubble3D val="0"/>
            <c:spPr>
              <a:solidFill>
                <a:schemeClr val="accent2">
                  <a:lumMod val="40000"/>
                  <a:lumOff val="60000"/>
                </a:schemeClr>
              </a:solidFill>
            </c:spPr>
            <c:extLst xmlns:c16r2="http://schemas.microsoft.com/office/drawing/2015/06/chart">
              <c:ext xmlns:c16="http://schemas.microsoft.com/office/drawing/2014/chart" uri="{C3380CC4-5D6E-409C-BE32-E72D297353CC}">
                <c16:uniqueId val="{00000003-86CA-40A9-BBB6-4E6396AACB3C}"/>
              </c:ext>
            </c:extLst>
          </c:dPt>
          <c:dPt>
            <c:idx val="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5-86CA-40A9-BBB6-4E6396AACB3C}"/>
              </c:ext>
            </c:extLst>
          </c:dPt>
          <c:dPt>
            <c:idx val="3"/>
            <c:invertIfNegative val="0"/>
            <c:bubble3D val="0"/>
            <c:spPr>
              <a:solidFill>
                <a:schemeClr val="accent2">
                  <a:lumMod val="75000"/>
                </a:schemeClr>
              </a:solidFill>
            </c:spPr>
            <c:extLst xmlns:c16r2="http://schemas.microsoft.com/office/drawing/2015/06/chart">
              <c:ext xmlns:c16="http://schemas.microsoft.com/office/drawing/2014/chart" uri="{C3380CC4-5D6E-409C-BE32-E72D297353CC}">
                <c16:uniqueId val="{00000007-86CA-40A9-BBB6-4E6396AACB3C}"/>
              </c:ext>
            </c:extLst>
          </c:dPt>
          <c:dPt>
            <c:idx val="4"/>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9-86CA-40A9-BBB6-4E6396AACB3C}"/>
              </c:ext>
            </c:extLst>
          </c:dPt>
          <c:dLbls>
            <c:spPr>
              <a:noFill/>
              <a:ln>
                <a:noFill/>
              </a:ln>
              <a:effectLst/>
            </c:spPr>
            <c:txPr>
              <a:bodyPr/>
              <a:lstStyle/>
              <a:p>
                <a:pPr>
                  <a:defRPr sz="800"/>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'Stats on documents'!$A$2:$A$6</c:f>
              <c:strCache>
                <c:ptCount val="5"/>
                <c:pt idx="0">
                  <c:v>General (n=18)</c:v>
                </c:pt>
                <c:pt idx="1">
                  <c:v>Regulatory  (n=26)</c:v>
                </c:pt>
                <c:pt idx="2">
                  <c:v>Papers (n=104)</c:v>
                </c:pt>
                <c:pt idx="3">
                  <c:v>Press releases (n=443)</c:v>
                </c:pt>
                <c:pt idx="4">
                  <c:v>Reference (n=62)</c:v>
                </c:pt>
              </c:strCache>
            </c:strRef>
          </c:cat>
          <c:val>
            <c:numRef>
              <c:f>'Stats on documents'!$B$2:$B$6</c:f>
              <c:numCache>
                <c:formatCode>#,##0</c:formatCode>
                <c:ptCount val="5"/>
                <c:pt idx="0">
                  <c:v>561889</c:v>
                </c:pt>
                <c:pt idx="1">
                  <c:v>1042353</c:v>
                </c:pt>
                <c:pt idx="2">
                  <c:v>3552677</c:v>
                </c:pt>
                <c:pt idx="3">
                  <c:v>6599776</c:v>
                </c:pt>
                <c:pt idx="4">
                  <c:v>17449348</c:v>
                </c:pt>
              </c:numCache>
            </c:numRef>
          </c:val>
          <c:extLst xmlns:c16r2="http://schemas.microsoft.com/office/drawing/2015/06/chart">
            <c:ext xmlns:c16="http://schemas.microsoft.com/office/drawing/2014/chart" uri="{C3380CC4-5D6E-409C-BE32-E72D297353CC}">
              <c16:uniqueId val="{0000000A-86CA-40A9-BBB6-4E6396AACB3C}"/>
            </c:ext>
          </c:extLst>
        </c:ser>
        <c:dLbls>
          <c:showLegendKey val="0"/>
          <c:showVal val="1"/>
          <c:showCatName val="0"/>
          <c:showSerName val="0"/>
          <c:showPercent val="0"/>
          <c:showBubbleSize val="0"/>
        </c:dLbls>
        <c:gapWidth val="73"/>
        <c:shape val="cylinder"/>
        <c:axId val="205151232"/>
        <c:axId val="206503936"/>
        <c:axId val="0"/>
      </c:bar3DChart>
      <c:catAx>
        <c:axId val="205151232"/>
        <c:scaling>
          <c:orientation val="minMax"/>
        </c:scaling>
        <c:delete val="0"/>
        <c:axPos val="b"/>
        <c:numFmt formatCode="General" sourceLinked="0"/>
        <c:majorTickMark val="out"/>
        <c:minorTickMark val="none"/>
        <c:tickLblPos val="nextTo"/>
        <c:txPr>
          <a:bodyPr rot="0" vert="horz" anchor="t" anchorCtr="0"/>
          <a:lstStyle/>
          <a:p>
            <a:pPr>
              <a:defRPr sz="800"/>
            </a:pPr>
            <a:endParaRPr lang="fr-FR"/>
          </a:p>
        </c:txPr>
        <c:crossAx val="206503936"/>
        <c:crosses val="autoZero"/>
        <c:auto val="1"/>
        <c:lblAlgn val="ctr"/>
        <c:lblOffset val="100"/>
        <c:tickLblSkip val="1"/>
        <c:noMultiLvlLbl val="0"/>
      </c:catAx>
      <c:valAx>
        <c:axId val="206503936"/>
        <c:scaling>
          <c:logBase val="2"/>
          <c:orientation val="minMax"/>
          <c:max val="20000000"/>
          <c:min val="100000"/>
        </c:scaling>
        <c:delete val="0"/>
        <c:axPos val="l"/>
        <c:majorGridlines/>
        <c:numFmt formatCode="#,##0" sourceLinked="1"/>
        <c:majorTickMark val="out"/>
        <c:minorTickMark val="none"/>
        <c:tickLblPos val="nextTo"/>
        <c:crossAx val="205151232"/>
        <c:crosses val="autoZero"/>
        <c:crossBetween val="between"/>
        <c:majorUnit val="10"/>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u="none" strike="noStrike" baseline="0">
                <a:effectLst/>
              </a:rPr>
              <a:t>Corpus composition by </a:t>
            </a:r>
            <a:r>
              <a:rPr lang="en-US"/>
              <a:t>authoring organisations</a:t>
            </a:r>
            <a:br>
              <a:rPr lang="en-US"/>
            </a:br>
            <a:r>
              <a:rPr lang="en-US" sz="1050" b="1" i="0" baseline="0">
                <a:effectLst/>
              </a:rPr>
              <a:t>Size in number of characters</a:t>
            </a:r>
            <a:endParaRPr lang="fr-CH" sz="1050">
              <a:effectLst/>
            </a:endParaRPr>
          </a:p>
        </c:rich>
      </c:tx>
      <c:overlay val="0"/>
    </c:title>
    <c:autoTitleDeleted val="0"/>
    <c:plotArea>
      <c:layout>
        <c:manualLayout>
          <c:layoutTarget val="inner"/>
          <c:xMode val="edge"/>
          <c:yMode val="edge"/>
          <c:x val="0.1257112063525096"/>
          <c:y val="0.12301851943974515"/>
          <c:w val="0.82735317640872885"/>
          <c:h val="0.83069466320113672"/>
        </c:manualLayout>
      </c:layout>
      <c:barChart>
        <c:barDir val="bar"/>
        <c:grouping val="clustered"/>
        <c:varyColors val="0"/>
        <c:ser>
          <c:idx val="0"/>
          <c:order val="0"/>
          <c:invertIfNegative val="0"/>
          <c:dPt>
            <c:idx val="0"/>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1-CEF7-4F22-B72C-B1F5C46B053E}"/>
              </c:ext>
            </c:extLst>
          </c:dPt>
          <c:dPt>
            <c:idx val="1"/>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3-CEF7-4F22-B72C-B1F5C46B053E}"/>
              </c:ext>
            </c:extLst>
          </c:dPt>
          <c:dPt>
            <c:idx val="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5-CEF7-4F22-B72C-B1F5C46B053E}"/>
              </c:ext>
            </c:extLst>
          </c:dPt>
          <c:dPt>
            <c:idx val="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7-CEF7-4F22-B72C-B1F5C46B053E}"/>
              </c:ext>
            </c:extLst>
          </c:dPt>
          <c:dPt>
            <c:idx val="4"/>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9-CEF7-4F22-B72C-B1F5C46B053E}"/>
              </c:ext>
            </c:extLst>
          </c:dPt>
          <c:dPt>
            <c:idx val="5"/>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B-CEF7-4F22-B72C-B1F5C46B053E}"/>
              </c:ext>
            </c:extLst>
          </c:dPt>
          <c:dPt>
            <c:idx val="6"/>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D-CEF7-4F22-B72C-B1F5C46B053E}"/>
              </c:ext>
            </c:extLst>
          </c:dPt>
          <c:dPt>
            <c:idx val="7"/>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F-CEF7-4F22-B72C-B1F5C46B053E}"/>
              </c:ext>
            </c:extLst>
          </c:dPt>
          <c:dPt>
            <c:idx val="8"/>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11-CEF7-4F22-B72C-B1F5C46B053E}"/>
              </c:ext>
            </c:extLst>
          </c:dPt>
          <c:dPt>
            <c:idx val="9"/>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3-CEF7-4F22-B72C-B1F5C46B053E}"/>
              </c:ext>
            </c:extLst>
          </c:dPt>
          <c:dPt>
            <c:idx val="10"/>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5-CEF7-4F22-B72C-B1F5C46B053E}"/>
              </c:ext>
            </c:extLst>
          </c:dPt>
          <c:dPt>
            <c:idx val="11"/>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7-CEF7-4F22-B72C-B1F5C46B053E}"/>
              </c:ext>
            </c:extLst>
          </c:dPt>
          <c:dPt>
            <c:idx val="1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9-CEF7-4F22-B72C-B1F5C46B053E}"/>
              </c:ext>
            </c:extLst>
          </c:dPt>
          <c:dPt>
            <c:idx val="1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B-CEF7-4F22-B72C-B1F5C46B053E}"/>
              </c:ext>
            </c:extLst>
          </c:dPt>
          <c:dPt>
            <c:idx val="14"/>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D-CEF7-4F22-B72C-B1F5C46B053E}"/>
              </c:ext>
            </c:extLst>
          </c:dPt>
          <c:dPt>
            <c:idx val="15"/>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1F-CEF7-4F22-B72C-B1F5C46B053E}"/>
              </c:ext>
            </c:extLst>
          </c:dPt>
          <c:dPt>
            <c:idx val="16"/>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21-CEF7-4F22-B72C-B1F5C46B053E}"/>
              </c:ext>
            </c:extLst>
          </c:dPt>
          <c:dPt>
            <c:idx val="17"/>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3-CEF7-4F22-B72C-B1F5C46B053E}"/>
              </c:ext>
            </c:extLst>
          </c:dPt>
          <c:dPt>
            <c:idx val="18"/>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5-CEF7-4F22-B72C-B1F5C46B053E}"/>
              </c:ext>
            </c:extLst>
          </c:dPt>
          <c:dPt>
            <c:idx val="19"/>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7-CEF7-4F22-B72C-B1F5C46B053E}"/>
              </c:ext>
            </c:extLst>
          </c:dPt>
          <c:dPt>
            <c:idx val="20"/>
            <c:invertIfNegative val="0"/>
            <c:bubble3D val="0"/>
            <c:spPr>
              <a:solidFill>
                <a:schemeClr val="accent2">
                  <a:lumMod val="50000"/>
                </a:schemeClr>
              </a:solidFill>
            </c:spPr>
          </c:dPt>
          <c:dLbls>
            <c:spPr>
              <a:noFill/>
              <a:ln>
                <a:noFill/>
              </a:ln>
              <a:effectLst/>
            </c:spPr>
            <c:txPr>
              <a:bodyPr/>
              <a:lstStyle/>
              <a:p>
                <a:pPr>
                  <a:defRPr sz="700"/>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'Stats on documents'!$A$22:$A$42</c:f>
              <c:strCache>
                <c:ptCount val="21"/>
                <c:pt idx="0">
                  <c:v>BCL (n=3)</c:v>
                </c:pt>
                <c:pt idx="1">
                  <c:v>CMFB (n=4)</c:v>
                </c:pt>
                <c:pt idx="2">
                  <c:v>Statec (n=19)</c:v>
                </c:pt>
                <c:pt idx="3">
                  <c:v>NBB (n=18)</c:v>
                </c:pt>
                <c:pt idx="4">
                  <c:v>Academics (n=2)</c:v>
                </c:pt>
                <c:pt idx="5">
                  <c:v>BoE (n=2)</c:v>
                </c:pt>
                <c:pt idx="6">
                  <c:v>CSO (n=41)</c:v>
                </c:pt>
                <c:pt idx="7">
                  <c:v>EuS (n=35)</c:v>
                </c:pt>
                <c:pt idx="8">
                  <c:v>EU (n=6)</c:v>
                </c:pt>
                <c:pt idx="9">
                  <c:v>ONS (n=49)</c:v>
                </c:pt>
                <c:pt idx="10">
                  <c:v>BuBa (n=28)</c:v>
                </c:pt>
                <c:pt idx="11">
                  <c:v>OeNB (n=35)</c:v>
                </c:pt>
                <c:pt idx="12">
                  <c:v>SNB (n=64)</c:v>
                </c:pt>
                <c:pt idx="13">
                  <c:v>SCan (n=172)</c:v>
                </c:pt>
                <c:pt idx="14">
                  <c:v>BEA (n=29)</c:v>
                </c:pt>
                <c:pt idx="15">
                  <c:v>UN+al. (n=2)</c:v>
                </c:pt>
                <c:pt idx="16">
                  <c:v>BdF (n=91)</c:v>
                </c:pt>
                <c:pt idx="17">
                  <c:v>ECB (n=45)</c:v>
                </c:pt>
                <c:pt idx="18">
                  <c:v>EC+al. (n=2)</c:v>
                </c:pt>
                <c:pt idx="19">
                  <c:v>EuS&amp;BEA (n=1)</c:v>
                </c:pt>
                <c:pt idx="20">
                  <c:v>IMF (n=6)</c:v>
                </c:pt>
              </c:strCache>
            </c:strRef>
          </c:cat>
          <c:val>
            <c:numRef>
              <c:f>'Stats on documents'!$B$22:$B$42</c:f>
              <c:numCache>
                <c:formatCode>#,##0</c:formatCode>
                <c:ptCount val="21"/>
                <c:pt idx="0">
                  <c:v>42738</c:v>
                </c:pt>
                <c:pt idx="1">
                  <c:v>64912</c:v>
                </c:pt>
                <c:pt idx="2">
                  <c:v>140023</c:v>
                </c:pt>
                <c:pt idx="3">
                  <c:v>297944</c:v>
                </c:pt>
                <c:pt idx="4">
                  <c:v>106131</c:v>
                </c:pt>
                <c:pt idx="5">
                  <c:v>131157</c:v>
                </c:pt>
                <c:pt idx="6">
                  <c:v>389283</c:v>
                </c:pt>
                <c:pt idx="7">
                  <c:v>1219258</c:v>
                </c:pt>
                <c:pt idx="8">
                  <c:v>362637</c:v>
                </c:pt>
                <c:pt idx="9">
                  <c:v>1520563</c:v>
                </c:pt>
                <c:pt idx="10">
                  <c:v>1258078</c:v>
                </c:pt>
                <c:pt idx="11">
                  <c:v>1109030</c:v>
                </c:pt>
                <c:pt idx="12">
                  <c:v>2429557</c:v>
                </c:pt>
                <c:pt idx="13">
                  <c:v>3166768</c:v>
                </c:pt>
                <c:pt idx="14">
                  <c:v>1390820</c:v>
                </c:pt>
                <c:pt idx="15">
                  <c:v>1159382</c:v>
                </c:pt>
                <c:pt idx="16">
                  <c:v>1239004</c:v>
                </c:pt>
                <c:pt idx="17">
                  <c:v>2214624</c:v>
                </c:pt>
                <c:pt idx="18">
                  <c:v>5479336</c:v>
                </c:pt>
                <c:pt idx="19">
                  <c:v>91433</c:v>
                </c:pt>
                <c:pt idx="20">
                  <c:v>5393365</c:v>
                </c:pt>
              </c:numCache>
            </c:numRef>
          </c:val>
          <c:extLst xmlns:c16r2="http://schemas.microsoft.com/office/drawing/2015/06/chart">
            <c:ext xmlns:c16="http://schemas.microsoft.com/office/drawing/2014/chart" uri="{C3380CC4-5D6E-409C-BE32-E72D297353CC}">
              <c16:uniqueId val="{00000028-CEF7-4F22-B72C-B1F5C46B053E}"/>
            </c:ext>
          </c:extLst>
        </c:ser>
        <c:dLbls>
          <c:showLegendKey val="0"/>
          <c:showVal val="1"/>
          <c:showCatName val="0"/>
          <c:showSerName val="0"/>
          <c:showPercent val="0"/>
          <c:showBubbleSize val="0"/>
        </c:dLbls>
        <c:gapWidth val="150"/>
        <c:axId val="206553856"/>
        <c:axId val="218238976"/>
      </c:barChart>
      <c:catAx>
        <c:axId val="206553856"/>
        <c:scaling>
          <c:orientation val="minMax"/>
        </c:scaling>
        <c:delete val="0"/>
        <c:axPos val="l"/>
        <c:numFmt formatCode="General" sourceLinked="1"/>
        <c:majorTickMark val="out"/>
        <c:minorTickMark val="none"/>
        <c:tickLblPos val="nextTo"/>
        <c:txPr>
          <a:bodyPr/>
          <a:lstStyle/>
          <a:p>
            <a:pPr>
              <a:defRPr sz="600" b="1"/>
            </a:pPr>
            <a:endParaRPr lang="fr-FR"/>
          </a:p>
        </c:txPr>
        <c:crossAx val="218238976"/>
        <c:crosses val="autoZero"/>
        <c:auto val="1"/>
        <c:lblAlgn val="ctr"/>
        <c:lblOffset val="100"/>
        <c:noMultiLvlLbl val="0"/>
      </c:catAx>
      <c:valAx>
        <c:axId val="218238976"/>
        <c:scaling>
          <c:orientation val="minMax"/>
        </c:scaling>
        <c:delete val="0"/>
        <c:axPos val="b"/>
        <c:majorGridlines/>
        <c:numFmt formatCode="#,##0" sourceLinked="1"/>
        <c:majorTickMark val="out"/>
        <c:minorTickMark val="none"/>
        <c:tickLblPos val="nextTo"/>
        <c:txPr>
          <a:bodyPr/>
          <a:lstStyle/>
          <a:p>
            <a:pPr>
              <a:defRPr sz="700"/>
            </a:pPr>
            <a:endParaRPr lang="fr-FR"/>
          </a:p>
        </c:txPr>
        <c:crossAx val="206553856"/>
        <c:crosses val="autoZero"/>
        <c:crossBetween val="between"/>
        <c:majorUnit val="2000000"/>
      </c:valAx>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800" b="1" i="0" u="none" strike="noStrike" baseline="0">
                <a:effectLst/>
              </a:rPr>
              <a:t>Corpus composition by </a:t>
            </a:r>
            <a:r>
              <a:rPr lang="en-US"/>
              <a:t>languages - Total</a:t>
            </a:r>
            <a:br>
              <a:rPr lang="en-US"/>
            </a:br>
            <a:r>
              <a:rPr lang="en-US" sz="1050"/>
              <a:t>Size in number of</a:t>
            </a:r>
            <a:r>
              <a:rPr lang="en-US" sz="1050" baseline="0"/>
              <a:t> characters and % in the total</a:t>
            </a:r>
            <a:endParaRPr lang="en-US" sz="1050"/>
          </a:p>
        </c:rich>
      </c:tx>
      <c:layout>
        <c:manualLayout>
          <c:xMode val="edge"/>
          <c:yMode val="edge"/>
          <c:x val="0.26359507436880281"/>
          <c:y val="2.4168103431870688E-2"/>
        </c:manualLayout>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1"/>
          <c:order val="0"/>
          <c:tx>
            <c:v>Size</c:v>
          </c:tx>
          <c:dPt>
            <c:idx val="0"/>
            <c:bubble3D val="0"/>
            <c:spPr>
              <a:solidFill>
                <a:schemeClr val="accent2"/>
              </a:solidFill>
              <a:effectLst/>
            </c:spPr>
            <c:extLst xmlns:c16r2="http://schemas.microsoft.com/office/drawing/2015/06/chart">
              <c:ext xmlns:c16="http://schemas.microsoft.com/office/drawing/2014/chart" uri="{C3380CC4-5D6E-409C-BE32-E72D297353CC}">
                <c16:uniqueId val="{00000001-3D34-401E-9D1A-A5744BC03358}"/>
              </c:ext>
            </c:extLst>
          </c:dPt>
          <c:dPt>
            <c:idx val="1"/>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3-3D34-401E-9D1A-A5744BC03358}"/>
              </c:ext>
            </c:extLst>
          </c:dPt>
          <c:dLbls>
            <c:dLbl>
              <c:idx val="0"/>
              <c:layout>
                <c:manualLayout>
                  <c:x val="-9.5613517870633727E-2"/>
                  <c:y val="0.1228640206329422"/>
                </c:manualLayout>
              </c:layou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3D34-401E-9D1A-A5744BC03358}"/>
                </c:ext>
              </c:extLst>
            </c:dLbl>
            <c:dLbl>
              <c:idx val="1"/>
              <c:dLblPos val="inEnd"/>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3D34-401E-9D1A-A5744BC03358}"/>
                </c:ext>
              </c:extLst>
            </c:dLbl>
            <c:spPr>
              <a:noFill/>
              <a:ln>
                <a:noFill/>
              </a:ln>
              <a:effectLst/>
            </c:spPr>
            <c:txPr>
              <a:bodyPr/>
              <a:lstStyle/>
              <a:p>
                <a:pPr>
                  <a:defRPr sz="900" b="1"/>
                </a:pPr>
                <a:endParaRPr lang="fr-FR"/>
              </a:p>
            </c:txPr>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documents'!$A$16:$A$18</c:f>
              <c:strCache>
                <c:ptCount val="3"/>
                <c:pt idx="0">
                  <c:v>German (n=99)</c:v>
                </c:pt>
                <c:pt idx="1">
                  <c:v>French (n=256)</c:v>
                </c:pt>
                <c:pt idx="2">
                  <c:v>English (n=300)</c:v>
                </c:pt>
              </c:strCache>
            </c:strRef>
          </c:cat>
          <c:val>
            <c:numRef>
              <c:f>'Stats on documents'!$B$16:$B$18</c:f>
              <c:numCache>
                <c:formatCode>#,##0</c:formatCode>
                <c:ptCount val="3"/>
                <c:pt idx="0">
                  <c:v>4326412</c:v>
                </c:pt>
                <c:pt idx="1">
                  <c:v>10898975</c:v>
                </c:pt>
                <c:pt idx="2">
                  <c:v>13980656</c:v>
                </c:pt>
              </c:numCache>
            </c:numRef>
          </c:val>
          <c:extLst xmlns:c16r2="http://schemas.microsoft.com/office/drawing/2015/06/chart">
            <c:ext xmlns:c16="http://schemas.microsoft.com/office/drawing/2014/chart" uri="{C3380CC4-5D6E-409C-BE32-E72D297353CC}">
              <c16:uniqueId val="{00000004-3D34-401E-9D1A-A5744BC03358}"/>
            </c:ext>
          </c:extLst>
        </c:ser>
        <c:dLbls>
          <c:showLegendKey val="0"/>
          <c:showVal val="1"/>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800" b="1" i="0" u="none" strike="noStrike" baseline="0">
                <a:effectLst/>
              </a:rPr>
              <a:t>Corpus composition by </a:t>
            </a:r>
            <a:r>
              <a:rPr lang="en-US"/>
              <a:t>author types</a:t>
            </a:r>
            <a:br>
              <a:rPr lang="en-US"/>
            </a:br>
            <a:r>
              <a:rPr lang="en-US" sz="1050"/>
              <a:t>Size in number of</a:t>
            </a:r>
            <a:r>
              <a:rPr lang="en-US" sz="1050" baseline="0"/>
              <a:t> characters and % in the total</a:t>
            </a:r>
            <a:endParaRPr lang="en-US" sz="1050"/>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tx2">
                  <a:lumMod val="40000"/>
                  <a:lumOff val="60000"/>
                </a:schemeClr>
              </a:solidFill>
            </c:spPr>
            <c:extLst xmlns:c16r2="http://schemas.microsoft.com/office/drawing/2015/06/chart">
              <c:ext xmlns:c16="http://schemas.microsoft.com/office/drawing/2014/chart" uri="{C3380CC4-5D6E-409C-BE32-E72D297353CC}">
                <c16:uniqueId val="{00000001-2D4A-41FB-AC16-4DD60D8E5FAC}"/>
              </c:ext>
            </c:extLst>
          </c:dPt>
          <c:dPt>
            <c:idx val="1"/>
            <c:bubble3D val="0"/>
            <c:spPr>
              <a:solidFill>
                <a:schemeClr val="tx2">
                  <a:lumMod val="60000"/>
                  <a:lumOff val="40000"/>
                </a:schemeClr>
              </a:solidFill>
            </c:spPr>
            <c:extLst xmlns:c16r2="http://schemas.microsoft.com/office/drawing/2015/06/chart">
              <c:ext xmlns:c16="http://schemas.microsoft.com/office/drawing/2014/chart" uri="{C3380CC4-5D6E-409C-BE32-E72D297353CC}">
                <c16:uniqueId val="{00000003-2D4A-41FB-AC16-4DD60D8E5FAC}"/>
              </c:ext>
            </c:extLst>
          </c:dPt>
          <c:dPt>
            <c:idx val="2"/>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5-2D4A-41FB-AC16-4DD60D8E5FAC}"/>
              </c:ext>
            </c:extLst>
          </c:dPt>
          <c:dLbls>
            <c:dLbl>
              <c:idx val="0"/>
              <c:layout>
                <c:manualLayout>
                  <c:x val="-0.1301621655494187"/>
                  <c:y val="0.13086849514387777"/>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2D4A-41FB-AC16-4DD60D8E5FAC}"/>
                </c:ext>
              </c:extLst>
            </c:dLbl>
            <c:dLbl>
              <c:idx val="1"/>
              <c:layout>
                <c:manualLayout>
                  <c:x val="-0.12439745154824305"/>
                  <c:y val="-4.6905946584498294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2D4A-41FB-AC16-4DD60D8E5FAC}"/>
                </c:ext>
              </c:extLst>
            </c:dLbl>
            <c:dLbl>
              <c:idx val="2"/>
              <c:layout>
                <c:manualLayout>
                  <c:x val="0.18116000263593127"/>
                  <c:y val="-6.0402772344566903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5-2D4A-41FB-AC16-4DD60D8E5FAC}"/>
                </c:ext>
              </c:extLst>
            </c:dLbl>
            <c:spPr>
              <a:noFill/>
              <a:ln>
                <a:noFill/>
              </a:ln>
              <a:effectLst/>
            </c:spPr>
            <c:txPr>
              <a:bodyPr/>
              <a:lstStyle/>
              <a:p>
                <a:pPr>
                  <a:defRPr b="1"/>
                </a:pPr>
                <a:endParaRPr lang="fr-FR"/>
              </a:p>
            </c:txPr>
            <c:dLblPos val="outEnd"/>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'Stats on documents'!$A$10:$A$12</c:f>
              <c:strCache>
                <c:ptCount val="3"/>
                <c:pt idx="0">
                  <c:v>Statistics offices (n=346)</c:v>
                </c:pt>
                <c:pt idx="1">
                  <c:v>Central banks (n=286)</c:v>
                </c:pt>
                <c:pt idx="2">
                  <c:v>Others (n=22)</c:v>
                </c:pt>
              </c:strCache>
            </c:strRef>
          </c:cat>
          <c:val>
            <c:numRef>
              <c:f>'Stats on documents'!$B$10:$B$12</c:f>
              <c:numCache>
                <c:formatCode>#,##0</c:formatCode>
                <c:ptCount val="3"/>
                <c:pt idx="0">
                  <c:v>7918148</c:v>
                </c:pt>
                <c:pt idx="1">
                  <c:v>8722132</c:v>
                </c:pt>
                <c:pt idx="2">
                  <c:v>12565763</c:v>
                </c:pt>
              </c:numCache>
            </c:numRef>
          </c:val>
          <c:extLst xmlns:c16r2="http://schemas.microsoft.com/office/drawing/2015/06/chart">
            <c:ext xmlns:c16="http://schemas.microsoft.com/office/drawing/2014/chart" uri="{C3380CC4-5D6E-409C-BE32-E72D297353CC}">
              <c16:uniqueId val="{00000006-2D4A-41FB-AC16-4DD60D8E5FAC}"/>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CH" sz="2400"/>
              <a:t>Corpus composition by author types (2)</a:t>
            </a:r>
            <a:br>
              <a:rPr lang="fr-CH" sz="2400"/>
            </a:br>
            <a:r>
              <a:rPr lang="en-US" sz="1200" b="1" i="0" baseline="0">
                <a:effectLst/>
              </a:rPr>
              <a:t>Size in number of characters and % in the total</a:t>
            </a:r>
            <a:endParaRPr lang="fr-CH" sz="1200">
              <a:effectLst/>
            </a:endParaRPr>
          </a:p>
        </c:rich>
      </c:tx>
      <c:layout>
        <c:manualLayout>
          <c:xMode val="edge"/>
          <c:yMode val="edge"/>
          <c:x val="0.1586598869187052"/>
          <c:y val="2.8646815776726266E-2"/>
        </c:manualLayout>
      </c:layout>
      <c:overlay val="0"/>
    </c:title>
    <c:autoTitleDeleted val="0"/>
    <c:view3D>
      <c:rotX val="40"/>
      <c:rotY val="0"/>
      <c:rAngAx val="0"/>
      <c:perspective val="0"/>
    </c:view3D>
    <c:floor>
      <c:thickness val="0"/>
    </c:floor>
    <c:sideWall>
      <c:thickness val="0"/>
    </c:sideWall>
    <c:backWall>
      <c:thickness val="0"/>
    </c:backWall>
    <c:plotArea>
      <c:layout>
        <c:manualLayout>
          <c:layoutTarget val="inner"/>
          <c:xMode val="edge"/>
          <c:yMode val="edge"/>
          <c:x val="0.11150047200022636"/>
          <c:y val="0.17052322011925744"/>
          <c:w val="0.83906644271306241"/>
          <c:h val="0.74467840978857813"/>
        </c:manualLayout>
      </c:layout>
      <c:pie3DChart>
        <c:varyColors val="1"/>
        <c:ser>
          <c:idx val="0"/>
          <c:order val="0"/>
          <c:dPt>
            <c:idx val="0"/>
            <c:bubble3D val="0"/>
            <c:spPr>
              <a:solidFill>
                <a:schemeClr val="accent2">
                  <a:lumMod val="75000"/>
                </a:schemeClr>
              </a:solidFill>
            </c:spPr>
            <c:extLst xmlns:c16r2="http://schemas.microsoft.com/office/drawing/2015/06/chart">
              <c:ext xmlns:c16="http://schemas.microsoft.com/office/drawing/2014/chart" uri="{C3380CC4-5D6E-409C-BE32-E72D297353CC}">
                <c16:uniqueId val="{00000001-4AFA-41A3-930B-AD4575B2402B}"/>
              </c:ext>
            </c:extLst>
          </c:dPt>
          <c:dPt>
            <c:idx val="1"/>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4AFA-41A3-930B-AD4575B2402B}"/>
              </c:ext>
            </c:extLst>
          </c:dPt>
          <c:dPt>
            <c:idx val="2"/>
            <c:bubble3D val="0"/>
            <c:spPr>
              <a:solidFill>
                <a:schemeClr val="accent2">
                  <a:lumMod val="40000"/>
                  <a:lumOff val="60000"/>
                </a:schemeClr>
              </a:solidFill>
            </c:spPr>
            <c:extLst xmlns:c16r2="http://schemas.microsoft.com/office/drawing/2015/06/chart">
              <c:ext xmlns:c16="http://schemas.microsoft.com/office/drawing/2014/chart" uri="{C3380CC4-5D6E-409C-BE32-E72D297353CC}">
                <c16:uniqueId val="{00000005-4AFA-41A3-930B-AD4575B2402B}"/>
              </c:ext>
            </c:extLst>
          </c:dPt>
          <c:dPt>
            <c:idx val="4"/>
            <c:bubble3D val="0"/>
            <c:spPr>
              <a:solidFill>
                <a:schemeClr val="accent1">
                  <a:lumMod val="40000"/>
                  <a:lumOff val="60000"/>
                </a:schemeClr>
              </a:solidFill>
            </c:spPr>
            <c:extLst xmlns:c16r2="http://schemas.microsoft.com/office/drawing/2015/06/chart">
              <c:ext xmlns:c16="http://schemas.microsoft.com/office/drawing/2014/chart" uri="{C3380CC4-5D6E-409C-BE32-E72D297353CC}">
                <c16:uniqueId val="{00000007-4AFA-41A3-930B-AD4575B2402B}"/>
              </c:ext>
            </c:extLst>
          </c:dPt>
          <c:dPt>
            <c:idx val="5"/>
            <c:bubble3D val="0"/>
            <c:spPr>
              <a:solidFill>
                <a:schemeClr val="tx2">
                  <a:lumMod val="20000"/>
                  <a:lumOff val="80000"/>
                </a:schemeClr>
              </a:solidFill>
            </c:spPr>
            <c:extLst xmlns:c16r2="http://schemas.microsoft.com/office/drawing/2015/06/chart">
              <c:ext xmlns:c16="http://schemas.microsoft.com/office/drawing/2014/chart" uri="{C3380CC4-5D6E-409C-BE32-E72D297353CC}">
                <c16:uniqueId val="{00000009-4AFA-41A3-930B-AD4575B2402B}"/>
              </c:ext>
            </c:extLst>
          </c:dPt>
          <c:dLbls>
            <c:dLbl>
              <c:idx val="0"/>
              <c:layout>
                <c:manualLayout>
                  <c:x val="-0.22185052383022397"/>
                  <c:y val="-7.3571211055683719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4AFA-41A3-930B-AD4575B2402B}"/>
                </c:ext>
              </c:extLst>
            </c:dLbl>
            <c:dLbl>
              <c:idx val="2"/>
              <c:layout>
                <c:manualLayout>
                  <c:x val="1.216847450041284E-3"/>
                  <c:y val="0.11140767279774413"/>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5-4AFA-41A3-930B-AD4575B2402B}"/>
                </c:ext>
              </c:extLst>
            </c:dLbl>
            <c:dLbl>
              <c:idx val="3"/>
              <c:layout>
                <c:manualLayout>
                  <c:x val="-3.312271234222719E-2"/>
                  <c:y val="-3.2681808733931901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manualLayout>
                      <c:w val="9.511010337705228E-2"/>
                      <c:h val="7.5558801514326868E-2"/>
                    </c:manualLayout>
                  </c15:layout>
                </c:ext>
                <c:ext xmlns:c16="http://schemas.microsoft.com/office/drawing/2014/chart" uri="{C3380CC4-5D6E-409C-BE32-E72D297353CC}">
                  <c16:uniqueId val="{0000000A-4AFA-41A3-930B-AD4575B2402B}"/>
                </c:ext>
              </c:extLst>
            </c:dLbl>
            <c:spPr>
              <a:noFill/>
              <a:ln>
                <a:noFill/>
              </a:ln>
              <a:effectLst/>
            </c:spPr>
            <c:txPr>
              <a:bodyPr/>
              <a:lstStyle/>
              <a:p>
                <a:pPr>
                  <a:defRPr b="1"/>
                </a:pPr>
                <a:endParaRPr lang="fr-FR"/>
              </a:p>
            </c:txPr>
            <c:dLblPos val="bestFit"/>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documents'!$A$46:$A$51</c:f>
              <c:strCache>
                <c:ptCount val="6"/>
                <c:pt idx="0">
                  <c:v>International - Bretton Woods, UN &amp;  European Commission (n=21)</c:v>
                </c:pt>
                <c:pt idx="1">
                  <c:v>International - Central banks (n=45)</c:v>
                </c:pt>
                <c:pt idx="2">
                  <c:v>International - Statistics offices (n=35)</c:v>
                </c:pt>
                <c:pt idx="3">
                  <c:v>National - Others (n=2)</c:v>
                </c:pt>
                <c:pt idx="4">
                  <c:v>National - Central banks (n=241)</c:v>
                </c:pt>
                <c:pt idx="5">
                  <c:v>National - Statistics offices (n=310)</c:v>
                </c:pt>
              </c:strCache>
            </c:strRef>
          </c:cat>
          <c:val>
            <c:numRef>
              <c:f>'Stats on documents'!$B$46:$B$51</c:f>
              <c:numCache>
                <c:formatCode>#,##0</c:formatCode>
                <c:ptCount val="6"/>
                <c:pt idx="0">
                  <c:v>12551065</c:v>
                </c:pt>
                <c:pt idx="1">
                  <c:v>2214624</c:v>
                </c:pt>
                <c:pt idx="2">
                  <c:v>1219258</c:v>
                </c:pt>
                <c:pt idx="3">
                  <c:v>106131</c:v>
                </c:pt>
                <c:pt idx="4">
                  <c:v>6507508</c:v>
                </c:pt>
                <c:pt idx="5">
                  <c:v>6607457</c:v>
                </c:pt>
              </c:numCache>
            </c:numRef>
          </c:val>
          <c:extLst xmlns:c16r2="http://schemas.microsoft.com/office/drawing/2015/06/chart">
            <c:ext xmlns:c16="http://schemas.microsoft.com/office/drawing/2014/chart" uri="{C3380CC4-5D6E-409C-BE32-E72D297353CC}">
              <c16:uniqueId val="{0000000B-4AFA-41A3-930B-AD4575B2402B}"/>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CH"/>
              <a:t>Corpus composition</a:t>
            </a:r>
            <a:r>
              <a:rPr lang="fr-CH" baseline="0"/>
              <a:t>  by languages</a:t>
            </a:r>
            <a:br>
              <a:rPr lang="fr-CH" baseline="0"/>
            </a:br>
            <a:r>
              <a:rPr lang="fr-CH" baseline="0"/>
              <a:t>National documents</a:t>
            </a:r>
            <a:br>
              <a:rPr lang="fr-CH" baseline="0"/>
            </a:br>
            <a:r>
              <a:rPr lang="en-US" sz="1050" b="1" i="0" baseline="0">
                <a:effectLst/>
              </a:rPr>
              <a:t>Size in number of characters and % in the total</a:t>
            </a:r>
            <a:endParaRPr lang="fr-CH" sz="1050">
              <a:effectLst/>
            </a:endParaRP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accent2"/>
              </a:solidFill>
            </c:spPr>
            <c:extLst xmlns:c16r2="http://schemas.microsoft.com/office/drawing/2015/06/chart">
              <c:ext xmlns:c16="http://schemas.microsoft.com/office/drawing/2014/chart" uri="{C3380CC4-5D6E-409C-BE32-E72D297353CC}">
                <c16:uniqueId val="{00000001-EC7F-4768-9293-3EF4A1F645FD}"/>
              </c:ext>
            </c:extLst>
          </c:dPt>
          <c:dPt>
            <c:idx val="1"/>
            <c:bubble3D val="0"/>
            <c:spPr>
              <a:solidFill>
                <a:schemeClr val="accent6">
                  <a:lumMod val="60000"/>
                  <a:lumOff val="40000"/>
                </a:schemeClr>
              </a:solidFill>
            </c:spPr>
            <c:extLst xmlns:c16r2="http://schemas.microsoft.com/office/drawing/2015/06/chart">
              <c:ext xmlns:c16="http://schemas.microsoft.com/office/drawing/2014/chart" uri="{C3380CC4-5D6E-409C-BE32-E72D297353CC}">
                <c16:uniqueId val="{00000003-EC7F-4768-9293-3EF4A1F645FD}"/>
              </c:ext>
            </c:extLst>
          </c:dPt>
          <c:dPt>
            <c:idx val="2"/>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5-EC7F-4768-9293-3EF4A1F645FD}"/>
              </c:ext>
            </c:extLst>
          </c:dPt>
          <c:dLbls>
            <c:dLbl>
              <c:idx val="0"/>
              <c:layout>
                <c:manualLayout>
                  <c:x val="-0.22283887598687827"/>
                  <c:y val="9.6495979875259263E-2"/>
                </c:manualLayout>
              </c:layou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EC7F-4768-9293-3EF4A1F645FD}"/>
                </c:ext>
              </c:extLst>
            </c:dLbl>
            <c:spPr>
              <a:noFill/>
              <a:ln>
                <a:noFill/>
              </a:ln>
              <a:effectLst/>
            </c:spPr>
            <c:txPr>
              <a:bodyPr/>
              <a:lstStyle/>
              <a:p>
                <a:pPr>
                  <a:defRPr b="1"/>
                </a:pPr>
                <a:endParaRPr lang="fr-FR"/>
              </a:p>
            </c:txPr>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documents'!$A$62:$A$64</c:f>
              <c:strCache>
                <c:ptCount val="3"/>
                <c:pt idx="0">
                  <c:v>German (n=96)</c:v>
                </c:pt>
                <c:pt idx="1">
                  <c:v>English (n=209)</c:v>
                </c:pt>
                <c:pt idx="2">
                  <c:v>French (n=249)</c:v>
                </c:pt>
              </c:strCache>
            </c:strRef>
          </c:cat>
          <c:val>
            <c:numRef>
              <c:f>'Stats on documents'!$B$62:$B$64</c:f>
              <c:numCache>
                <c:formatCode>#,##0</c:formatCode>
                <c:ptCount val="3"/>
                <c:pt idx="0">
                  <c:v>2367108</c:v>
                </c:pt>
                <c:pt idx="1">
                  <c:v>3537954</c:v>
                </c:pt>
                <c:pt idx="2">
                  <c:v>1719709</c:v>
                </c:pt>
              </c:numCache>
            </c:numRef>
          </c:val>
          <c:extLst xmlns:c16r2="http://schemas.microsoft.com/office/drawing/2015/06/chart">
            <c:ext xmlns:c16="http://schemas.microsoft.com/office/drawing/2014/chart" uri="{C3380CC4-5D6E-409C-BE32-E72D297353CC}">
              <c16:uniqueId val="{00000006-EC7F-4768-9293-3EF4A1F645FD}"/>
            </c:ext>
          </c:extLst>
        </c:ser>
        <c:dLbls>
          <c:showLegendKey val="0"/>
          <c:showVal val="1"/>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Corpus composition by publication years</a:t>
            </a:r>
            <a:br>
              <a:rPr lang="fr-CH"/>
            </a:br>
            <a:r>
              <a:rPr lang="fr-CH" sz="1400"/>
              <a:t>(Number of documents)</a:t>
            </a:r>
            <a:endParaRPr lang="fr-CH"/>
          </a:p>
        </c:rich>
      </c:tx>
      <c:overlay val="0"/>
    </c:title>
    <c:autoTitleDeleted val="0"/>
    <c:plotArea>
      <c:layout/>
      <c:areaChart>
        <c:grouping val="stacked"/>
        <c:varyColors val="0"/>
        <c:ser>
          <c:idx val="0"/>
          <c:order val="0"/>
          <c:tx>
            <c:strRef>
              <c:f>'Stats on documents'!$B$70</c:f>
              <c:strCache>
                <c:ptCount val="1"/>
                <c:pt idx="0">
                  <c:v>Regulatory</c:v>
                </c:pt>
              </c:strCache>
            </c:strRef>
          </c:tx>
          <c:spPr>
            <a:solidFill>
              <a:schemeClr val="tx2">
                <a:lumMod val="75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documents'!$B$78:$B$91</c:f>
              <c:numCache>
                <c:formatCode>General</c:formatCode>
                <c:ptCount val="14"/>
                <c:pt idx="0">
                  <c:v>2</c:v>
                </c:pt>
                <c:pt idx="1">
                  <c:v>6</c:v>
                </c:pt>
                <c:pt idx="2">
                  <c:v>0</c:v>
                </c:pt>
                <c:pt idx="3">
                  <c:v>5</c:v>
                </c:pt>
                <c:pt idx="4">
                  <c:v>1</c:v>
                </c:pt>
                <c:pt idx="5">
                  <c:v>0</c:v>
                </c:pt>
                <c:pt idx="6">
                  <c:v>0</c:v>
                </c:pt>
                <c:pt idx="7">
                  <c:v>6</c:v>
                </c:pt>
                <c:pt idx="8">
                  <c:v>1</c:v>
                </c:pt>
                <c:pt idx="9">
                  <c:v>0</c:v>
                </c:pt>
                <c:pt idx="10">
                  <c:v>0</c:v>
                </c:pt>
                <c:pt idx="11">
                  <c:v>1</c:v>
                </c:pt>
                <c:pt idx="12">
                  <c:v>0</c:v>
                </c:pt>
                <c:pt idx="13">
                  <c:v>0</c:v>
                </c:pt>
              </c:numCache>
            </c:numRef>
          </c:val>
        </c:ser>
        <c:ser>
          <c:idx val="1"/>
          <c:order val="1"/>
          <c:tx>
            <c:strRef>
              <c:f>'Stats on documents'!$C$70</c:f>
              <c:strCache>
                <c:ptCount val="1"/>
                <c:pt idx="0">
                  <c:v>Reference</c:v>
                </c:pt>
              </c:strCache>
            </c:strRef>
          </c:tx>
          <c:spPr>
            <a:solidFill>
              <a:schemeClr val="tx2">
                <a:lumMod val="60000"/>
                <a:lumOff val="4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documents'!$C$78:$C$91</c:f>
              <c:numCache>
                <c:formatCode>General</c:formatCode>
                <c:ptCount val="14"/>
                <c:pt idx="0">
                  <c:v>3</c:v>
                </c:pt>
                <c:pt idx="1">
                  <c:v>1</c:v>
                </c:pt>
                <c:pt idx="2">
                  <c:v>0</c:v>
                </c:pt>
                <c:pt idx="3">
                  <c:v>0</c:v>
                </c:pt>
                <c:pt idx="4">
                  <c:v>2</c:v>
                </c:pt>
                <c:pt idx="5">
                  <c:v>7</c:v>
                </c:pt>
                <c:pt idx="6">
                  <c:v>8</c:v>
                </c:pt>
                <c:pt idx="7">
                  <c:v>6</c:v>
                </c:pt>
                <c:pt idx="8">
                  <c:v>6</c:v>
                </c:pt>
                <c:pt idx="9">
                  <c:v>5</c:v>
                </c:pt>
                <c:pt idx="10">
                  <c:v>3</c:v>
                </c:pt>
                <c:pt idx="11">
                  <c:v>14</c:v>
                </c:pt>
                <c:pt idx="12">
                  <c:v>5</c:v>
                </c:pt>
                <c:pt idx="13">
                  <c:v>2</c:v>
                </c:pt>
              </c:numCache>
            </c:numRef>
          </c:val>
        </c:ser>
        <c:ser>
          <c:idx val="2"/>
          <c:order val="2"/>
          <c:tx>
            <c:strRef>
              <c:f>'Stats on documents'!$D$70</c:f>
              <c:strCache>
                <c:ptCount val="1"/>
                <c:pt idx="0">
                  <c:v>Papers</c:v>
                </c:pt>
              </c:strCache>
            </c:strRef>
          </c:tx>
          <c:spPr>
            <a:solidFill>
              <a:schemeClr val="accent2">
                <a:lumMod val="60000"/>
                <a:lumOff val="4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documents'!$D$78:$D$91</c:f>
              <c:numCache>
                <c:formatCode>General</c:formatCode>
                <c:ptCount val="14"/>
                <c:pt idx="0">
                  <c:v>1</c:v>
                </c:pt>
                <c:pt idx="1">
                  <c:v>2</c:v>
                </c:pt>
                <c:pt idx="2">
                  <c:v>1</c:v>
                </c:pt>
                <c:pt idx="3">
                  <c:v>2</c:v>
                </c:pt>
                <c:pt idx="4">
                  <c:v>2</c:v>
                </c:pt>
                <c:pt idx="5">
                  <c:v>10</c:v>
                </c:pt>
                <c:pt idx="6">
                  <c:v>5</c:v>
                </c:pt>
                <c:pt idx="7">
                  <c:v>7</c:v>
                </c:pt>
                <c:pt idx="8">
                  <c:v>9</c:v>
                </c:pt>
                <c:pt idx="9">
                  <c:v>14</c:v>
                </c:pt>
                <c:pt idx="10">
                  <c:v>16</c:v>
                </c:pt>
                <c:pt idx="11">
                  <c:v>20</c:v>
                </c:pt>
                <c:pt idx="12">
                  <c:v>6</c:v>
                </c:pt>
                <c:pt idx="13">
                  <c:v>8</c:v>
                </c:pt>
              </c:numCache>
            </c:numRef>
          </c:val>
        </c:ser>
        <c:ser>
          <c:idx val="3"/>
          <c:order val="3"/>
          <c:tx>
            <c:strRef>
              <c:f>'Stats on documents'!$E$70</c:f>
              <c:strCache>
                <c:ptCount val="1"/>
                <c:pt idx="0">
                  <c:v>Press Releases</c:v>
                </c:pt>
              </c:strCache>
            </c:strRef>
          </c:tx>
          <c:spPr>
            <a:solidFill>
              <a:schemeClr val="accent4">
                <a:lumMod val="40000"/>
                <a:lumOff val="6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documents'!$E$78:$E$91</c:f>
              <c:numCache>
                <c:formatCode>General</c:formatCode>
                <c:ptCount val="14"/>
                <c:pt idx="0">
                  <c:v>0</c:v>
                </c:pt>
                <c:pt idx="1">
                  <c:v>0</c:v>
                </c:pt>
                <c:pt idx="2">
                  <c:v>0</c:v>
                </c:pt>
                <c:pt idx="3">
                  <c:v>0</c:v>
                </c:pt>
                <c:pt idx="4">
                  <c:v>0</c:v>
                </c:pt>
                <c:pt idx="5">
                  <c:v>10</c:v>
                </c:pt>
                <c:pt idx="6">
                  <c:v>51</c:v>
                </c:pt>
                <c:pt idx="7">
                  <c:v>48</c:v>
                </c:pt>
                <c:pt idx="8">
                  <c:v>50</c:v>
                </c:pt>
                <c:pt idx="9">
                  <c:v>57</c:v>
                </c:pt>
                <c:pt idx="10">
                  <c:v>56</c:v>
                </c:pt>
                <c:pt idx="11">
                  <c:v>78</c:v>
                </c:pt>
                <c:pt idx="12">
                  <c:v>61</c:v>
                </c:pt>
                <c:pt idx="13">
                  <c:v>32</c:v>
                </c:pt>
              </c:numCache>
            </c:numRef>
          </c:val>
        </c:ser>
        <c:ser>
          <c:idx val="4"/>
          <c:order val="4"/>
          <c:tx>
            <c:strRef>
              <c:f>'Stats on documents'!$F$70</c:f>
              <c:strCache>
                <c:ptCount val="1"/>
                <c:pt idx="0">
                  <c:v>General</c:v>
                </c:pt>
              </c:strCache>
            </c:strRef>
          </c:tx>
          <c:spPr>
            <a:solidFill>
              <a:srgbClr val="FF0000"/>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documents'!$F$78:$F$91</c:f>
              <c:numCache>
                <c:formatCode>General</c:formatCode>
                <c:ptCount val="14"/>
                <c:pt idx="0">
                  <c:v>0</c:v>
                </c:pt>
                <c:pt idx="1">
                  <c:v>0</c:v>
                </c:pt>
                <c:pt idx="2">
                  <c:v>0</c:v>
                </c:pt>
                <c:pt idx="3">
                  <c:v>0</c:v>
                </c:pt>
                <c:pt idx="4">
                  <c:v>0</c:v>
                </c:pt>
                <c:pt idx="5">
                  <c:v>3</c:v>
                </c:pt>
                <c:pt idx="6">
                  <c:v>1</c:v>
                </c:pt>
                <c:pt idx="7">
                  <c:v>1</c:v>
                </c:pt>
                <c:pt idx="8">
                  <c:v>1</c:v>
                </c:pt>
                <c:pt idx="9">
                  <c:v>0</c:v>
                </c:pt>
                <c:pt idx="10">
                  <c:v>1</c:v>
                </c:pt>
                <c:pt idx="11">
                  <c:v>9</c:v>
                </c:pt>
                <c:pt idx="12">
                  <c:v>1</c:v>
                </c:pt>
                <c:pt idx="13">
                  <c:v>1</c:v>
                </c:pt>
              </c:numCache>
            </c:numRef>
          </c:val>
        </c:ser>
        <c:dLbls>
          <c:showLegendKey val="0"/>
          <c:showVal val="0"/>
          <c:showCatName val="0"/>
          <c:showSerName val="0"/>
          <c:showPercent val="0"/>
          <c:showBubbleSize val="0"/>
        </c:dLbls>
        <c:axId val="218440448"/>
        <c:axId val="218441984"/>
      </c:areaChart>
      <c:catAx>
        <c:axId val="218440448"/>
        <c:scaling>
          <c:orientation val="minMax"/>
        </c:scaling>
        <c:delete val="0"/>
        <c:axPos val="b"/>
        <c:numFmt formatCode="General" sourceLinked="1"/>
        <c:majorTickMark val="none"/>
        <c:minorTickMark val="none"/>
        <c:tickLblPos val="nextTo"/>
        <c:crossAx val="218441984"/>
        <c:crosses val="autoZero"/>
        <c:auto val="1"/>
        <c:lblAlgn val="ctr"/>
        <c:lblOffset val="100"/>
        <c:noMultiLvlLbl val="0"/>
      </c:catAx>
      <c:valAx>
        <c:axId val="218441984"/>
        <c:scaling>
          <c:orientation val="minMax"/>
        </c:scaling>
        <c:delete val="0"/>
        <c:axPos val="l"/>
        <c:majorGridlines/>
        <c:title>
          <c:tx>
            <c:rich>
              <a:bodyPr/>
              <a:lstStyle/>
              <a:p>
                <a:pPr>
                  <a:defRPr/>
                </a:pPr>
                <a:r>
                  <a:rPr lang="fr-CH"/>
                  <a:t>Number of documents</a:t>
                </a:r>
              </a:p>
            </c:rich>
          </c:tx>
          <c:overlay val="0"/>
        </c:title>
        <c:numFmt formatCode="General" sourceLinked="1"/>
        <c:majorTickMark val="none"/>
        <c:minorTickMark val="none"/>
        <c:tickLblPos val="nextTo"/>
        <c:crossAx val="2184404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sz="1800" b="1" i="0" baseline="0">
                <a:effectLst/>
              </a:rPr>
              <a:t>Corpus composition by publication years</a:t>
            </a:r>
            <a:r>
              <a:rPr lang="fr-CH" sz="1400" b="1" i="0" baseline="0">
                <a:effectLst/>
              </a:rPr>
              <a:t/>
            </a:r>
            <a:br>
              <a:rPr lang="fr-CH" sz="1400" b="1" i="0" baseline="0">
                <a:effectLst/>
              </a:rPr>
            </a:br>
            <a:r>
              <a:rPr lang="fr-CH" sz="1400" b="1" i="0" baseline="0">
                <a:effectLst/>
              </a:rPr>
              <a:t>(Size of documents)</a:t>
            </a:r>
            <a:endParaRPr lang="fr-CH" sz="1400">
              <a:effectLst/>
            </a:endParaRPr>
          </a:p>
        </c:rich>
      </c:tx>
      <c:overlay val="0"/>
    </c:title>
    <c:autoTitleDeleted val="0"/>
    <c:plotArea>
      <c:layout/>
      <c:areaChart>
        <c:grouping val="stacked"/>
        <c:varyColors val="0"/>
        <c:ser>
          <c:idx val="1"/>
          <c:order val="0"/>
          <c:tx>
            <c:strRef>
              <c:f>'Stats on documents'!$B$98</c:f>
              <c:strCache>
                <c:ptCount val="1"/>
                <c:pt idx="0">
                  <c:v>Regulatory</c:v>
                </c:pt>
              </c:strCache>
            </c:strRef>
          </c:tx>
          <c:spPr>
            <a:solidFill>
              <a:schemeClr val="tx2">
                <a:lumMod val="75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documents'!$B$99:$B$112</c:f>
              <c:numCache>
                <c:formatCode>#,##0</c:formatCode>
                <c:ptCount val="14"/>
                <c:pt idx="0">
                  <c:v>14178</c:v>
                </c:pt>
                <c:pt idx="1">
                  <c:v>129111</c:v>
                </c:pt>
                <c:pt idx="2">
                  <c:v>0</c:v>
                </c:pt>
                <c:pt idx="3">
                  <c:v>323357</c:v>
                </c:pt>
                <c:pt idx="4">
                  <c:v>10728</c:v>
                </c:pt>
                <c:pt idx="5">
                  <c:v>0</c:v>
                </c:pt>
                <c:pt idx="6">
                  <c:v>0</c:v>
                </c:pt>
                <c:pt idx="7">
                  <c:v>480276</c:v>
                </c:pt>
                <c:pt idx="8">
                  <c:v>4878</c:v>
                </c:pt>
                <c:pt idx="9">
                  <c:v>0</c:v>
                </c:pt>
                <c:pt idx="10">
                  <c:v>0</c:v>
                </c:pt>
                <c:pt idx="11">
                  <c:v>3412</c:v>
                </c:pt>
                <c:pt idx="12">
                  <c:v>0</c:v>
                </c:pt>
                <c:pt idx="13">
                  <c:v>0</c:v>
                </c:pt>
              </c:numCache>
            </c:numRef>
          </c:val>
        </c:ser>
        <c:ser>
          <c:idx val="2"/>
          <c:order val="1"/>
          <c:tx>
            <c:strRef>
              <c:f>'Stats on documents'!$C$98</c:f>
              <c:strCache>
                <c:ptCount val="1"/>
                <c:pt idx="0">
                  <c:v>Reference</c:v>
                </c:pt>
              </c:strCache>
            </c:strRef>
          </c:tx>
          <c:spPr>
            <a:solidFill>
              <a:schemeClr val="tx2">
                <a:lumMod val="60000"/>
                <a:lumOff val="4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documents'!$C$99:$C$112</c:f>
              <c:numCache>
                <c:formatCode>#,##0</c:formatCode>
                <c:ptCount val="14"/>
                <c:pt idx="0">
                  <c:v>5023872</c:v>
                </c:pt>
                <c:pt idx="1">
                  <c:v>531475</c:v>
                </c:pt>
                <c:pt idx="2">
                  <c:v>0</c:v>
                </c:pt>
                <c:pt idx="3">
                  <c:v>0</c:v>
                </c:pt>
                <c:pt idx="4">
                  <c:v>3598224</c:v>
                </c:pt>
                <c:pt idx="5">
                  <c:v>3393822</c:v>
                </c:pt>
                <c:pt idx="6">
                  <c:v>351962</c:v>
                </c:pt>
                <c:pt idx="7">
                  <c:v>1609847</c:v>
                </c:pt>
                <c:pt idx="8">
                  <c:v>380293</c:v>
                </c:pt>
                <c:pt idx="9">
                  <c:v>633752</c:v>
                </c:pt>
                <c:pt idx="10">
                  <c:v>106467</c:v>
                </c:pt>
                <c:pt idx="11">
                  <c:v>1017446</c:v>
                </c:pt>
                <c:pt idx="12">
                  <c:v>140693</c:v>
                </c:pt>
                <c:pt idx="13">
                  <c:v>661495</c:v>
                </c:pt>
              </c:numCache>
            </c:numRef>
          </c:val>
        </c:ser>
        <c:ser>
          <c:idx val="3"/>
          <c:order val="2"/>
          <c:tx>
            <c:strRef>
              <c:f>'Stats on documents'!$D$98</c:f>
              <c:strCache>
                <c:ptCount val="1"/>
                <c:pt idx="0">
                  <c:v>Papers</c:v>
                </c:pt>
              </c:strCache>
            </c:strRef>
          </c:tx>
          <c:spPr>
            <a:solidFill>
              <a:schemeClr val="accent2">
                <a:lumMod val="60000"/>
                <a:lumOff val="4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documents'!$D$99:$D$112</c:f>
              <c:numCache>
                <c:formatCode>#,##0</c:formatCode>
                <c:ptCount val="14"/>
                <c:pt idx="0">
                  <c:v>35474</c:v>
                </c:pt>
                <c:pt idx="1">
                  <c:v>110058</c:v>
                </c:pt>
                <c:pt idx="2">
                  <c:v>77242</c:v>
                </c:pt>
                <c:pt idx="3">
                  <c:v>139317</c:v>
                </c:pt>
                <c:pt idx="4">
                  <c:v>67114</c:v>
                </c:pt>
                <c:pt idx="5">
                  <c:v>296776</c:v>
                </c:pt>
                <c:pt idx="6">
                  <c:v>138163</c:v>
                </c:pt>
                <c:pt idx="7">
                  <c:v>136953</c:v>
                </c:pt>
                <c:pt idx="8">
                  <c:v>292230</c:v>
                </c:pt>
                <c:pt idx="9">
                  <c:v>515109</c:v>
                </c:pt>
                <c:pt idx="10">
                  <c:v>462846</c:v>
                </c:pt>
                <c:pt idx="11">
                  <c:v>858966</c:v>
                </c:pt>
                <c:pt idx="12">
                  <c:v>165277</c:v>
                </c:pt>
                <c:pt idx="13">
                  <c:v>139469</c:v>
                </c:pt>
              </c:numCache>
            </c:numRef>
          </c:val>
        </c:ser>
        <c:ser>
          <c:idx val="4"/>
          <c:order val="3"/>
          <c:tx>
            <c:strRef>
              <c:f>'Stats on documents'!$E$98</c:f>
              <c:strCache>
                <c:ptCount val="1"/>
                <c:pt idx="0">
                  <c:v>Press Releases</c:v>
                </c:pt>
              </c:strCache>
            </c:strRef>
          </c:tx>
          <c:spPr>
            <a:solidFill>
              <a:schemeClr val="accent4">
                <a:lumMod val="40000"/>
                <a:lumOff val="6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documents'!$E$99:$E$112</c:f>
              <c:numCache>
                <c:formatCode>#,##0</c:formatCode>
                <c:ptCount val="14"/>
                <c:pt idx="0">
                  <c:v>0</c:v>
                </c:pt>
                <c:pt idx="1">
                  <c:v>0</c:v>
                </c:pt>
                <c:pt idx="2">
                  <c:v>0</c:v>
                </c:pt>
                <c:pt idx="3">
                  <c:v>0</c:v>
                </c:pt>
                <c:pt idx="4">
                  <c:v>0</c:v>
                </c:pt>
                <c:pt idx="5">
                  <c:v>409122</c:v>
                </c:pt>
                <c:pt idx="6">
                  <c:v>981986</c:v>
                </c:pt>
                <c:pt idx="7">
                  <c:v>820522</c:v>
                </c:pt>
                <c:pt idx="8">
                  <c:v>725849</c:v>
                </c:pt>
                <c:pt idx="9">
                  <c:v>700307</c:v>
                </c:pt>
                <c:pt idx="10">
                  <c:v>705404</c:v>
                </c:pt>
                <c:pt idx="11">
                  <c:v>1026545</c:v>
                </c:pt>
                <c:pt idx="12">
                  <c:v>712330</c:v>
                </c:pt>
                <c:pt idx="13">
                  <c:v>429920</c:v>
                </c:pt>
              </c:numCache>
            </c:numRef>
          </c:val>
        </c:ser>
        <c:ser>
          <c:idx val="5"/>
          <c:order val="4"/>
          <c:tx>
            <c:strRef>
              <c:f>'Stats on documents'!$F$98</c:f>
              <c:strCache>
                <c:ptCount val="1"/>
                <c:pt idx="0">
                  <c:v>General</c:v>
                </c:pt>
              </c:strCache>
            </c:strRef>
          </c:tx>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documents'!$F$99:$F$112</c:f>
              <c:numCache>
                <c:formatCode>#,##0</c:formatCode>
                <c:ptCount val="14"/>
                <c:pt idx="0">
                  <c:v>0</c:v>
                </c:pt>
                <c:pt idx="1">
                  <c:v>0</c:v>
                </c:pt>
                <c:pt idx="2">
                  <c:v>0</c:v>
                </c:pt>
                <c:pt idx="3">
                  <c:v>0</c:v>
                </c:pt>
                <c:pt idx="4">
                  <c:v>0</c:v>
                </c:pt>
                <c:pt idx="5">
                  <c:v>34099</c:v>
                </c:pt>
                <c:pt idx="6">
                  <c:v>50538</c:v>
                </c:pt>
                <c:pt idx="7">
                  <c:v>22000</c:v>
                </c:pt>
                <c:pt idx="8">
                  <c:v>322810</c:v>
                </c:pt>
                <c:pt idx="9">
                  <c:v>0</c:v>
                </c:pt>
                <c:pt idx="10">
                  <c:v>9207</c:v>
                </c:pt>
                <c:pt idx="11">
                  <c:v>94128</c:v>
                </c:pt>
                <c:pt idx="12">
                  <c:v>19721</c:v>
                </c:pt>
                <c:pt idx="13">
                  <c:v>9386</c:v>
                </c:pt>
              </c:numCache>
            </c:numRef>
          </c:val>
        </c:ser>
        <c:dLbls>
          <c:showLegendKey val="0"/>
          <c:showVal val="0"/>
          <c:showCatName val="0"/>
          <c:showSerName val="0"/>
          <c:showPercent val="0"/>
          <c:showBubbleSize val="0"/>
        </c:dLbls>
        <c:axId val="218482176"/>
        <c:axId val="218483712"/>
      </c:areaChart>
      <c:catAx>
        <c:axId val="218482176"/>
        <c:scaling>
          <c:orientation val="minMax"/>
        </c:scaling>
        <c:delete val="0"/>
        <c:axPos val="b"/>
        <c:numFmt formatCode="General" sourceLinked="1"/>
        <c:majorTickMark val="none"/>
        <c:minorTickMark val="none"/>
        <c:tickLblPos val="nextTo"/>
        <c:crossAx val="218483712"/>
        <c:crosses val="autoZero"/>
        <c:auto val="1"/>
        <c:lblAlgn val="ctr"/>
        <c:lblOffset val="100"/>
        <c:noMultiLvlLbl val="0"/>
      </c:catAx>
      <c:valAx>
        <c:axId val="218483712"/>
        <c:scaling>
          <c:orientation val="minMax"/>
        </c:scaling>
        <c:delete val="0"/>
        <c:axPos val="l"/>
        <c:majorGridlines/>
        <c:title>
          <c:tx>
            <c:rich>
              <a:bodyPr/>
              <a:lstStyle/>
              <a:p>
                <a:pPr>
                  <a:defRPr/>
                </a:pPr>
                <a:r>
                  <a:rPr lang="fr-CH"/>
                  <a:t>Size in number of characters</a:t>
                </a:r>
              </a:p>
            </c:rich>
          </c:tx>
          <c:overlay val="0"/>
        </c:title>
        <c:numFmt formatCode="#,##0" sourceLinked="1"/>
        <c:majorTickMark val="none"/>
        <c:minorTickMark val="none"/>
        <c:tickLblPos val="nextTo"/>
        <c:crossAx val="21848217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85397</xdr:colOff>
      <xdr:row>0</xdr:row>
      <xdr:rowOff>61749</xdr:rowOff>
    </xdr:from>
    <xdr:to>
      <xdr:col>9</xdr:col>
      <xdr:colOff>13137</xdr:colOff>
      <xdr:row>20</xdr:row>
      <xdr:rowOff>13138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701120</xdr:colOff>
      <xdr:row>1</xdr:row>
      <xdr:rowOff>70153</xdr:rowOff>
    </xdr:from>
    <xdr:to>
      <xdr:col>17</xdr:col>
      <xdr:colOff>471207</xdr:colOff>
      <xdr:row>30</xdr:row>
      <xdr:rowOff>83291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71603</xdr:colOff>
      <xdr:row>20</xdr:row>
      <xdr:rowOff>88023</xdr:rowOff>
    </xdr:from>
    <xdr:to>
      <xdr:col>9</xdr:col>
      <xdr:colOff>515471</xdr:colOff>
      <xdr:row>45</xdr:row>
      <xdr:rowOff>235323</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115492</xdr:colOff>
      <xdr:row>64</xdr:row>
      <xdr:rowOff>95905</xdr:rowOff>
    </xdr:from>
    <xdr:to>
      <xdr:col>22</xdr:col>
      <xdr:colOff>50213</xdr:colOff>
      <xdr:row>94</xdr:row>
      <xdr:rowOff>177247</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549430</xdr:colOff>
      <xdr:row>31</xdr:row>
      <xdr:rowOff>168086</xdr:rowOff>
    </xdr:from>
    <xdr:to>
      <xdr:col>19</xdr:col>
      <xdr:colOff>660027</xdr:colOff>
      <xdr:row>63</xdr:row>
      <xdr:rowOff>67234</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193020</xdr:colOff>
      <xdr:row>46</xdr:row>
      <xdr:rowOff>306760</xdr:rowOff>
    </xdr:from>
    <xdr:to>
      <xdr:col>10</xdr:col>
      <xdr:colOff>201705</xdr:colOff>
      <xdr:row>66</xdr:row>
      <xdr:rowOff>11205</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717177</xdr:colOff>
      <xdr:row>66</xdr:row>
      <xdr:rowOff>145676</xdr:rowOff>
    </xdr:from>
    <xdr:to>
      <xdr:col>14</xdr:col>
      <xdr:colOff>638735</xdr:colOff>
      <xdr:row>95</xdr:row>
      <xdr:rowOff>67236</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761999</xdr:colOff>
      <xdr:row>96</xdr:row>
      <xdr:rowOff>142875</xdr:rowOff>
    </xdr:from>
    <xdr:to>
      <xdr:col>14</xdr:col>
      <xdr:colOff>644769</xdr:colOff>
      <xdr:row>119</xdr:row>
      <xdr:rowOff>137746</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0.03912</cdr:x>
      <cdr:y>0.84802</cdr:y>
    </cdr:from>
    <cdr:to>
      <cdr:x>0.40472</cdr:x>
      <cdr:y>0.98508</cdr:y>
    </cdr:to>
    <cdr:sp macro="" textlink="">
      <cdr:nvSpPr>
        <cdr:cNvPr id="2" name="ZoneTexte 1"/>
        <cdr:cNvSpPr txBox="1"/>
      </cdr:nvSpPr>
      <cdr:spPr>
        <a:xfrm xmlns:a="http://schemas.openxmlformats.org/drawingml/2006/main">
          <a:off x="170794" y="2519855"/>
          <a:ext cx="1596258" cy="407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CH" sz="900" b="1">
              <a:effectLst/>
              <a:latin typeface="+mn-lt"/>
              <a:ea typeface="+mn-ea"/>
              <a:cs typeface="+mn-cs"/>
            </a:rPr>
            <a:t>Horizontal</a:t>
          </a:r>
          <a:r>
            <a:rPr lang="fr-CH" sz="900" b="1" baseline="0">
              <a:effectLst/>
              <a:latin typeface="+mn-lt"/>
              <a:ea typeface="+mn-ea"/>
              <a:cs typeface="+mn-cs"/>
            </a:rPr>
            <a:t> axis</a:t>
          </a:r>
          <a:r>
            <a:rPr lang="fr-CH" sz="900" b="0"/>
            <a:t/>
          </a:r>
          <a:br>
            <a:rPr lang="fr-CH" sz="900" b="0"/>
          </a:br>
          <a:r>
            <a:rPr lang="fr-CH" sz="900" b="0"/>
            <a:t>Type (n=number of documents)</a:t>
          </a:r>
        </a:p>
      </cdr:txBody>
    </cdr:sp>
  </cdr:relSizeAnchor>
</c:userShapes>
</file>

<file path=xl/drawings/drawing3.xml><?xml version="1.0" encoding="utf-8"?>
<c:userShapes xmlns:c="http://schemas.openxmlformats.org/drawingml/2006/chart">
  <cdr:relSizeAnchor xmlns:cdr="http://schemas.openxmlformats.org/drawingml/2006/chartDrawing">
    <cdr:from>
      <cdr:x>0.00763</cdr:x>
      <cdr:y>0.12899</cdr:y>
    </cdr:from>
    <cdr:to>
      <cdr:x>0.04651</cdr:x>
      <cdr:y>0.94683</cdr:y>
    </cdr:to>
    <cdr:sp macro="" textlink="">
      <cdr:nvSpPr>
        <cdr:cNvPr id="2" name="ZoneTexte 1"/>
        <cdr:cNvSpPr txBox="1"/>
      </cdr:nvSpPr>
      <cdr:spPr>
        <a:xfrm xmlns:a="http://schemas.openxmlformats.org/drawingml/2006/main" rot="16200000">
          <a:off x="-1947665" y="2666952"/>
          <a:ext cx="4246480" cy="25212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CH" sz="800" b="1"/>
            <a:t>Authoring organisations </a:t>
          </a:r>
          <a:r>
            <a:rPr lang="fr-CH" sz="800" b="1" baseline="0"/>
            <a:t> </a:t>
          </a:r>
          <a:r>
            <a:rPr lang="fr-CH" sz="800" b="1"/>
            <a:t>(</a:t>
          </a:r>
          <a:r>
            <a:rPr lang="fr-CH" sz="900" b="1"/>
            <a:t>n=number</a:t>
          </a:r>
          <a:r>
            <a:rPr lang="fr-CH" sz="800" b="1"/>
            <a:t> of documents)</a:t>
          </a:r>
          <a:r>
            <a:rPr lang="fr-CH" sz="800" b="1" baseline="0"/>
            <a:t> -</a:t>
          </a:r>
          <a:r>
            <a:rPr lang="fr-CH" sz="800" b="1"/>
            <a:t> pink=national</a:t>
          </a:r>
          <a:r>
            <a:rPr lang="fr-CH" sz="800" b="1" baseline="0"/>
            <a:t> -</a:t>
          </a:r>
          <a:r>
            <a:rPr lang="fr-CH" sz="800" b="1"/>
            <a:t> brown = international</a:t>
          </a:r>
          <a:br>
            <a:rPr lang="fr-CH" sz="800" b="1"/>
          </a:br>
          <a:endParaRPr lang="fr-CH" sz="800" b="1"/>
        </a:p>
      </cdr:txBody>
    </cdr:sp>
  </cdr:relSizeAnchor>
</c:userShapes>
</file>

<file path=xl/drawings/drawing4.xml><?xml version="1.0" encoding="utf-8"?>
<c:userShapes xmlns:c="http://schemas.openxmlformats.org/drawingml/2006/chart">
  <cdr:relSizeAnchor xmlns:cdr="http://schemas.openxmlformats.org/drawingml/2006/chartDrawing">
    <cdr:from>
      <cdr:x>0.07586</cdr:x>
      <cdr:y>0.84593</cdr:y>
    </cdr:from>
    <cdr:to>
      <cdr:x>0.97865</cdr:x>
      <cdr:y>1</cdr:y>
    </cdr:to>
    <cdr:sp macro="" textlink="">
      <cdr:nvSpPr>
        <cdr:cNvPr id="3" name="ZoneTexte 2"/>
        <cdr:cNvSpPr txBox="1"/>
      </cdr:nvSpPr>
      <cdr:spPr>
        <a:xfrm xmlns:a="http://schemas.openxmlformats.org/drawingml/2006/main">
          <a:off x="377567" y="3557211"/>
          <a:ext cx="4493558" cy="647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CH" sz="1100" b="1"/>
            <a:t>Note:</a:t>
          </a:r>
        </a:p>
        <a:p xmlns:a="http://schemas.openxmlformats.org/drawingml/2006/main">
          <a:r>
            <a:rPr lang="fr-CH" sz="1100"/>
            <a:t>The category</a:t>
          </a:r>
          <a:r>
            <a:rPr lang="fr-CH" sz="1100" baseline="0"/>
            <a:t> «</a:t>
          </a:r>
          <a:r>
            <a:rPr lang="fr-CH" sz="1100" b="1"/>
            <a:t>Others</a:t>
          </a:r>
          <a:r>
            <a:rPr lang="fr-CH" sz="1100"/>
            <a:t>» mainly contains documents published</a:t>
          </a:r>
          <a:r>
            <a:rPr lang="fr-CH" sz="1100" baseline="0"/>
            <a:t> </a:t>
          </a:r>
          <a:br>
            <a:rPr lang="fr-CH" sz="1100" baseline="0"/>
          </a:br>
          <a:r>
            <a:rPr lang="fr-CH" sz="1100"/>
            <a:t>by  the IMF, the UN and the European Commission</a:t>
          </a:r>
        </a:p>
      </cdr:txBody>
    </cdr:sp>
  </cdr:relSizeAnchor>
</c:userShapes>
</file>

<file path=xl/tables/table1.xml><?xml version="1.0" encoding="utf-8"?>
<table xmlns="http://schemas.openxmlformats.org/spreadsheetml/2006/main" id="1" name="Tableau1" displayName="Tableau1" ref="A1:K695" totalsRowShown="0" headerRowDxfId="36" dataDxfId="34" headerRowBorderDxfId="35" tableBorderDxfId="33">
  <autoFilter ref="A1:K695"/>
  <sortState ref="A13:K655">
    <sortCondition ref="A1:A695"/>
  </sortState>
  <tableColumns count="11">
    <tableColumn id="6" name="Doc. Type1" dataDxfId="32"/>
    <tableColumn id="5" name="Author Type2" dataDxfId="31"/>
    <tableColumn id="10" name="Organisation3" dataDxfId="30"/>
    <tableColumn id="1" name="Code" dataDxfId="29"/>
    <tableColumn id="9" name="N/I" dataDxfId="28"/>
    <tableColumn id="8" name="Language" dataDxfId="27"/>
    <tableColumn id="2" name="Document title" dataDxfId="26"/>
    <tableColumn id="3" name="Size_x000a_ (characters)" dataDxfId="25"/>
    <tableColumn id="4" name="Year" dataDxfId="24"/>
    <tableColumn id="7" name="Remarks" dataDxfId="23"/>
    <tableColumn id="11" name="Stat.1" dataDxfId="22"/>
  </tableColumns>
  <tableStyleInfo name="TableStyleMedium10" showFirstColumn="0" showLastColumn="0" showRowStripes="1" showColumnStripes="0"/>
</table>
</file>

<file path=xl/tables/table2.xml><?xml version="1.0" encoding="utf-8"?>
<table xmlns="http://schemas.openxmlformats.org/spreadsheetml/2006/main" id="2" name="Tableau2" displayName="Tableau2" ref="A1:J17" totalsRowShown="0" headerRowDxfId="21" dataDxfId="19" headerRowBorderDxfId="20" tableBorderDxfId="18" totalsRowBorderDxfId="17">
  <autoFilter ref="A1:J17"/>
  <sortState ref="A2:E16">
    <sortCondition ref="B1:B16"/>
  </sortState>
  <tableColumns count="10">
    <tableColumn id="1" name="N" dataDxfId="16"/>
    <tableColumn id="2" name="Organisations" dataDxfId="15"/>
    <tableColumn id="12" name="Area" dataDxfId="14"/>
    <tableColumn id="9" name="Type" dataDxfId="13"/>
    <tableColumn id="3" name="URL 1" dataDxfId="12" dataCellStyle="Lien hypertexte"/>
    <tableColumn id="4" name="URL 2" dataDxfId="11" dataCellStyle="Lien hypertexte"/>
    <tableColumn id="5" name="Notes" dataDxfId="10"/>
    <tableColumn id="6" name="Contact name" dataDxfId="9"/>
    <tableColumn id="7" name="Contact email" dataDxfId="8"/>
    <tableColumn id="8" name="Contact OK to be in expert pool" dataDxfId="7"/>
  </tableColumns>
  <tableStyleInfo name="TableStyleMedium9" showFirstColumn="0" showLastColumn="0" showRowStripes="1" showColumnStripes="0"/>
</table>
</file>

<file path=xl/tables/table3.xml><?xml version="1.0" encoding="utf-8"?>
<table xmlns="http://schemas.openxmlformats.org/spreadsheetml/2006/main" id="4" name="Tableau4" displayName="Tableau4" ref="B2:B20" totalsRowShown="0" headerRowDxfId="6" dataDxfId="5" tableBorderDxfId="4">
  <autoFilter ref="B2:B20"/>
  <sortState ref="B3:B19">
    <sortCondition ref="B2:B19"/>
  </sortState>
  <tableColumns count="1">
    <tableColumn id="1" name="A - Authors" dataDxfId="3"/>
  </tableColumns>
  <tableStyleInfo name="TableStyleMedium2" showFirstColumn="0" showLastColumn="0" showRowStripes="0"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Roaming/Microsoft/Excel/Corpus/De/originals/RM_SNB_2020_Dok.pdf" TargetMode="External"/><Relationship Id="rId2" Type="http://schemas.openxmlformats.org/officeDocument/2006/relationships/hyperlink" Target="../../../../../AppData/Roaming/Microsoft/Excel/Corpus/De/originals/RM_SNB_2022_Dok.pdf" TargetMode="External"/><Relationship Id="rId1" Type="http://schemas.openxmlformats.org/officeDocument/2006/relationships/hyperlink" Target="../../../../../AppData/Roaming/Microsoft/Excel/Corpus/En/originals/PP_Obstfeld_2012.pdf"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cb.europa.eu/stats/balance_of_payments_and_external/html/index.en.html" TargetMode="External"/><Relationship Id="rId13" Type="http://schemas.openxmlformats.org/officeDocument/2006/relationships/hyperlink" Target="https://www.nbb.be/fr/statistiques/balance-des-paiements" TargetMode="External"/><Relationship Id="rId18" Type="http://schemas.openxmlformats.org/officeDocument/2006/relationships/hyperlink" Target="mailto:Paul.Feuvrier@bcl.lu" TargetMode="External"/><Relationship Id="rId26" Type="http://schemas.openxmlformats.org/officeDocument/2006/relationships/hyperlink" Target="mailto:laurent.bley@statec.etat.lu" TargetMode="External"/><Relationship Id="rId3" Type="http://schemas.openxmlformats.org/officeDocument/2006/relationships/hyperlink" Target="https://www150.statcan.gc.ca/n1/en/subjects/economic_accounts/international_accounts" TargetMode="External"/><Relationship Id="rId21" Type="http://schemas.openxmlformats.org/officeDocument/2006/relationships/hyperlink" Target="mailto:PAUSTIN@imf.org" TargetMode="External"/><Relationship Id="rId7" Type="http://schemas.openxmlformats.org/officeDocument/2006/relationships/hyperlink" Target="https://www.imf.org/external/np/sta/bop/bop.htm" TargetMode="External"/><Relationship Id="rId12" Type="http://schemas.openxmlformats.org/officeDocument/2006/relationships/hyperlink" Target="https://www.bundesbank.de/action/de/732090/bbksearch?tf=815054%3A501158.815054%3A810762.815054%3A814192." TargetMode="External"/><Relationship Id="rId17" Type="http://schemas.openxmlformats.org/officeDocument/2006/relationships/hyperlink" Target="https://www.cmfb.org/home" TargetMode="External"/><Relationship Id="rId25" Type="http://schemas.openxmlformats.org/officeDocument/2006/relationships/hyperlink" Target="mailto:Christopher.Sibley@cso.ie" TargetMode="External"/><Relationship Id="rId2" Type="http://schemas.openxmlformats.org/officeDocument/2006/relationships/hyperlink" Target="https://statistiques.public.lu/fr/methodologie/methodes/economie-finances/Bop/bop/index.html" TargetMode="External"/><Relationship Id="rId16" Type="http://schemas.openxmlformats.org/officeDocument/2006/relationships/hyperlink" Target="https://www.banque-france.fr/application-mobile" TargetMode="External"/><Relationship Id="rId20" Type="http://schemas.openxmlformats.org/officeDocument/2006/relationships/hyperlink" Target="mailto:rdb.db@scarlet.be" TargetMode="External"/><Relationship Id="rId29" Type="http://schemas.openxmlformats.org/officeDocument/2006/relationships/hyperlink" Target="mailto:Jorge.Diz_Dias@ecb.europa.eu" TargetMode="External"/><Relationship Id="rId1" Type="http://schemas.openxmlformats.org/officeDocument/2006/relationships/hyperlink" Target="https://www.bea.gov/data/intl-trade-investment/international-transactions" TargetMode="External"/><Relationship Id="rId6" Type="http://schemas.openxmlformats.org/officeDocument/2006/relationships/hyperlink" Target="https://ec.europa.eu/eurostat/web/balance-of-payments" TargetMode="External"/><Relationship Id="rId11" Type="http://schemas.openxmlformats.org/officeDocument/2006/relationships/hyperlink" Target="https://www.bundesbank.de/de/statistiken/aussenwirtschaft/zahlungsbilanz/zahlungsbilanz-776098" TargetMode="External"/><Relationship Id="rId24" Type="http://schemas.openxmlformats.org/officeDocument/2006/relationships/hyperlink" Target="mailto:alexander.fluehmann@snb.ch" TargetMode="External"/><Relationship Id="rId32" Type="http://schemas.openxmlformats.org/officeDocument/2006/relationships/table" Target="../tables/table2.xml"/><Relationship Id="rId5" Type="http://schemas.openxmlformats.org/officeDocument/2006/relationships/hyperlink" Target="https://data.snb.ch/fr/topics/aube" TargetMode="External"/><Relationship Id="rId15" Type="http://schemas.openxmlformats.org/officeDocument/2006/relationships/hyperlink" Target="http://www.bcl.lu/fr/statistiques/series_statistiques_luxembourg/07_balance/index.html" TargetMode="External"/><Relationship Id="rId23" Type="http://schemas.openxmlformats.org/officeDocument/2006/relationships/hyperlink" Target="mailto:richard.mccrae@ons.gov.uk" TargetMode="External"/><Relationship Id="rId28" Type="http://schemas.openxmlformats.org/officeDocument/2006/relationships/hyperlink" Target="mailto:perry.francis@bankofengland.gsi.gov.uk" TargetMode="External"/><Relationship Id="rId10" Type="http://schemas.openxmlformats.org/officeDocument/2006/relationships/hyperlink" Target="https://www.banque-france.fr/statistiques/balance-des-paiements-et-statistiques-bancaires-internationales/la-balance-des-paiements-et-la-position-exterieure" TargetMode="External"/><Relationship Id="rId19" Type="http://schemas.openxmlformats.org/officeDocument/2006/relationships/hyperlink" Target="mailto:thomas.cernohous@oenb.at" TargetMode="External"/><Relationship Id="rId31" Type="http://schemas.openxmlformats.org/officeDocument/2006/relationships/printerSettings" Target="../printerSettings/printerSettings3.bin"/><Relationship Id="rId4" Type="http://schemas.openxmlformats.org/officeDocument/2006/relationships/hyperlink" Target="https://www150.statcan.gc.ca/n1/fr/sujets/comptes_economiques/comptes_internationaux" TargetMode="External"/><Relationship Id="rId9" Type="http://schemas.openxmlformats.org/officeDocument/2006/relationships/hyperlink" Target="https://www.ons.gov.uk/economy/nationalaccounts/balanceofpayments/bulletins/balanceofpayments/latest" TargetMode="External"/><Relationship Id="rId14" Type="http://schemas.openxmlformats.org/officeDocument/2006/relationships/hyperlink" Target="https://www.bankofengland.co.uk/search" TargetMode="External"/><Relationship Id="rId22" Type="http://schemas.openxmlformats.org/officeDocument/2006/relationships/hyperlink" Target="mailto:olaf.nowak@ec.europa.eu" TargetMode="External"/><Relationship Id="rId27" Type="http://schemas.openxmlformats.org/officeDocument/2006/relationships/hyperlink" Target="mailto:stefan.hopp@bundesbank.de" TargetMode="External"/><Relationship Id="rId30" Type="http://schemas.openxmlformats.org/officeDocument/2006/relationships/hyperlink" Target="https://www.cso.ie/en/statistics/internationalaccounts/internationalaccount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K695"/>
  <sheetViews>
    <sheetView zoomScale="145" zoomScaleNormal="145" workbookViewId="0">
      <pane ySplit="1" topLeftCell="A646" activePane="bottomLeft" state="frozen"/>
      <selection pane="bottomLeft" activeCell="D656" sqref="D656"/>
    </sheetView>
  </sheetViews>
  <sheetFormatPr baseColWidth="10" defaultColWidth="11" defaultRowHeight="14.25" x14ac:dyDescent="0.2"/>
  <cols>
    <col min="1" max="1" width="6" style="48" customWidth="1"/>
    <col min="2" max="2" width="5" style="48" customWidth="1"/>
    <col min="3" max="3" width="6.125" style="48" customWidth="1"/>
    <col min="4" max="4" width="21.375" style="46" customWidth="1"/>
    <col min="5" max="5" width="2.875" customWidth="1"/>
    <col min="6" max="6" width="3.25" style="53" customWidth="1"/>
    <col min="7" max="7" width="43.75" style="46" customWidth="1"/>
    <col min="8" max="8" width="9.5" style="67" customWidth="1"/>
    <col min="9" max="9" width="5.625" style="48" customWidth="1"/>
    <col min="10" max="10" width="16.375" style="48" customWidth="1"/>
    <col min="11" max="11" width="10.125" style="50" customWidth="1"/>
    <col min="12" max="12" width="6.125" style="48" customWidth="1"/>
    <col min="13" max="13" width="6.375" style="48" customWidth="1"/>
    <col min="14" max="16384" width="11" style="48"/>
  </cols>
  <sheetData>
    <row r="1" spans="1:11" s="45" customFormat="1" ht="106.5" x14ac:dyDescent="0.2">
      <c r="A1" s="42" t="s">
        <v>383</v>
      </c>
      <c r="B1" s="42" t="s">
        <v>384</v>
      </c>
      <c r="C1" s="59" t="s">
        <v>388</v>
      </c>
      <c r="D1" s="43" t="s">
        <v>49</v>
      </c>
      <c r="E1" s="51" t="s">
        <v>138</v>
      </c>
      <c r="F1" s="43" t="s">
        <v>1</v>
      </c>
      <c r="G1" s="44" t="s">
        <v>2</v>
      </c>
      <c r="H1" s="83" t="s">
        <v>1035</v>
      </c>
      <c r="I1" s="43" t="s">
        <v>143</v>
      </c>
      <c r="J1" s="44" t="s">
        <v>0</v>
      </c>
      <c r="K1" s="69" t="s">
        <v>455</v>
      </c>
    </row>
    <row r="2" spans="1:11" ht="57" x14ac:dyDescent="0.2">
      <c r="A2" s="46" t="s">
        <v>174</v>
      </c>
      <c r="B2" s="46" t="s">
        <v>95</v>
      </c>
      <c r="C2" s="46" t="s">
        <v>31</v>
      </c>
      <c r="D2" s="46" t="s">
        <v>226</v>
      </c>
      <c r="E2" s="52" t="s">
        <v>43</v>
      </c>
      <c r="F2" s="46" t="s">
        <v>219</v>
      </c>
      <c r="G2" s="46" t="s">
        <v>228</v>
      </c>
      <c r="H2" s="66">
        <v>10600</v>
      </c>
      <c r="I2" s="47">
        <v>2014</v>
      </c>
      <c r="J2" s="46"/>
      <c r="K2" s="48"/>
    </row>
    <row r="3" spans="1:11" x14ac:dyDescent="0.2">
      <c r="A3" s="46" t="s">
        <v>174</v>
      </c>
      <c r="B3" s="46" t="s">
        <v>94</v>
      </c>
      <c r="C3" s="46" t="s">
        <v>29</v>
      </c>
      <c r="D3" s="46" t="s">
        <v>172</v>
      </c>
      <c r="E3" s="52" t="s">
        <v>43</v>
      </c>
      <c r="F3" s="46" t="s">
        <v>141</v>
      </c>
      <c r="G3" s="46" t="s">
        <v>176</v>
      </c>
      <c r="H3" s="66">
        <v>2766</v>
      </c>
      <c r="I3" s="47">
        <v>2020</v>
      </c>
      <c r="J3" s="46"/>
      <c r="K3" s="48"/>
    </row>
    <row r="4" spans="1:11" ht="15" customHeight="1" x14ac:dyDescent="0.2">
      <c r="A4" s="48" t="s">
        <v>174</v>
      </c>
      <c r="B4" s="48" t="s">
        <v>94</v>
      </c>
      <c r="C4" s="48" t="s">
        <v>36</v>
      </c>
      <c r="D4" s="46" t="s">
        <v>1203</v>
      </c>
      <c r="E4" s="80" t="s">
        <v>115</v>
      </c>
      <c r="F4" s="53" t="s">
        <v>141</v>
      </c>
      <c r="G4" s="46" t="s">
        <v>1205</v>
      </c>
      <c r="H4" s="67">
        <v>3219</v>
      </c>
      <c r="I4" s="49">
        <v>2020</v>
      </c>
      <c r="K4" s="81"/>
    </row>
    <row r="5" spans="1:11" x14ac:dyDescent="0.2">
      <c r="A5" s="48" t="s">
        <v>174</v>
      </c>
      <c r="B5" s="48" t="s">
        <v>94</v>
      </c>
      <c r="C5" s="48" t="s">
        <v>36</v>
      </c>
      <c r="D5" s="46" t="s">
        <v>1204</v>
      </c>
      <c r="E5" s="80" t="s">
        <v>115</v>
      </c>
      <c r="F5" s="53" t="s">
        <v>141</v>
      </c>
      <c r="G5" s="46" t="s">
        <v>1206</v>
      </c>
      <c r="H5" s="67">
        <v>19301</v>
      </c>
      <c r="I5" s="49">
        <v>2020</v>
      </c>
      <c r="K5" s="81"/>
    </row>
    <row r="6" spans="1:11" ht="42.75" x14ac:dyDescent="0.2">
      <c r="A6" s="48" t="s">
        <v>174</v>
      </c>
      <c r="B6" s="48" t="s">
        <v>94</v>
      </c>
      <c r="C6" s="48" t="s">
        <v>36</v>
      </c>
      <c r="D6" s="46" t="s">
        <v>1197</v>
      </c>
      <c r="E6" s="80" t="s">
        <v>115</v>
      </c>
      <c r="F6" s="53" t="s">
        <v>141</v>
      </c>
      <c r="G6" s="46" t="s">
        <v>1207</v>
      </c>
      <c r="H6" s="67">
        <v>42365</v>
      </c>
      <c r="I6" s="49">
        <v>2020</v>
      </c>
      <c r="K6" s="81"/>
    </row>
    <row r="7" spans="1:11" x14ac:dyDescent="0.2">
      <c r="A7" s="48" t="s">
        <v>174</v>
      </c>
      <c r="B7" s="48" t="s">
        <v>94</v>
      </c>
      <c r="C7" s="48" t="s">
        <v>36</v>
      </c>
      <c r="D7" s="46" t="s">
        <v>1214</v>
      </c>
      <c r="E7" s="80" t="s">
        <v>115</v>
      </c>
      <c r="F7" s="53" t="s">
        <v>141</v>
      </c>
      <c r="G7" s="46" t="s">
        <v>1198</v>
      </c>
      <c r="H7" s="67">
        <v>19721</v>
      </c>
      <c r="I7" s="49">
        <v>2021</v>
      </c>
      <c r="K7" s="81"/>
    </row>
    <row r="8" spans="1:11" x14ac:dyDescent="0.2">
      <c r="A8" s="46" t="s">
        <v>174</v>
      </c>
      <c r="B8" s="46" t="s">
        <v>95</v>
      </c>
      <c r="C8" s="46" t="s">
        <v>33</v>
      </c>
      <c r="D8" s="46" t="s">
        <v>224</v>
      </c>
      <c r="E8" s="52" t="s">
        <v>43</v>
      </c>
      <c r="F8" s="46" t="s">
        <v>219</v>
      </c>
      <c r="G8" s="46" t="s">
        <v>223</v>
      </c>
      <c r="H8" s="66">
        <v>22000</v>
      </c>
      <c r="I8" s="47">
        <v>2016</v>
      </c>
      <c r="J8" s="46"/>
      <c r="K8" s="48"/>
    </row>
    <row r="9" spans="1:11" ht="28.5" x14ac:dyDescent="0.2">
      <c r="A9" s="46" t="s">
        <v>174</v>
      </c>
      <c r="B9" s="46" t="s">
        <v>95</v>
      </c>
      <c r="C9" s="46" t="s">
        <v>33</v>
      </c>
      <c r="D9" s="46" t="s">
        <v>225</v>
      </c>
      <c r="E9" s="52" t="s">
        <v>43</v>
      </c>
      <c r="F9" s="46" t="s">
        <v>219</v>
      </c>
      <c r="G9" s="46" t="s">
        <v>227</v>
      </c>
      <c r="H9" s="66">
        <v>9207</v>
      </c>
      <c r="I9" s="47">
        <v>2019</v>
      </c>
      <c r="J9" s="46"/>
      <c r="K9" s="48"/>
    </row>
    <row r="10" spans="1:11" ht="28.5" x14ac:dyDescent="0.2">
      <c r="A10" s="46" t="s">
        <v>174</v>
      </c>
      <c r="B10" s="46" t="s">
        <v>94</v>
      </c>
      <c r="C10" s="46" t="s">
        <v>39</v>
      </c>
      <c r="D10" s="46" t="s">
        <v>173</v>
      </c>
      <c r="E10" s="52" t="s">
        <v>43</v>
      </c>
      <c r="F10" s="46" t="s">
        <v>141</v>
      </c>
      <c r="G10" s="46" t="s">
        <v>175</v>
      </c>
      <c r="H10" s="66">
        <v>50538</v>
      </c>
      <c r="I10" s="47">
        <v>2015</v>
      </c>
      <c r="J10" s="46"/>
      <c r="K10" s="48"/>
    </row>
    <row r="11" spans="1:11" x14ac:dyDescent="0.2">
      <c r="A11" s="46" t="s">
        <v>174</v>
      </c>
      <c r="B11" s="46" t="s">
        <v>94</v>
      </c>
      <c r="C11" s="46" t="s">
        <v>42</v>
      </c>
      <c r="D11" s="46" t="s">
        <v>221</v>
      </c>
      <c r="E11" s="52" t="s">
        <v>43</v>
      </c>
      <c r="F11" s="46" t="s">
        <v>219</v>
      </c>
      <c r="G11" s="46" t="s">
        <v>222</v>
      </c>
      <c r="H11" s="66">
        <v>13144</v>
      </c>
      <c r="I11" s="47">
        <v>2014</v>
      </c>
      <c r="J11" s="46"/>
      <c r="K11" s="48"/>
    </row>
    <row r="12" spans="1:11" x14ac:dyDescent="0.2">
      <c r="A12" s="46" t="s">
        <v>174</v>
      </c>
      <c r="B12" s="46" t="s">
        <v>94</v>
      </c>
      <c r="C12" s="46" t="s">
        <v>42</v>
      </c>
      <c r="D12" s="46" t="s">
        <v>220</v>
      </c>
      <c r="E12" s="52" t="s">
        <v>43</v>
      </c>
      <c r="F12" s="46" t="s">
        <v>219</v>
      </c>
      <c r="G12" s="46" t="s">
        <v>218</v>
      </c>
      <c r="H12" s="66">
        <v>10355</v>
      </c>
      <c r="I12" s="47">
        <v>2014</v>
      </c>
      <c r="J12" s="46"/>
      <c r="K12" s="48"/>
    </row>
    <row r="13" spans="1:11" x14ac:dyDescent="0.2">
      <c r="A13" s="46" t="s">
        <v>174</v>
      </c>
      <c r="B13" s="46" t="s">
        <v>95</v>
      </c>
      <c r="C13" s="46" t="s">
        <v>38</v>
      </c>
      <c r="D13" s="46" t="s">
        <v>310</v>
      </c>
      <c r="E13" s="52" t="s">
        <v>43</v>
      </c>
      <c r="F13" s="46" t="s">
        <v>240</v>
      </c>
      <c r="G13" s="46" t="s">
        <v>307</v>
      </c>
      <c r="H13" s="66">
        <v>9052</v>
      </c>
      <c r="I13" s="47">
        <v>2020</v>
      </c>
      <c r="J13" s="46"/>
      <c r="K13" s="48"/>
    </row>
    <row r="14" spans="1:11" x14ac:dyDescent="0.2">
      <c r="A14" s="46" t="s">
        <v>174</v>
      </c>
      <c r="B14" s="46" t="s">
        <v>95</v>
      </c>
      <c r="C14" s="46" t="s">
        <v>38</v>
      </c>
      <c r="D14" s="46" t="s">
        <v>309</v>
      </c>
      <c r="E14" s="52" t="s">
        <v>43</v>
      </c>
      <c r="F14" s="46" t="s">
        <v>240</v>
      </c>
      <c r="G14" s="46" t="s">
        <v>308</v>
      </c>
      <c r="H14" s="66">
        <v>2144</v>
      </c>
      <c r="I14" s="47">
        <v>2020</v>
      </c>
      <c r="J14" s="46"/>
      <c r="K14" s="48"/>
    </row>
    <row r="15" spans="1:11" x14ac:dyDescent="0.2">
      <c r="A15" s="48" t="s">
        <v>174</v>
      </c>
      <c r="B15" s="48" t="s">
        <v>95</v>
      </c>
      <c r="C15" s="48" t="s">
        <v>38</v>
      </c>
      <c r="D15" s="48" t="s">
        <v>587</v>
      </c>
      <c r="E15" s="53" t="s">
        <v>43</v>
      </c>
      <c r="F15" s="48" t="s">
        <v>240</v>
      </c>
      <c r="G15" s="46" t="s">
        <v>586</v>
      </c>
      <c r="H15" s="67">
        <v>3559</v>
      </c>
      <c r="I15" s="49">
        <v>2020</v>
      </c>
      <c r="K15" s="48"/>
    </row>
    <row r="16" spans="1:11" ht="28.5" x14ac:dyDescent="0.2">
      <c r="A16" s="48" t="s">
        <v>174</v>
      </c>
      <c r="B16" s="48" t="s">
        <v>94</v>
      </c>
      <c r="C16" s="48" t="s">
        <v>36</v>
      </c>
      <c r="D16" s="46" t="s">
        <v>1208</v>
      </c>
      <c r="E16" s="80" t="s">
        <v>115</v>
      </c>
      <c r="F16" s="53" t="s">
        <v>141</v>
      </c>
      <c r="G16" s="46" t="s">
        <v>1209</v>
      </c>
      <c r="H16" s="67">
        <v>9822</v>
      </c>
      <c r="I16" s="49">
        <v>2020</v>
      </c>
      <c r="K16" s="81"/>
    </row>
    <row r="17" spans="1:11" x14ac:dyDescent="0.2">
      <c r="A17" s="48" t="s">
        <v>174</v>
      </c>
      <c r="B17" s="48" t="s">
        <v>94</v>
      </c>
      <c r="C17" s="48" t="s">
        <v>36</v>
      </c>
      <c r="D17" s="46" t="s">
        <v>1213</v>
      </c>
      <c r="E17" s="80" t="s">
        <v>115</v>
      </c>
      <c r="F17" s="53" t="s">
        <v>141</v>
      </c>
      <c r="G17" s="46" t="s">
        <v>1212</v>
      </c>
      <c r="H17" s="67">
        <v>322810</v>
      </c>
      <c r="I17" s="49">
        <v>2017</v>
      </c>
      <c r="K17" s="81"/>
    </row>
    <row r="18" spans="1:11" x14ac:dyDescent="0.2">
      <c r="A18" s="48" t="s">
        <v>174</v>
      </c>
      <c r="B18" s="48" t="s">
        <v>95</v>
      </c>
      <c r="C18" s="48" t="s">
        <v>33</v>
      </c>
      <c r="D18" s="46" t="s">
        <v>1354</v>
      </c>
      <c r="E18" s="80" t="s">
        <v>43</v>
      </c>
      <c r="F18" s="53" t="s">
        <v>219</v>
      </c>
      <c r="G18" s="46" t="s">
        <v>1355</v>
      </c>
      <c r="H18" s="67">
        <v>9386</v>
      </c>
      <c r="I18" s="49">
        <v>2022</v>
      </c>
      <c r="K18" s="81"/>
    </row>
    <row r="19" spans="1:11" ht="28.5" x14ac:dyDescent="0.2">
      <c r="A19" s="48" t="s">
        <v>174</v>
      </c>
      <c r="B19" s="48" t="s">
        <v>95</v>
      </c>
      <c r="C19" s="48" t="s">
        <v>38</v>
      </c>
      <c r="D19" s="46" t="s">
        <v>1448</v>
      </c>
      <c r="E19" s="80" t="s">
        <v>43</v>
      </c>
      <c r="F19" s="53" t="s">
        <v>240</v>
      </c>
      <c r="G19" s="46" t="s">
        <v>1449</v>
      </c>
      <c r="H19" s="67">
        <v>1900</v>
      </c>
      <c r="I19" s="49">
        <v>2020</v>
      </c>
      <c r="K19" s="81"/>
    </row>
    <row r="20" spans="1:11" ht="57" x14ac:dyDescent="0.2">
      <c r="A20" s="48" t="s">
        <v>197</v>
      </c>
      <c r="B20" s="48" t="s">
        <v>116</v>
      </c>
      <c r="C20" s="48" t="s">
        <v>402</v>
      </c>
      <c r="D20" s="46" t="s">
        <v>1136</v>
      </c>
      <c r="E20" s="80" t="s">
        <v>43</v>
      </c>
      <c r="F20" s="53" t="s">
        <v>141</v>
      </c>
      <c r="G20" s="46" t="s">
        <v>1137</v>
      </c>
      <c r="H20" s="67">
        <v>30580</v>
      </c>
      <c r="I20" s="49">
        <v>2010</v>
      </c>
      <c r="J20" s="46" t="s">
        <v>1518</v>
      </c>
      <c r="K20" s="81"/>
    </row>
    <row r="21" spans="1:11" ht="42.75" x14ac:dyDescent="0.2">
      <c r="A21" s="46" t="s">
        <v>197</v>
      </c>
      <c r="B21" s="46" t="s">
        <v>95</v>
      </c>
      <c r="C21" s="46" t="s">
        <v>31</v>
      </c>
      <c r="D21" s="46" t="s">
        <v>234</v>
      </c>
      <c r="E21" s="52" t="s">
        <v>43</v>
      </c>
      <c r="F21" s="46" t="s">
        <v>219</v>
      </c>
      <c r="G21" s="46" t="s">
        <v>233</v>
      </c>
      <c r="H21" s="66">
        <v>41046</v>
      </c>
      <c r="I21" s="47">
        <v>2014</v>
      </c>
      <c r="J21" s="46"/>
      <c r="K21" s="48"/>
    </row>
    <row r="22" spans="1:11" ht="42.75" x14ac:dyDescent="0.2">
      <c r="A22" s="48" t="s">
        <v>197</v>
      </c>
      <c r="B22" s="48" t="s">
        <v>94</v>
      </c>
      <c r="C22" s="48" t="s">
        <v>29</v>
      </c>
      <c r="D22" s="46" t="s">
        <v>931</v>
      </c>
      <c r="E22" s="80" t="s">
        <v>43</v>
      </c>
      <c r="F22" s="53" t="s">
        <v>141</v>
      </c>
      <c r="G22" s="46" t="s">
        <v>930</v>
      </c>
      <c r="H22" s="67">
        <v>79478</v>
      </c>
      <c r="I22" s="49">
        <v>2010</v>
      </c>
      <c r="K22" s="81"/>
    </row>
    <row r="23" spans="1:11" ht="28.5" x14ac:dyDescent="0.2">
      <c r="A23" s="48" t="s">
        <v>197</v>
      </c>
      <c r="B23" s="48" t="s">
        <v>94</v>
      </c>
      <c r="C23" s="48" t="s">
        <v>29</v>
      </c>
      <c r="D23" s="46" t="s">
        <v>939</v>
      </c>
      <c r="E23" s="80" t="s">
        <v>43</v>
      </c>
      <c r="F23" s="53" t="s">
        <v>141</v>
      </c>
      <c r="G23" s="46" t="s">
        <v>938</v>
      </c>
      <c r="H23" s="67">
        <v>77242</v>
      </c>
      <c r="I23" s="49">
        <v>2011</v>
      </c>
      <c r="K23" s="81"/>
    </row>
    <row r="24" spans="1:11" x14ac:dyDescent="0.2">
      <c r="A24" s="48" t="s">
        <v>197</v>
      </c>
      <c r="B24" s="48" t="s">
        <v>94</v>
      </c>
      <c r="C24" s="48" t="s">
        <v>29</v>
      </c>
      <c r="D24" s="46" t="s">
        <v>937</v>
      </c>
      <c r="E24" s="80" t="s">
        <v>43</v>
      </c>
      <c r="F24" s="53" t="s">
        <v>141</v>
      </c>
      <c r="G24" s="46" t="s">
        <v>936</v>
      </c>
      <c r="H24" s="67">
        <v>10176</v>
      </c>
      <c r="I24" s="49">
        <v>2014</v>
      </c>
      <c r="K24" s="81"/>
    </row>
    <row r="25" spans="1:11" ht="28.5" x14ac:dyDescent="0.2">
      <c r="A25" s="48" t="s">
        <v>197</v>
      </c>
      <c r="B25" s="48" t="s">
        <v>94</v>
      </c>
      <c r="C25" s="48" t="s">
        <v>29</v>
      </c>
      <c r="D25" s="46" t="s">
        <v>934</v>
      </c>
      <c r="E25" s="80" t="s">
        <v>43</v>
      </c>
      <c r="F25" s="53" t="s">
        <v>141</v>
      </c>
      <c r="G25" s="46" t="s">
        <v>935</v>
      </c>
      <c r="H25" s="67">
        <v>33466</v>
      </c>
      <c r="I25" s="49">
        <v>2014</v>
      </c>
      <c r="K25" s="81"/>
    </row>
    <row r="26" spans="1:11" ht="28.5" x14ac:dyDescent="0.2">
      <c r="A26" s="48" t="s">
        <v>197</v>
      </c>
      <c r="B26" s="48" t="s">
        <v>94</v>
      </c>
      <c r="C26" s="46" t="s">
        <v>1273</v>
      </c>
      <c r="D26" s="46" t="s">
        <v>1196</v>
      </c>
      <c r="E26" s="80" t="s">
        <v>115</v>
      </c>
      <c r="F26" s="53" t="s">
        <v>141</v>
      </c>
      <c r="G26" s="46" t="s">
        <v>1195</v>
      </c>
      <c r="H26" s="67">
        <v>91433</v>
      </c>
      <c r="I26" s="49">
        <v>2019</v>
      </c>
      <c r="K26" s="81"/>
    </row>
    <row r="27" spans="1:11" ht="28.5" x14ac:dyDescent="0.2">
      <c r="A27" s="46" t="s">
        <v>197</v>
      </c>
      <c r="B27" s="46" t="s">
        <v>95</v>
      </c>
      <c r="C27" s="46" t="s">
        <v>32</v>
      </c>
      <c r="D27" s="46" t="s">
        <v>177</v>
      </c>
      <c r="E27" s="52" t="s">
        <v>43</v>
      </c>
      <c r="F27" s="46" t="s">
        <v>141</v>
      </c>
      <c r="G27" s="46" t="s">
        <v>196</v>
      </c>
      <c r="H27" s="66">
        <v>100520</v>
      </c>
      <c r="I27" s="47">
        <v>2002</v>
      </c>
      <c r="J27" s="46"/>
      <c r="K27" s="48"/>
    </row>
    <row r="28" spans="1:11" x14ac:dyDescent="0.2">
      <c r="A28" s="46" t="s">
        <v>197</v>
      </c>
      <c r="B28" s="46" t="s">
        <v>95</v>
      </c>
      <c r="C28" s="46" t="s">
        <v>32</v>
      </c>
      <c r="D28" s="46" t="s">
        <v>178</v>
      </c>
      <c r="E28" s="52" t="s">
        <v>43</v>
      </c>
      <c r="F28" s="46" t="s">
        <v>141</v>
      </c>
      <c r="G28" s="46" t="s">
        <v>195</v>
      </c>
      <c r="H28" s="66">
        <v>30637</v>
      </c>
      <c r="I28" s="47">
        <v>2013</v>
      </c>
      <c r="J28" s="46"/>
      <c r="K28" s="48"/>
    </row>
    <row r="29" spans="1:11" ht="28.5" x14ac:dyDescent="0.2">
      <c r="A29" s="46" t="s">
        <v>197</v>
      </c>
      <c r="B29" s="46" t="s">
        <v>95</v>
      </c>
      <c r="C29" s="48" t="s">
        <v>34</v>
      </c>
      <c r="D29" s="46" t="s">
        <v>342</v>
      </c>
      <c r="E29" s="52" t="s">
        <v>43</v>
      </c>
      <c r="F29" s="46" t="s">
        <v>240</v>
      </c>
      <c r="G29" s="46" t="s">
        <v>341</v>
      </c>
      <c r="H29" s="67">
        <v>63766</v>
      </c>
      <c r="I29" s="49">
        <v>2012</v>
      </c>
      <c r="K29" s="48"/>
    </row>
    <row r="30" spans="1:11" ht="57" x14ac:dyDescent="0.2">
      <c r="A30" s="46" t="s">
        <v>197</v>
      </c>
      <c r="B30" s="46" t="s">
        <v>95</v>
      </c>
      <c r="C30" s="46" t="s">
        <v>34</v>
      </c>
      <c r="D30" s="46" t="s">
        <v>318</v>
      </c>
      <c r="E30" s="52" t="s">
        <v>43</v>
      </c>
      <c r="F30" s="46" t="s">
        <v>240</v>
      </c>
      <c r="G30" s="46" t="s">
        <v>317</v>
      </c>
      <c r="H30" s="66">
        <v>10071</v>
      </c>
      <c r="I30" s="47">
        <v>2014</v>
      </c>
      <c r="J30" s="46"/>
      <c r="K30" s="48"/>
    </row>
    <row r="31" spans="1:11" ht="57" x14ac:dyDescent="0.2">
      <c r="A31" s="48" t="s">
        <v>197</v>
      </c>
      <c r="B31" s="48" t="s">
        <v>95</v>
      </c>
      <c r="C31" s="48" t="s">
        <v>34</v>
      </c>
      <c r="D31" s="46" t="s">
        <v>1104</v>
      </c>
      <c r="E31" s="80" t="s">
        <v>43</v>
      </c>
      <c r="F31" s="53" t="s">
        <v>240</v>
      </c>
      <c r="G31" s="46" t="s">
        <v>1103</v>
      </c>
      <c r="H31" s="67">
        <v>10222</v>
      </c>
      <c r="I31" s="49">
        <v>2016</v>
      </c>
      <c r="K31" s="81"/>
    </row>
    <row r="32" spans="1:11" ht="42.75" x14ac:dyDescent="0.2">
      <c r="A32" s="48" t="s">
        <v>197</v>
      </c>
      <c r="B32" s="48" t="s">
        <v>95</v>
      </c>
      <c r="C32" s="48" t="s">
        <v>34</v>
      </c>
      <c r="D32" s="46" t="s">
        <v>1114</v>
      </c>
      <c r="E32" s="80" t="s">
        <v>43</v>
      </c>
      <c r="F32" s="53" t="s">
        <v>240</v>
      </c>
      <c r="G32" s="46" t="s">
        <v>1113</v>
      </c>
      <c r="H32" s="67">
        <v>48746</v>
      </c>
      <c r="I32" s="49">
        <v>2018</v>
      </c>
      <c r="K32" s="81"/>
    </row>
    <row r="33" spans="1:11" ht="42.75" x14ac:dyDescent="0.2">
      <c r="A33" s="48" t="s">
        <v>197</v>
      </c>
      <c r="B33" s="48" t="s">
        <v>95</v>
      </c>
      <c r="C33" s="48" t="s">
        <v>34</v>
      </c>
      <c r="D33" s="46" t="s">
        <v>1128</v>
      </c>
      <c r="E33" s="80" t="s">
        <v>43</v>
      </c>
      <c r="F33" s="53" t="s">
        <v>240</v>
      </c>
      <c r="G33" s="46" t="s">
        <v>1127</v>
      </c>
      <c r="H33" s="67">
        <v>82029</v>
      </c>
      <c r="I33" s="49">
        <v>2018</v>
      </c>
      <c r="K33" s="81"/>
    </row>
    <row r="34" spans="1:11" ht="28.5" x14ac:dyDescent="0.2">
      <c r="A34" s="46" t="s">
        <v>197</v>
      </c>
      <c r="B34" s="46" t="s">
        <v>95</v>
      </c>
      <c r="C34" s="46" t="s">
        <v>34</v>
      </c>
      <c r="D34" s="46" t="s">
        <v>322</v>
      </c>
      <c r="E34" s="52" t="s">
        <v>43</v>
      </c>
      <c r="F34" s="46" t="s">
        <v>240</v>
      </c>
      <c r="G34" s="46" t="s">
        <v>321</v>
      </c>
      <c r="H34" s="66">
        <v>22190</v>
      </c>
      <c r="I34" s="47">
        <v>2020</v>
      </c>
      <c r="J34" s="46"/>
      <c r="K34" s="48"/>
    </row>
    <row r="35" spans="1:11" ht="28.5" x14ac:dyDescent="0.2">
      <c r="A35" s="46" t="s">
        <v>197</v>
      </c>
      <c r="B35" s="46" t="s">
        <v>95</v>
      </c>
      <c r="C35" s="46" t="s">
        <v>34</v>
      </c>
      <c r="D35" s="46" t="s">
        <v>320</v>
      </c>
      <c r="E35" s="52" t="s">
        <v>43</v>
      </c>
      <c r="F35" s="46" t="s">
        <v>240</v>
      </c>
      <c r="G35" s="46" t="s">
        <v>319</v>
      </c>
      <c r="H35" s="66">
        <v>83667</v>
      </c>
      <c r="I35" s="47">
        <v>2020</v>
      </c>
      <c r="J35" s="46"/>
      <c r="K35" s="48"/>
    </row>
    <row r="36" spans="1:11" ht="42.75" x14ac:dyDescent="0.2">
      <c r="A36" s="48" t="s">
        <v>197</v>
      </c>
      <c r="B36" s="48" t="s">
        <v>95</v>
      </c>
      <c r="C36" s="48" t="s">
        <v>34</v>
      </c>
      <c r="D36" s="46" t="s">
        <v>1159</v>
      </c>
      <c r="E36" s="80" t="s">
        <v>43</v>
      </c>
      <c r="F36" s="53" t="s">
        <v>240</v>
      </c>
      <c r="G36" s="46" t="s">
        <v>1158</v>
      </c>
      <c r="H36" s="67">
        <v>13839</v>
      </c>
      <c r="I36" s="49">
        <v>2021</v>
      </c>
      <c r="K36" s="81"/>
    </row>
    <row r="37" spans="1:11" ht="42.75" x14ac:dyDescent="0.2">
      <c r="A37" s="48" t="s">
        <v>197</v>
      </c>
      <c r="B37" s="48" t="s">
        <v>95</v>
      </c>
      <c r="C37" s="48" t="s">
        <v>34</v>
      </c>
      <c r="D37" s="46" t="s">
        <v>1155</v>
      </c>
      <c r="E37" s="80" t="s">
        <v>43</v>
      </c>
      <c r="F37" s="53" t="s">
        <v>240</v>
      </c>
      <c r="G37" s="46" t="s">
        <v>1154</v>
      </c>
      <c r="H37" s="67">
        <v>62068</v>
      </c>
      <c r="I37" s="49">
        <v>2021</v>
      </c>
      <c r="K37" s="81"/>
    </row>
    <row r="38" spans="1:11" ht="42.75" x14ac:dyDescent="0.2">
      <c r="A38" s="46" t="s">
        <v>197</v>
      </c>
      <c r="B38" s="46" t="s">
        <v>116</v>
      </c>
      <c r="C38" s="46" t="s">
        <v>47</v>
      </c>
      <c r="D38" s="46" t="s">
        <v>182</v>
      </c>
      <c r="E38" s="52" t="s">
        <v>115</v>
      </c>
      <c r="F38" s="46" t="s">
        <v>141</v>
      </c>
      <c r="G38" s="46" t="s">
        <v>179</v>
      </c>
      <c r="H38" s="66">
        <v>7863</v>
      </c>
      <c r="I38" s="47">
        <v>2016</v>
      </c>
      <c r="J38" s="46"/>
      <c r="K38" s="48"/>
    </row>
    <row r="39" spans="1:11" ht="28.5" x14ac:dyDescent="0.2">
      <c r="A39" s="46" t="s">
        <v>197</v>
      </c>
      <c r="B39" s="46" t="s">
        <v>116</v>
      </c>
      <c r="C39" s="46" t="s">
        <v>47</v>
      </c>
      <c r="D39" s="46" t="s">
        <v>181</v>
      </c>
      <c r="E39" s="52" t="s">
        <v>115</v>
      </c>
      <c r="F39" s="46" t="s">
        <v>141</v>
      </c>
      <c r="G39" s="46" t="s">
        <v>180</v>
      </c>
      <c r="H39" s="66">
        <v>6893</v>
      </c>
      <c r="I39" s="47">
        <v>2016</v>
      </c>
      <c r="J39" s="46"/>
      <c r="K39" s="48"/>
    </row>
    <row r="40" spans="1:11" ht="28.5" x14ac:dyDescent="0.2">
      <c r="A40" s="48" t="s">
        <v>197</v>
      </c>
      <c r="B40" s="48" t="s">
        <v>94</v>
      </c>
      <c r="C40" s="48" t="s">
        <v>91</v>
      </c>
      <c r="D40" s="46" t="s">
        <v>1146</v>
      </c>
      <c r="E40" s="80" t="s">
        <v>43</v>
      </c>
      <c r="F40" s="53" t="s">
        <v>141</v>
      </c>
      <c r="G40" s="46" t="s">
        <v>1143</v>
      </c>
      <c r="H40" s="67">
        <v>30220</v>
      </c>
      <c r="I40" s="49">
        <v>2018</v>
      </c>
      <c r="K40" s="81"/>
    </row>
    <row r="41" spans="1:11" ht="28.5" x14ac:dyDescent="0.2">
      <c r="A41" s="46" t="s">
        <v>197</v>
      </c>
      <c r="B41" s="46" t="s">
        <v>95</v>
      </c>
      <c r="C41" s="46" t="s">
        <v>35</v>
      </c>
      <c r="D41" s="46" t="s">
        <v>183</v>
      </c>
      <c r="E41" s="52" t="s">
        <v>115</v>
      </c>
      <c r="F41" s="46" t="s">
        <v>141</v>
      </c>
      <c r="G41" s="46" t="s">
        <v>188</v>
      </c>
      <c r="H41" s="66">
        <v>84227</v>
      </c>
      <c r="I41" s="47">
        <v>2014</v>
      </c>
      <c r="J41" s="46"/>
      <c r="K41" s="48"/>
    </row>
    <row r="42" spans="1:11" ht="28.5" x14ac:dyDescent="0.2">
      <c r="A42" s="46" t="s">
        <v>197</v>
      </c>
      <c r="B42" s="46" t="s">
        <v>95</v>
      </c>
      <c r="C42" s="46" t="s">
        <v>35</v>
      </c>
      <c r="D42" s="46" t="s">
        <v>184</v>
      </c>
      <c r="E42" s="52" t="s">
        <v>115</v>
      </c>
      <c r="F42" s="46" t="s">
        <v>141</v>
      </c>
      <c r="G42" s="46" t="s">
        <v>189</v>
      </c>
      <c r="H42" s="66">
        <v>70727</v>
      </c>
      <c r="I42" s="47">
        <v>2016</v>
      </c>
      <c r="J42" s="46"/>
      <c r="K42" s="48"/>
    </row>
    <row r="43" spans="1:11" ht="28.5" x14ac:dyDescent="0.2">
      <c r="A43" s="46" t="s">
        <v>197</v>
      </c>
      <c r="B43" s="46" t="s">
        <v>95</v>
      </c>
      <c r="C43" s="46" t="s">
        <v>35</v>
      </c>
      <c r="D43" s="46" t="s">
        <v>415</v>
      </c>
      <c r="E43" s="52" t="s">
        <v>115</v>
      </c>
      <c r="F43" s="46" t="s">
        <v>141</v>
      </c>
      <c r="G43" s="46" t="s">
        <v>425</v>
      </c>
      <c r="H43" s="66">
        <v>79240</v>
      </c>
      <c r="I43" s="47">
        <v>2020</v>
      </c>
      <c r="J43" s="46"/>
      <c r="K43" s="48"/>
    </row>
    <row r="44" spans="1:11" ht="57" x14ac:dyDescent="0.2">
      <c r="A44" s="46" t="s">
        <v>197</v>
      </c>
      <c r="B44" s="46" t="s">
        <v>94</v>
      </c>
      <c r="C44" s="46" t="s">
        <v>36</v>
      </c>
      <c r="D44" s="46" t="s">
        <v>190</v>
      </c>
      <c r="E44" s="52" t="s">
        <v>115</v>
      </c>
      <c r="F44" s="46" t="s">
        <v>141</v>
      </c>
      <c r="G44" s="46" t="s">
        <v>191</v>
      </c>
      <c r="H44" s="66">
        <v>54915</v>
      </c>
      <c r="I44" s="47">
        <v>2015</v>
      </c>
      <c r="J44" s="46" t="s">
        <v>1509</v>
      </c>
      <c r="K44" s="48"/>
    </row>
    <row r="45" spans="1:11" ht="42.75" x14ac:dyDescent="0.2">
      <c r="A45" s="46" t="s">
        <v>197</v>
      </c>
      <c r="B45" s="46" t="s">
        <v>94</v>
      </c>
      <c r="C45" s="46" t="s">
        <v>36</v>
      </c>
      <c r="D45" s="46" t="s">
        <v>185</v>
      </c>
      <c r="E45" s="52" t="s">
        <v>115</v>
      </c>
      <c r="F45" s="46" t="s">
        <v>141</v>
      </c>
      <c r="G45" s="46" t="s">
        <v>192</v>
      </c>
      <c r="H45" s="66">
        <v>75268</v>
      </c>
      <c r="I45" s="47">
        <v>2017</v>
      </c>
      <c r="J45" s="46" t="s">
        <v>1510</v>
      </c>
      <c r="K45" s="48"/>
    </row>
    <row r="46" spans="1:11" ht="42.75" x14ac:dyDescent="0.2">
      <c r="A46" s="48" t="s">
        <v>197</v>
      </c>
      <c r="B46" s="48" t="s">
        <v>94</v>
      </c>
      <c r="C46" s="48" t="s">
        <v>36</v>
      </c>
      <c r="D46" s="46" t="s">
        <v>1189</v>
      </c>
      <c r="E46" s="80" t="s">
        <v>115</v>
      </c>
      <c r="F46" s="53" t="s">
        <v>141</v>
      </c>
      <c r="G46" s="46" t="s">
        <v>1188</v>
      </c>
      <c r="H46" s="67">
        <v>70361</v>
      </c>
      <c r="I46" s="49">
        <v>2017</v>
      </c>
      <c r="K46" s="81"/>
    </row>
    <row r="47" spans="1:11" ht="42.75" x14ac:dyDescent="0.2">
      <c r="A47" s="48" t="s">
        <v>197</v>
      </c>
      <c r="B47" s="48" t="s">
        <v>94</v>
      </c>
      <c r="C47" s="48" t="s">
        <v>36</v>
      </c>
      <c r="D47" s="48" t="s">
        <v>577</v>
      </c>
      <c r="E47" s="53" t="s">
        <v>115</v>
      </c>
      <c r="F47" s="48" t="s">
        <v>141</v>
      </c>
      <c r="G47" s="46" t="s">
        <v>578</v>
      </c>
      <c r="H47" s="67">
        <v>76689</v>
      </c>
      <c r="I47" s="49">
        <v>2019</v>
      </c>
      <c r="K47" s="48"/>
    </row>
    <row r="48" spans="1:11" ht="28.5" x14ac:dyDescent="0.2">
      <c r="A48" s="48" t="s">
        <v>197</v>
      </c>
      <c r="B48" s="48" t="s">
        <v>94</v>
      </c>
      <c r="C48" s="48" t="s">
        <v>36</v>
      </c>
      <c r="D48" s="46" t="s">
        <v>1193</v>
      </c>
      <c r="E48" s="80" t="s">
        <v>115</v>
      </c>
      <c r="F48" s="53" t="s">
        <v>141</v>
      </c>
      <c r="G48" s="46" t="s">
        <v>1194</v>
      </c>
      <c r="H48" s="67">
        <v>9145</v>
      </c>
      <c r="I48" s="49">
        <v>2019</v>
      </c>
      <c r="K48" s="81"/>
    </row>
    <row r="49" spans="1:11" ht="57" x14ac:dyDescent="0.2">
      <c r="A49" s="48" t="s">
        <v>197</v>
      </c>
      <c r="B49" s="48" t="s">
        <v>94</v>
      </c>
      <c r="C49" s="48" t="s">
        <v>36</v>
      </c>
      <c r="D49" s="48" t="s">
        <v>1187</v>
      </c>
      <c r="E49" s="80" t="s">
        <v>115</v>
      </c>
      <c r="F49" s="53" t="s">
        <v>141</v>
      </c>
      <c r="G49" s="46" t="s">
        <v>1186</v>
      </c>
      <c r="H49" s="67">
        <v>159568</v>
      </c>
      <c r="I49" s="49">
        <v>2020</v>
      </c>
      <c r="K49" s="81"/>
    </row>
    <row r="50" spans="1:11" ht="28.5" x14ac:dyDescent="0.2">
      <c r="A50" s="48" t="s">
        <v>197</v>
      </c>
      <c r="B50" s="48" t="s">
        <v>94</v>
      </c>
      <c r="C50" s="48" t="s">
        <v>36</v>
      </c>
      <c r="D50" s="46" t="s">
        <v>1190</v>
      </c>
      <c r="E50" s="80" t="s">
        <v>115</v>
      </c>
      <c r="F50" s="53" t="s">
        <v>141</v>
      </c>
      <c r="G50" s="46" t="s">
        <v>1192</v>
      </c>
      <c r="H50" s="67">
        <v>15640</v>
      </c>
      <c r="I50" s="49">
        <v>2020</v>
      </c>
      <c r="K50" s="81"/>
    </row>
    <row r="51" spans="1:11" ht="14.25" customHeight="1" x14ac:dyDescent="0.2">
      <c r="A51" s="48" t="s">
        <v>197</v>
      </c>
      <c r="B51" s="48" t="s">
        <v>94</v>
      </c>
      <c r="C51" s="48" t="s">
        <v>36</v>
      </c>
      <c r="D51" s="46" t="s">
        <v>1190</v>
      </c>
      <c r="E51" s="80" t="s">
        <v>115</v>
      </c>
      <c r="F51" s="53" t="s">
        <v>141</v>
      </c>
      <c r="G51" s="46" t="s">
        <v>1191</v>
      </c>
      <c r="H51" s="67">
        <v>15640</v>
      </c>
      <c r="I51" s="49">
        <v>2020</v>
      </c>
      <c r="K51" s="81"/>
    </row>
    <row r="52" spans="1:11" ht="16.5" customHeight="1" x14ac:dyDescent="0.2">
      <c r="A52" s="48" t="s">
        <v>197</v>
      </c>
      <c r="B52" s="48" t="s">
        <v>94</v>
      </c>
      <c r="C52" s="48" t="s">
        <v>36</v>
      </c>
      <c r="D52" s="46" t="s">
        <v>1200</v>
      </c>
      <c r="E52" s="80" t="s">
        <v>115</v>
      </c>
      <c r="F52" s="53" t="s">
        <v>141</v>
      </c>
      <c r="G52" s="46" t="s">
        <v>1199</v>
      </c>
      <c r="H52" s="67">
        <v>14056</v>
      </c>
      <c r="I52" s="49">
        <v>2020</v>
      </c>
      <c r="K52" s="81"/>
    </row>
    <row r="53" spans="1:11" ht="16.5" customHeight="1" x14ac:dyDescent="0.2">
      <c r="A53" s="48" t="s">
        <v>197</v>
      </c>
      <c r="B53" s="48" t="s">
        <v>94</v>
      </c>
      <c r="C53" s="48" t="s">
        <v>36</v>
      </c>
      <c r="D53" s="46" t="s">
        <v>1218</v>
      </c>
      <c r="E53" s="80" t="s">
        <v>115</v>
      </c>
      <c r="F53" s="53" t="s">
        <v>141</v>
      </c>
      <c r="G53" s="46" t="s">
        <v>1217</v>
      </c>
      <c r="H53" s="67">
        <v>5240</v>
      </c>
      <c r="I53" s="49">
        <v>2021</v>
      </c>
      <c r="K53" s="81"/>
    </row>
    <row r="54" spans="1:11" ht="16.5" customHeight="1" x14ac:dyDescent="0.2">
      <c r="A54" s="48" t="s">
        <v>197</v>
      </c>
      <c r="B54" s="48" t="s">
        <v>94</v>
      </c>
      <c r="C54" s="48" t="s">
        <v>36</v>
      </c>
      <c r="D54" s="46" t="s">
        <v>1220</v>
      </c>
      <c r="E54" s="80" t="s">
        <v>115</v>
      </c>
      <c r="F54" s="53" t="s">
        <v>141</v>
      </c>
      <c r="G54" s="46" t="s">
        <v>1219</v>
      </c>
      <c r="H54" s="67">
        <v>5260</v>
      </c>
      <c r="I54" s="49">
        <v>2022</v>
      </c>
      <c r="K54" s="81"/>
    </row>
    <row r="55" spans="1:11" ht="16.5" customHeight="1" x14ac:dyDescent="0.2">
      <c r="A55" s="46" t="s">
        <v>197</v>
      </c>
      <c r="B55" s="46" t="s">
        <v>116</v>
      </c>
      <c r="C55" s="46" t="s">
        <v>402</v>
      </c>
      <c r="D55" s="46" t="s">
        <v>186</v>
      </c>
      <c r="E55" s="52" t="s">
        <v>43</v>
      </c>
      <c r="F55" s="46" t="s">
        <v>141</v>
      </c>
      <c r="G55" s="84" t="s">
        <v>193</v>
      </c>
      <c r="H55" s="66">
        <v>75551</v>
      </c>
      <c r="I55" s="47">
        <v>2012</v>
      </c>
      <c r="J55" s="46"/>
      <c r="K55" s="48"/>
    </row>
    <row r="56" spans="1:11" ht="16.5" customHeight="1" x14ac:dyDescent="0.2">
      <c r="A56" s="46" t="s">
        <v>197</v>
      </c>
      <c r="B56" s="46" t="s">
        <v>95</v>
      </c>
      <c r="C56" s="46" t="s">
        <v>38</v>
      </c>
      <c r="D56" s="46" t="s">
        <v>324</v>
      </c>
      <c r="E56" s="52" t="s">
        <v>43</v>
      </c>
      <c r="F56" s="46" t="s">
        <v>240</v>
      </c>
      <c r="G56" s="46" t="s">
        <v>323</v>
      </c>
      <c r="H56" s="66">
        <v>6961</v>
      </c>
      <c r="I56" s="47">
        <v>2016</v>
      </c>
      <c r="J56" s="46"/>
      <c r="K56" s="48"/>
    </row>
    <row r="57" spans="1:11" ht="16.5" customHeight="1" x14ac:dyDescent="0.2">
      <c r="A57" s="46" t="s">
        <v>197</v>
      </c>
      <c r="B57" s="46" t="s">
        <v>95</v>
      </c>
      <c r="C57" s="46" t="s">
        <v>38</v>
      </c>
      <c r="D57" s="46" t="s">
        <v>1530</v>
      </c>
      <c r="E57" s="52" t="s">
        <v>43</v>
      </c>
      <c r="F57" s="46" t="s">
        <v>240</v>
      </c>
      <c r="G57" s="46" t="s">
        <v>327</v>
      </c>
      <c r="H57" s="66">
        <v>27719</v>
      </c>
      <c r="I57" s="47">
        <v>2017</v>
      </c>
      <c r="J57" s="46"/>
      <c r="K57" s="48"/>
    </row>
    <row r="58" spans="1:11" ht="42.75" x14ac:dyDescent="0.2">
      <c r="A58" s="46" t="s">
        <v>197</v>
      </c>
      <c r="B58" s="46" t="s">
        <v>95</v>
      </c>
      <c r="C58" s="46" t="s">
        <v>38</v>
      </c>
      <c r="D58" s="46" t="s">
        <v>329</v>
      </c>
      <c r="E58" s="52" t="s">
        <v>43</v>
      </c>
      <c r="F58" s="46" t="s">
        <v>240</v>
      </c>
      <c r="G58" s="46" t="s">
        <v>328</v>
      </c>
      <c r="H58" s="66">
        <v>70255</v>
      </c>
      <c r="I58" s="47">
        <v>2018</v>
      </c>
      <c r="J58" s="46"/>
      <c r="K58" s="48"/>
    </row>
    <row r="59" spans="1:11" ht="57" x14ac:dyDescent="0.2">
      <c r="A59" s="46" t="s">
        <v>197</v>
      </c>
      <c r="B59" s="46" t="s">
        <v>94</v>
      </c>
      <c r="C59" s="46" t="s">
        <v>39</v>
      </c>
      <c r="D59" s="46" t="s">
        <v>187</v>
      </c>
      <c r="E59" s="52" t="s">
        <v>43</v>
      </c>
      <c r="F59" s="46" t="s">
        <v>141</v>
      </c>
      <c r="G59" s="46" t="s">
        <v>194</v>
      </c>
      <c r="H59" s="66">
        <v>14604</v>
      </c>
      <c r="I59" s="47">
        <v>2014</v>
      </c>
      <c r="J59" s="46"/>
      <c r="K59" s="48"/>
    </row>
    <row r="60" spans="1:11" ht="42.75" x14ac:dyDescent="0.2">
      <c r="A60" s="46" t="s">
        <v>197</v>
      </c>
      <c r="B60" s="46" t="s">
        <v>94</v>
      </c>
      <c r="C60" s="46" t="s">
        <v>387</v>
      </c>
      <c r="D60" s="46" t="s">
        <v>231</v>
      </c>
      <c r="E60" s="52" t="s">
        <v>43</v>
      </c>
      <c r="F60" s="46" t="s">
        <v>141</v>
      </c>
      <c r="G60" s="46" t="s">
        <v>230</v>
      </c>
      <c r="H60" s="66">
        <v>35196</v>
      </c>
      <c r="I60" s="47">
        <v>2014</v>
      </c>
      <c r="J60" s="46"/>
      <c r="K60" s="48"/>
    </row>
    <row r="61" spans="1:11" ht="57" x14ac:dyDescent="0.2">
      <c r="A61" s="46" t="s">
        <v>197</v>
      </c>
      <c r="B61" s="46" t="s">
        <v>94</v>
      </c>
      <c r="C61" s="46" t="s">
        <v>387</v>
      </c>
      <c r="D61" s="46" t="s">
        <v>232</v>
      </c>
      <c r="E61" s="52" t="s">
        <v>43</v>
      </c>
      <c r="F61" s="46" t="s">
        <v>219</v>
      </c>
      <c r="G61" s="46" t="s">
        <v>229</v>
      </c>
      <c r="H61" s="66">
        <v>41665</v>
      </c>
      <c r="I61" s="47">
        <v>2014</v>
      </c>
      <c r="J61" s="46"/>
      <c r="K61" s="67">
        <f>SUM(H61,H62,H63,H88,H89,H90)</f>
        <v>135209</v>
      </c>
    </row>
    <row r="62" spans="1:11" ht="57" x14ac:dyDescent="0.2">
      <c r="A62" s="48" t="s">
        <v>197</v>
      </c>
      <c r="B62" s="48" t="s">
        <v>94</v>
      </c>
      <c r="C62" s="48" t="s">
        <v>387</v>
      </c>
      <c r="D62" s="50" t="s">
        <v>795</v>
      </c>
      <c r="E62" s="53" t="s">
        <v>43</v>
      </c>
      <c r="F62" s="53" t="s">
        <v>219</v>
      </c>
      <c r="G62" s="46" t="s">
        <v>860</v>
      </c>
      <c r="H62" s="61">
        <v>6884</v>
      </c>
      <c r="I62" s="49">
        <v>2017</v>
      </c>
      <c r="K62" s="81"/>
    </row>
    <row r="63" spans="1:11" ht="28.5" x14ac:dyDescent="0.2">
      <c r="A63" s="48" t="s">
        <v>197</v>
      </c>
      <c r="B63" s="48" t="s">
        <v>94</v>
      </c>
      <c r="C63" s="48" t="s">
        <v>387</v>
      </c>
      <c r="D63" s="50" t="s">
        <v>694</v>
      </c>
      <c r="E63" s="53" t="s">
        <v>43</v>
      </c>
      <c r="F63" s="48" t="s">
        <v>141</v>
      </c>
      <c r="G63" s="46" t="s">
        <v>598</v>
      </c>
      <c r="H63" s="67">
        <v>23095</v>
      </c>
      <c r="I63" s="49">
        <v>2017</v>
      </c>
      <c r="K63" s="48"/>
    </row>
    <row r="64" spans="1:11" ht="42.75" x14ac:dyDescent="0.2">
      <c r="A64" s="48" t="s">
        <v>197</v>
      </c>
      <c r="B64" s="48" t="s">
        <v>94</v>
      </c>
      <c r="C64" s="48" t="s">
        <v>387</v>
      </c>
      <c r="D64" s="50" t="s">
        <v>599</v>
      </c>
      <c r="E64" s="53" t="s">
        <v>43</v>
      </c>
      <c r="F64" s="48" t="s">
        <v>141</v>
      </c>
      <c r="G64" s="46" t="s">
        <v>597</v>
      </c>
      <c r="H64" s="67">
        <v>5781</v>
      </c>
      <c r="I64" s="49">
        <v>2017</v>
      </c>
      <c r="K64" s="48"/>
    </row>
    <row r="65" spans="1:11" ht="30" customHeight="1" x14ac:dyDescent="0.2">
      <c r="A65" s="48" t="s">
        <v>197</v>
      </c>
      <c r="B65" s="48" t="s">
        <v>94</v>
      </c>
      <c r="C65" s="48" t="s">
        <v>387</v>
      </c>
      <c r="D65" s="50" t="s">
        <v>794</v>
      </c>
      <c r="E65" s="53" t="s">
        <v>43</v>
      </c>
      <c r="F65" s="53" t="s">
        <v>219</v>
      </c>
      <c r="G65" s="46" t="s">
        <v>859</v>
      </c>
      <c r="H65" s="61">
        <v>28471</v>
      </c>
      <c r="I65" s="49">
        <v>2017</v>
      </c>
      <c r="K65" s="81"/>
    </row>
    <row r="66" spans="1:11" ht="28.5" x14ac:dyDescent="0.2">
      <c r="A66" s="48" t="s">
        <v>197</v>
      </c>
      <c r="B66" s="48" t="s">
        <v>94</v>
      </c>
      <c r="C66" s="48" t="s">
        <v>387</v>
      </c>
      <c r="D66" s="50" t="s">
        <v>600</v>
      </c>
      <c r="E66" s="53" t="s">
        <v>43</v>
      </c>
      <c r="F66" s="48" t="s">
        <v>141</v>
      </c>
      <c r="G66" s="46" t="s">
        <v>695</v>
      </c>
      <c r="H66" s="81">
        <v>47176</v>
      </c>
      <c r="I66" s="49">
        <v>2018</v>
      </c>
      <c r="K66" s="48"/>
    </row>
    <row r="67" spans="1:11" ht="28.5" x14ac:dyDescent="0.2">
      <c r="A67" s="48" t="s">
        <v>197</v>
      </c>
      <c r="B67" s="48" t="s">
        <v>94</v>
      </c>
      <c r="C67" s="48" t="s">
        <v>387</v>
      </c>
      <c r="D67" s="50" t="s">
        <v>796</v>
      </c>
      <c r="E67" s="53" t="s">
        <v>43</v>
      </c>
      <c r="F67" s="53" t="s">
        <v>219</v>
      </c>
      <c r="G67" s="46" t="s">
        <v>861</v>
      </c>
      <c r="H67" s="61">
        <v>62729</v>
      </c>
      <c r="I67" s="49">
        <v>2018</v>
      </c>
      <c r="K67" s="81"/>
    </row>
    <row r="68" spans="1:11" ht="28.5" x14ac:dyDescent="0.2">
      <c r="A68" s="48" t="s">
        <v>197</v>
      </c>
      <c r="B68" s="48" t="s">
        <v>94</v>
      </c>
      <c r="C68" s="48" t="s">
        <v>387</v>
      </c>
      <c r="D68" s="50" t="s">
        <v>601</v>
      </c>
      <c r="E68" s="53" t="s">
        <v>43</v>
      </c>
      <c r="F68" s="48" t="s">
        <v>141</v>
      </c>
      <c r="G68" s="46" t="s">
        <v>696</v>
      </c>
      <c r="H68" s="81">
        <v>21878</v>
      </c>
      <c r="I68" s="49">
        <v>2018</v>
      </c>
      <c r="K68" s="48"/>
    </row>
    <row r="69" spans="1:11" ht="28.5" x14ac:dyDescent="0.2">
      <c r="A69" s="48" t="s">
        <v>197</v>
      </c>
      <c r="B69" s="48" t="s">
        <v>94</v>
      </c>
      <c r="C69" s="48" t="s">
        <v>387</v>
      </c>
      <c r="D69" s="50" t="s">
        <v>797</v>
      </c>
      <c r="E69" s="53" t="s">
        <v>43</v>
      </c>
      <c r="F69" s="53" t="s">
        <v>219</v>
      </c>
      <c r="G69" s="46" t="s">
        <v>864</v>
      </c>
      <c r="H69" s="61">
        <v>26986</v>
      </c>
      <c r="I69" s="49">
        <v>2018</v>
      </c>
      <c r="K69" s="81"/>
    </row>
    <row r="70" spans="1:11" ht="28.5" x14ac:dyDescent="0.2">
      <c r="A70" s="48" t="s">
        <v>197</v>
      </c>
      <c r="B70" s="48" t="s">
        <v>94</v>
      </c>
      <c r="C70" s="48" t="s">
        <v>387</v>
      </c>
      <c r="D70" s="50" t="s">
        <v>602</v>
      </c>
      <c r="E70" s="53" t="s">
        <v>43</v>
      </c>
      <c r="F70" s="48" t="s">
        <v>141</v>
      </c>
      <c r="G70" s="46" t="s">
        <v>697</v>
      </c>
      <c r="H70" s="81">
        <v>25900</v>
      </c>
      <c r="I70" s="49">
        <v>2018</v>
      </c>
      <c r="K70" s="48"/>
    </row>
    <row r="71" spans="1:11" ht="28.5" x14ac:dyDescent="0.2">
      <c r="A71" s="48" t="s">
        <v>197</v>
      </c>
      <c r="B71" s="48" t="s">
        <v>94</v>
      </c>
      <c r="C71" s="48" t="s">
        <v>387</v>
      </c>
      <c r="D71" s="50" t="s">
        <v>798</v>
      </c>
      <c r="E71" s="53" t="s">
        <v>43</v>
      </c>
      <c r="F71" s="53" t="s">
        <v>219</v>
      </c>
      <c r="G71" s="46" t="s">
        <v>865</v>
      </c>
      <c r="H71" s="61">
        <v>40732</v>
      </c>
      <c r="I71" s="49">
        <v>2018</v>
      </c>
      <c r="K71" s="81"/>
    </row>
    <row r="72" spans="1:11" ht="42.75" x14ac:dyDescent="0.2">
      <c r="A72" s="48" t="s">
        <v>197</v>
      </c>
      <c r="B72" s="48" t="s">
        <v>94</v>
      </c>
      <c r="C72" s="48" t="s">
        <v>387</v>
      </c>
      <c r="D72" s="50" t="s">
        <v>603</v>
      </c>
      <c r="E72" s="53" t="s">
        <v>43</v>
      </c>
      <c r="F72" s="48" t="s">
        <v>141</v>
      </c>
      <c r="G72" s="46" t="s">
        <v>698</v>
      </c>
      <c r="H72" s="81">
        <v>10181</v>
      </c>
      <c r="I72" s="49">
        <v>2018</v>
      </c>
      <c r="K72" s="48"/>
    </row>
    <row r="73" spans="1:11" ht="57" x14ac:dyDescent="0.2">
      <c r="A73" s="48" t="s">
        <v>197</v>
      </c>
      <c r="B73" s="48" t="s">
        <v>94</v>
      </c>
      <c r="C73" s="48" t="s">
        <v>387</v>
      </c>
      <c r="D73" s="50" t="s">
        <v>799</v>
      </c>
      <c r="E73" s="53" t="s">
        <v>43</v>
      </c>
      <c r="F73" s="53" t="s">
        <v>219</v>
      </c>
      <c r="G73" s="46" t="s">
        <v>866</v>
      </c>
      <c r="H73" s="61">
        <v>13375</v>
      </c>
      <c r="I73" s="49">
        <v>2019</v>
      </c>
      <c r="K73" s="81"/>
    </row>
    <row r="74" spans="1:11" ht="22.5" customHeight="1" x14ac:dyDescent="0.2">
      <c r="A74" s="46" t="s">
        <v>197</v>
      </c>
      <c r="B74" s="46" t="s">
        <v>94</v>
      </c>
      <c r="C74" s="46" t="s">
        <v>387</v>
      </c>
      <c r="D74" s="46" t="s">
        <v>213</v>
      </c>
      <c r="E74" s="52" t="s">
        <v>43</v>
      </c>
      <c r="F74" s="46" t="s">
        <v>141</v>
      </c>
      <c r="G74" s="46" t="s">
        <v>212</v>
      </c>
      <c r="H74" s="66">
        <v>21808</v>
      </c>
      <c r="I74" s="47">
        <v>2019</v>
      </c>
      <c r="J74" s="46"/>
      <c r="K74" s="48"/>
    </row>
    <row r="75" spans="1:11" x14ac:dyDescent="0.2">
      <c r="A75" s="48" t="s">
        <v>197</v>
      </c>
      <c r="B75" s="48" t="s">
        <v>94</v>
      </c>
      <c r="C75" s="48" t="s">
        <v>387</v>
      </c>
      <c r="D75" s="50" t="s">
        <v>213</v>
      </c>
      <c r="E75" s="53" t="s">
        <v>43</v>
      </c>
      <c r="F75" s="48" t="s">
        <v>141</v>
      </c>
      <c r="G75" s="46" t="s">
        <v>699</v>
      </c>
      <c r="H75" s="81">
        <v>19099</v>
      </c>
      <c r="I75" s="49">
        <v>2019</v>
      </c>
      <c r="K75" s="48"/>
    </row>
    <row r="76" spans="1:11" ht="28.5" x14ac:dyDescent="0.2">
      <c r="A76" s="46" t="s">
        <v>197</v>
      </c>
      <c r="B76" s="46" t="s">
        <v>94</v>
      </c>
      <c r="C76" s="46" t="s">
        <v>387</v>
      </c>
      <c r="D76" s="46" t="s">
        <v>238</v>
      </c>
      <c r="E76" s="52" t="s">
        <v>43</v>
      </c>
      <c r="F76" s="46" t="s">
        <v>219</v>
      </c>
      <c r="G76" s="46" t="s">
        <v>235</v>
      </c>
      <c r="H76" s="66">
        <v>27020</v>
      </c>
      <c r="I76" s="47">
        <v>2019</v>
      </c>
      <c r="J76" s="46"/>
      <c r="K76" s="48"/>
    </row>
    <row r="77" spans="1:11" ht="28.5" x14ac:dyDescent="0.2">
      <c r="A77" s="48" t="s">
        <v>197</v>
      </c>
      <c r="B77" s="48" t="s">
        <v>94</v>
      </c>
      <c r="C77" s="48" t="s">
        <v>387</v>
      </c>
      <c r="D77" s="50" t="s">
        <v>1479</v>
      </c>
      <c r="E77" s="53" t="s">
        <v>43</v>
      </c>
      <c r="F77" s="53" t="s">
        <v>219</v>
      </c>
      <c r="G77" s="46" t="s">
        <v>868</v>
      </c>
      <c r="H77" s="61">
        <v>24214</v>
      </c>
      <c r="I77" s="49">
        <v>2019</v>
      </c>
      <c r="K77" s="81"/>
    </row>
    <row r="78" spans="1:11" x14ac:dyDescent="0.2">
      <c r="A78" s="48" t="s">
        <v>197</v>
      </c>
      <c r="B78" s="48" t="s">
        <v>94</v>
      </c>
      <c r="C78" s="48" t="s">
        <v>387</v>
      </c>
      <c r="D78" s="50" t="s">
        <v>604</v>
      </c>
      <c r="E78" s="53" t="s">
        <v>43</v>
      </c>
      <c r="F78" s="48" t="s">
        <v>141</v>
      </c>
      <c r="G78" s="46" t="s">
        <v>700</v>
      </c>
      <c r="H78" s="81">
        <v>14041</v>
      </c>
      <c r="I78" s="49">
        <v>2019</v>
      </c>
      <c r="K78" s="48"/>
    </row>
    <row r="79" spans="1:11" ht="28.5" x14ac:dyDescent="0.2">
      <c r="A79" s="48" t="s">
        <v>197</v>
      </c>
      <c r="B79" s="48" t="s">
        <v>94</v>
      </c>
      <c r="C79" s="48" t="s">
        <v>387</v>
      </c>
      <c r="D79" s="50" t="s">
        <v>800</v>
      </c>
      <c r="E79" s="53" t="s">
        <v>43</v>
      </c>
      <c r="F79" s="53" t="s">
        <v>219</v>
      </c>
      <c r="G79" s="46" t="s">
        <v>867</v>
      </c>
      <c r="H79" s="61">
        <v>16265</v>
      </c>
      <c r="I79" s="49">
        <v>2019</v>
      </c>
      <c r="K79" s="81"/>
    </row>
    <row r="80" spans="1:11" x14ac:dyDescent="0.2">
      <c r="A80" s="46" t="s">
        <v>197</v>
      </c>
      <c r="B80" s="46" t="s">
        <v>94</v>
      </c>
      <c r="C80" s="46" t="s">
        <v>387</v>
      </c>
      <c r="D80" s="46" t="s">
        <v>214</v>
      </c>
      <c r="E80" s="52" t="s">
        <v>43</v>
      </c>
      <c r="F80" s="46" t="s">
        <v>141</v>
      </c>
      <c r="G80" s="46" t="s">
        <v>211</v>
      </c>
      <c r="H80" s="66">
        <v>61146</v>
      </c>
      <c r="I80" s="47">
        <v>2020</v>
      </c>
      <c r="J80" s="46"/>
      <c r="K80" s="67">
        <f>SUM(H80,H81,H82,H101,H102,H103)</f>
        <v>206131</v>
      </c>
    </row>
    <row r="81" spans="1:11" x14ac:dyDescent="0.2">
      <c r="A81" s="46" t="s">
        <v>197</v>
      </c>
      <c r="B81" s="46" t="s">
        <v>94</v>
      </c>
      <c r="C81" s="46" t="s">
        <v>387</v>
      </c>
      <c r="D81" s="46" t="s">
        <v>237</v>
      </c>
      <c r="E81" s="52" t="s">
        <v>43</v>
      </c>
      <c r="F81" s="46" t="s">
        <v>219</v>
      </c>
      <c r="G81" s="46" t="s">
        <v>236</v>
      </c>
      <c r="H81" s="66">
        <v>67351</v>
      </c>
      <c r="I81" s="47">
        <v>2020</v>
      </c>
      <c r="J81" s="46"/>
      <c r="K81" s="48"/>
    </row>
    <row r="82" spans="1:11" ht="28.5" x14ac:dyDescent="0.2">
      <c r="A82" s="48" t="s">
        <v>197</v>
      </c>
      <c r="B82" s="48" t="s">
        <v>94</v>
      </c>
      <c r="C82" s="48" t="s">
        <v>387</v>
      </c>
      <c r="D82" s="50" t="s">
        <v>605</v>
      </c>
      <c r="E82" s="53" t="s">
        <v>43</v>
      </c>
      <c r="F82" s="48" t="s">
        <v>141</v>
      </c>
      <c r="G82" s="46" t="s">
        <v>701</v>
      </c>
      <c r="H82" s="81">
        <v>45547</v>
      </c>
      <c r="I82" s="49">
        <v>2020</v>
      </c>
      <c r="K82" s="48"/>
    </row>
    <row r="83" spans="1:11" ht="28.5" x14ac:dyDescent="0.2">
      <c r="A83" s="48" t="s">
        <v>197</v>
      </c>
      <c r="B83" s="48" t="s">
        <v>94</v>
      </c>
      <c r="C83" s="48" t="s">
        <v>387</v>
      </c>
      <c r="D83" s="50" t="s">
        <v>801</v>
      </c>
      <c r="E83" s="53" t="s">
        <v>43</v>
      </c>
      <c r="F83" s="53" t="s">
        <v>219</v>
      </c>
      <c r="G83" s="46" t="s">
        <v>869</v>
      </c>
      <c r="H83" s="61">
        <v>63514</v>
      </c>
      <c r="I83" s="49">
        <v>2020</v>
      </c>
      <c r="K83" s="81"/>
    </row>
    <row r="84" spans="1:11" ht="42.75" x14ac:dyDescent="0.2">
      <c r="A84" s="46" t="s">
        <v>197</v>
      </c>
      <c r="B84" s="46" t="s">
        <v>95</v>
      </c>
      <c r="C84" s="46" t="s">
        <v>40</v>
      </c>
      <c r="D84" s="46" t="s">
        <v>277</v>
      </c>
      <c r="E84" s="52" t="s">
        <v>43</v>
      </c>
      <c r="F84" s="46" t="s">
        <v>219</v>
      </c>
      <c r="G84" s="46" t="s">
        <v>278</v>
      </c>
      <c r="H84" s="66">
        <v>36477</v>
      </c>
      <c r="I84" s="47">
        <v>2013</v>
      </c>
      <c r="J84" s="46" t="s">
        <v>241</v>
      </c>
      <c r="K84" s="67">
        <f>SUM(H84,H85,H86,H87,H101,H102,H103,H104,H105,H114)</f>
        <v>177127</v>
      </c>
    </row>
    <row r="85" spans="1:11" x14ac:dyDescent="0.2">
      <c r="A85" s="46" t="s">
        <v>197</v>
      </c>
      <c r="B85" s="46" t="s">
        <v>95</v>
      </c>
      <c r="C85" s="46" t="s">
        <v>40</v>
      </c>
      <c r="D85" s="46" t="s">
        <v>472</v>
      </c>
      <c r="E85" s="52" t="s">
        <v>43</v>
      </c>
      <c r="F85" s="46" t="s">
        <v>240</v>
      </c>
      <c r="G85" s="46" t="s">
        <v>473</v>
      </c>
      <c r="H85" s="66">
        <v>12091</v>
      </c>
      <c r="I85" s="47">
        <v>2014</v>
      </c>
      <c r="J85" s="46"/>
      <c r="K85" s="48"/>
    </row>
    <row r="86" spans="1:11" x14ac:dyDescent="0.2">
      <c r="A86" s="46" t="s">
        <v>197</v>
      </c>
      <c r="B86" s="46" t="s">
        <v>95</v>
      </c>
      <c r="C86" s="46" t="s">
        <v>40</v>
      </c>
      <c r="D86" s="46" t="s">
        <v>460</v>
      </c>
      <c r="E86" s="52" t="s">
        <v>43</v>
      </c>
      <c r="F86" s="46" t="s">
        <v>240</v>
      </c>
      <c r="G86" s="46" t="s">
        <v>469</v>
      </c>
      <c r="H86" s="66">
        <v>28897</v>
      </c>
      <c r="I86" s="47">
        <v>2015</v>
      </c>
      <c r="J86" s="46"/>
      <c r="K86" s="48"/>
    </row>
    <row r="87" spans="1:11" x14ac:dyDescent="0.2">
      <c r="A87" s="46" t="s">
        <v>197</v>
      </c>
      <c r="B87" s="46" t="s">
        <v>95</v>
      </c>
      <c r="C87" s="46" t="s">
        <v>40</v>
      </c>
      <c r="D87" s="46" t="s">
        <v>456</v>
      </c>
      <c r="E87" s="52" t="s">
        <v>43</v>
      </c>
      <c r="F87" s="46" t="s">
        <v>219</v>
      </c>
      <c r="G87" s="70" t="s">
        <v>464</v>
      </c>
      <c r="H87" s="66">
        <v>30499</v>
      </c>
      <c r="I87" s="47">
        <v>2015</v>
      </c>
      <c r="J87" s="46" t="s">
        <v>241</v>
      </c>
      <c r="K87" s="48"/>
    </row>
    <row r="88" spans="1:11" x14ac:dyDescent="0.2">
      <c r="A88" s="46" t="s">
        <v>197</v>
      </c>
      <c r="B88" s="46" t="s">
        <v>95</v>
      </c>
      <c r="C88" s="46" t="s">
        <v>40</v>
      </c>
      <c r="D88" s="46" t="s">
        <v>461</v>
      </c>
      <c r="E88" s="52" t="s">
        <v>43</v>
      </c>
      <c r="F88" s="46" t="s">
        <v>240</v>
      </c>
      <c r="G88" s="46" t="s">
        <v>468</v>
      </c>
      <c r="H88" s="66">
        <v>18540</v>
      </c>
      <c r="I88" s="47">
        <v>2016</v>
      </c>
      <c r="J88" s="46"/>
      <c r="K88" s="48"/>
    </row>
    <row r="89" spans="1:11" x14ac:dyDescent="0.2">
      <c r="A89" s="46" t="s">
        <v>197</v>
      </c>
      <c r="B89" s="46" t="s">
        <v>95</v>
      </c>
      <c r="C89" s="46" t="s">
        <v>40</v>
      </c>
      <c r="D89" s="46" t="s">
        <v>457</v>
      </c>
      <c r="E89" s="52" t="s">
        <v>43</v>
      </c>
      <c r="F89" s="46" t="s">
        <v>219</v>
      </c>
      <c r="G89" s="70" t="s">
        <v>465</v>
      </c>
      <c r="H89" s="66">
        <v>15747</v>
      </c>
      <c r="I89" s="47">
        <v>2016</v>
      </c>
      <c r="J89" s="46" t="s">
        <v>241</v>
      </c>
      <c r="K89" s="48"/>
    </row>
    <row r="90" spans="1:11" ht="28.5" x14ac:dyDescent="0.2">
      <c r="A90" s="46" t="s">
        <v>197</v>
      </c>
      <c r="B90" s="46" t="s">
        <v>95</v>
      </c>
      <c r="C90" s="46" t="s">
        <v>40</v>
      </c>
      <c r="D90" s="46" t="s">
        <v>462</v>
      </c>
      <c r="E90" s="52" t="s">
        <v>43</v>
      </c>
      <c r="F90" s="46" t="s">
        <v>240</v>
      </c>
      <c r="G90" s="46" t="s">
        <v>470</v>
      </c>
      <c r="H90" s="66">
        <v>29278</v>
      </c>
      <c r="I90" s="47">
        <v>2017</v>
      </c>
      <c r="J90" s="46"/>
      <c r="K90" s="48"/>
    </row>
    <row r="91" spans="1:11" ht="42.75" x14ac:dyDescent="0.2">
      <c r="A91" s="46" t="s">
        <v>197</v>
      </c>
      <c r="B91" s="46" t="s">
        <v>95</v>
      </c>
      <c r="C91" s="46" t="s">
        <v>40</v>
      </c>
      <c r="D91" s="46" t="s">
        <v>458</v>
      </c>
      <c r="E91" s="52" t="s">
        <v>43</v>
      </c>
      <c r="F91" s="46" t="s">
        <v>219</v>
      </c>
      <c r="G91" s="46" t="s">
        <v>466</v>
      </c>
      <c r="H91" s="66">
        <v>25373</v>
      </c>
      <c r="I91" s="47">
        <v>2017</v>
      </c>
      <c r="J91" s="46" t="s">
        <v>241</v>
      </c>
      <c r="K91" s="48"/>
    </row>
    <row r="92" spans="1:11" ht="28.5" x14ac:dyDescent="0.2">
      <c r="A92" s="46" t="s">
        <v>197</v>
      </c>
      <c r="B92" s="46" t="s">
        <v>95</v>
      </c>
      <c r="C92" s="46" t="s">
        <v>40</v>
      </c>
      <c r="D92" s="46" t="s">
        <v>463</v>
      </c>
      <c r="E92" s="52" t="s">
        <v>43</v>
      </c>
      <c r="F92" s="46" t="s">
        <v>240</v>
      </c>
      <c r="G92" s="46" t="s">
        <v>471</v>
      </c>
      <c r="H92" s="66">
        <v>19552</v>
      </c>
      <c r="I92" s="47">
        <v>2018</v>
      </c>
      <c r="J92" s="46"/>
      <c r="K92" s="48"/>
    </row>
    <row r="93" spans="1:11" ht="28.5" x14ac:dyDescent="0.2">
      <c r="A93" s="46" t="s">
        <v>197</v>
      </c>
      <c r="B93" s="46" t="s">
        <v>95</v>
      </c>
      <c r="C93" s="46" t="s">
        <v>40</v>
      </c>
      <c r="D93" s="46" t="s">
        <v>459</v>
      </c>
      <c r="E93" s="52" t="s">
        <v>43</v>
      </c>
      <c r="F93" s="46" t="s">
        <v>219</v>
      </c>
      <c r="G93" s="46" t="s">
        <v>467</v>
      </c>
      <c r="H93" s="66">
        <v>20737</v>
      </c>
      <c r="I93" s="47">
        <v>2018</v>
      </c>
      <c r="J93" s="46" t="s">
        <v>241</v>
      </c>
      <c r="K93" s="48"/>
    </row>
    <row r="94" spans="1:11" ht="28.5" x14ac:dyDescent="0.2">
      <c r="A94" s="46" t="s">
        <v>197</v>
      </c>
      <c r="B94" s="46" t="s">
        <v>95</v>
      </c>
      <c r="C94" s="46" t="s">
        <v>40</v>
      </c>
      <c r="D94" s="46" t="s">
        <v>312</v>
      </c>
      <c r="E94" s="52" t="s">
        <v>43</v>
      </c>
      <c r="F94" s="46" t="s">
        <v>240</v>
      </c>
      <c r="G94" s="46" t="s">
        <v>311</v>
      </c>
      <c r="H94" s="66">
        <v>22244</v>
      </c>
      <c r="I94" s="47">
        <v>2019</v>
      </c>
      <c r="J94" s="46"/>
      <c r="K94" s="67">
        <f>SUM(H94,H95,H96,H113,H114,H115,H116,H117,H121)</f>
        <v>218447</v>
      </c>
    </row>
    <row r="95" spans="1:11" ht="28.5" x14ac:dyDescent="0.2">
      <c r="A95" s="46" t="s">
        <v>197</v>
      </c>
      <c r="B95" s="46" t="s">
        <v>95</v>
      </c>
      <c r="C95" s="46" t="s">
        <v>40</v>
      </c>
      <c r="D95" s="46" t="s">
        <v>315</v>
      </c>
      <c r="E95" s="52" t="s">
        <v>43</v>
      </c>
      <c r="F95" s="46" t="s">
        <v>240</v>
      </c>
      <c r="G95" s="46" t="s">
        <v>314</v>
      </c>
      <c r="H95" s="66">
        <v>33332</v>
      </c>
      <c r="I95" s="47">
        <v>2019</v>
      </c>
      <c r="J95" s="46"/>
      <c r="K95" s="67"/>
    </row>
    <row r="96" spans="1:11" ht="28.5" x14ac:dyDescent="0.2">
      <c r="A96" s="46" t="s">
        <v>197</v>
      </c>
      <c r="B96" s="46" t="s">
        <v>95</v>
      </c>
      <c r="C96" s="46" t="s">
        <v>40</v>
      </c>
      <c r="D96" s="46" t="s">
        <v>280</v>
      </c>
      <c r="E96" s="52" t="s">
        <v>43</v>
      </c>
      <c r="F96" s="46" t="s">
        <v>219</v>
      </c>
      <c r="G96" s="46" t="s">
        <v>279</v>
      </c>
      <c r="H96" s="66">
        <v>23447</v>
      </c>
      <c r="I96" s="47">
        <v>2019</v>
      </c>
      <c r="J96" s="46" t="s">
        <v>241</v>
      </c>
      <c r="K96" s="48"/>
    </row>
    <row r="97" spans="1:11" ht="28.5" x14ac:dyDescent="0.2">
      <c r="A97" s="46" t="s">
        <v>197</v>
      </c>
      <c r="B97" s="46" t="s">
        <v>95</v>
      </c>
      <c r="C97" s="46" t="s">
        <v>40</v>
      </c>
      <c r="D97" s="46" t="s">
        <v>284</v>
      </c>
      <c r="E97" s="52" t="s">
        <v>43</v>
      </c>
      <c r="F97" s="46" t="s">
        <v>219</v>
      </c>
      <c r="G97" s="46" t="s">
        <v>283</v>
      </c>
      <c r="H97" s="66">
        <v>37066</v>
      </c>
      <c r="I97" s="47">
        <v>2019</v>
      </c>
      <c r="J97" s="46" t="s">
        <v>241</v>
      </c>
      <c r="K97" s="48"/>
    </row>
    <row r="98" spans="1:11" ht="28.5" x14ac:dyDescent="0.2">
      <c r="A98" s="46" t="s">
        <v>197</v>
      </c>
      <c r="B98" s="46" t="s">
        <v>95</v>
      </c>
      <c r="C98" s="46" t="s">
        <v>40</v>
      </c>
      <c r="D98" s="46" t="s">
        <v>316</v>
      </c>
      <c r="E98" s="52" t="s">
        <v>43</v>
      </c>
      <c r="F98" s="46" t="s">
        <v>240</v>
      </c>
      <c r="G98" s="46" t="s">
        <v>313</v>
      </c>
      <c r="H98" s="66">
        <v>24697</v>
      </c>
      <c r="I98" s="47">
        <v>2020</v>
      </c>
      <c r="J98" s="46"/>
      <c r="K98" s="67"/>
    </row>
    <row r="99" spans="1:11" ht="42.75" x14ac:dyDescent="0.2">
      <c r="A99" s="46" t="s">
        <v>197</v>
      </c>
      <c r="B99" s="46" t="s">
        <v>95</v>
      </c>
      <c r="C99" s="46" t="s">
        <v>40</v>
      </c>
      <c r="D99" s="46" t="s">
        <v>282</v>
      </c>
      <c r="E99" s="52" t="s">
        <v>43</v>
      </c>
      <c r="F99" s="46" t="s">
        <v>219</v>
      </c>
      <c r="G99" s="46" t="s">
        <v>281</v>
      </c>
      <c r="H99" s="66">
        <v>28365</v>
      </c>
      <c r="I99" s="47">
        <v>2020</v>
      </c>
      <c r="J99" s="46" t="s">
        <v>241</v>
      </c>
      <c r="K99" s="48"/>
    </row>
    <row r="100" spans="1:11" ht="28.5" x14ac:dyDescent="0.2">
      <c r="A100" s="48" t="s">
        <v>197</v>
      </c>
      <c r="B100" s="48" t="s">
        <v>94</v>
      </c>
      <c r="C100" s="48" t="s">
        <v>42</v>
      </c>
      <c r="D100" s="48" t="s">
        <v>576</v>
      </c>
      <c r="E100" s="52" t="s">
        <v>43</v>
      </c>
      <c r="F100" s="46" t="s">
        <v>219</v>
      </c>
      <c r="G100" s="46" t="s">
        <v>571</v>
      </c>
      <c r="H100" s="67">
        <v>14234</v>
      </c>
      <c r="I100" s="49">
        <v>2014</v>
      </c>
      <c r="K100" s="48"/>
    </row>
    <row r="101" spans="1:11" ht="28.5" x14ac:dyDescent="0.2">
      <c r="A101" s="48" t="s">
        <v>197</v>
      </c>
      <c r="B101" s="48" t="s">
        <v>94</v>
      </c>
      <c r="C101" s="48" t="s">
        <v>42</v>
      </c>
      <c r="D101" s="48" t="s">
        <v>575</v>
      </c>
      <c r="E101" s="52" t="s">
        <v>43</v>
      </c>
      <c r="F101" s="46" t="s">
        <v>219</v>
      </c>
      <c r="G101" s="46" t="s">
        <v>572</v>
      </c>
      <c r="H101" s="67">
        <v>12614</v>
      </c>
      <c r="I101" s="49">
        <v>2015</v>
      </c>
      <c r="K101" s="48"/>
    </row>
    <row r="102" spans="1:11" ht="28.5" x14ac:dyDescent="0.2">
      <c r="A102" s="48" t="s">
        <v>197</v>
      </c>
      <c r="B102" s="48" t="s">
        <v>94</v>
      </c>
      <c r="C102" s="48" t="s">
        <v>42</v>
      </c>
      <c r="D102" s="48" t="s">
        <v>574</v>
      </c>
      <c r="E102" s="52" t="s">
        <v>43</v>
      </c>
      <c r="F102" s="46" t="s">
        <v>219</v>
      </c>
      <c r="G102" s="46" t="s">
        <v>570</v>
      </c>
      <c r="H102" s="67">
        <v>11238</v>
      </c>
      <c r="I102" s="49">
        <v>2015</v>
      </c>
      <c r="K102" s="48"/>
    </row>
    <row r="103" spans="1:11" ht="28.5" x14ac:dyDescent="0.2">
      <c r="A103" s="46" t="s">
        <v>197</v>
      </c>
      <c r="B103" s="46" t="s">
        <v>94</v>
      </c>
      <c r="C103" s="46" t="s">
        <v>42</v>
      </c>
      <c r="D103" s="46" t="s">
        <v>569</v>
      </c>
      <c r="E103" s="52" t="s">
        <v>43</v>
      </c>
      <c r="F103" s="46" t="s">
        <v>219</v>
      </c>
      <c r="G103" s="46" t="s">
        <v>454</v>
      </c>
      <c r="H103" s="66">
        <v>8235</v>
      </c>
      <c r="I103" s="47">
        <v>2020</v>
      </c>
      <c r="J103" s="46"/>
      <c r="K103" s="48"/>
    </row>
    <row r="104" spans="1:11" ht="28.5" x14ac:dyDescent="0.2">
      <c r="A104" s="46" t="s">
        <v>197</v>
      </c>
      <c r="B104" s="46" t="s">
        <v>95</v>
      </c>
      <c r="C104" s="46" t="s">
        <v>38</v>
      </c>
      <c r="D104" s="46" t="s">
        <v>331</v>
      </c>
      <c r="E104" s="52" t="s">
        <v>43</v>
      </c>
      <c r="F104" s="46" t="s">
        <v>240</v>
      </c>
      <c r="G104" s="46" t="s">
        <v>330</v>
      </c>
      <c r="H104" s="66">
        <v>7988</v>
      </c>
      <c r="I104" s="47">
        <v>2018</v>
      </c>
      <c r="J104" s="46"/>
      <c r="K104" s="48"/>
    </row>
    <row r="105" spans="1:11" ht="28.5" x14ac:dyDescent="0.2">
      <c r="A105" s="46" t="s">
        <v>197</v>
      </c>
      <c r="B105" s="46" t="s">
        <v>95</v>
      </c>
      <c r="C105" s="46" t="s">
        <v>38</v>
      </c>
      <c r="D105" s="46" t="s">
        <v>336</v>
      </c>
      <c r="E105" s="52" t="s">
        <v>43</v>
      </c>
      <c r="F105" s="46" t="s">
        <v>240</v>
      </c>
      <c r="G105" s="46" t="s">
        <v>335</v>
      </c>
      <c r="H105" s="67">
        <v>17310</v>
      </c>
      <c r="I105" s="49">
        <v>2019</v>
      </c>
      <c r="K105" s="48"/>
    </row>
    <row r="106" spans="1:11" ht="28.5" x14ac:dyDescent="0.2">
      <c r="A106" s="46" t="s">
        <v>197</v>
      </c>
      <c r="B106" s="46" t="s">
        <v>95</v>
      </c>
      <c r="C106" s="46" t="s">
        <v>38</v>
      </c>
      <c r="D106" s="46" t="s">
        <v>334</v>
      </c>
      <c r="E106" s="52" t="s">
        <v>43</v>
      </c>
      <c r="F106" s="46" t="s">
        <v>240</v>
      </c>
      <c r="G106" s="46" t="s">
        <v>333</v>
      </c>
      <c r="H106" s="67">
        <v>16358</v>
      </c>
      <c r="I106" s="49">
        <v>2019</v>
      </c>
      <c r="K106" s="48"/>
    </row>
    <row r="107" spans="1:11" ht="28.5" x14ac:dyDescent="0.2">
      <c r="A107" s="46" t="s">
        <v>197</v>
      </c>
      <c r="B107" s="46" t="s">
        <v>95</v>
      </c>
      <c r="C107" s="46" t="s">
        <v>38</v>
      </c>
      <c r="D107" s="46" t="s">
        <v>332</v>
      </c>
      <c r="E107" s="52" t="s">
        <v>43</v>
      </c>
      <c r="F107" s="46" t="s">
        <v>240</v>
      </c>
      <c r="G107" s="46" t="s">
        <v>426</v>
      </c>
      <c r="H107" s="67">
        <v>18949</v>
      </c>
      <c r="I107" s="49">
        <v>2020</v>
      </c>
      <c r="K107" s="48"/>
    </row>
    <row r="108" spans="1:11" ht="28.5" x14ac:dyDescent="0.2">
      <c r="A108" s="48" t="s">
        <v>197</v>
      </c>
      <c r="B108" s="48" t="s">
        <v>95</v>
      </c>
      <c r="C108" s="48" t="s">
        <v>38</v>
      </c>
      <c r="D108" s="48" t="s">
        <v>332</v>
      </c>
      <c r="E108" s="53" t="s">
        <v>43</v>
      </c>
      <c r="F108" s="48" t="s">
        <v>141</v>
      </c>
      <c r="G108" s="46" t="s">
        <v>585</v>
      </c>
      <c r="H108" s="67">
        <v>43134</v>
      </c>
      <c r="I108" s="49">
        <v>2020</v>
      </c>
      <c r="K108" s="48"/>
    </row>
    <row r="109" spans="1:11" ht="28.5" x14ac:dyDescent="0.2">
      <c r="A109" s="46" t="s">
        <v>197</v>
      </c>
      <c r="B109" s="46" t="s">
        <v>95</v>
      </c>
      <c r="C109" s="46" t="s">
        <v>38</v>
      </c>
      <c r="D109" s="46" t="s">
        <v>340</v>
      </c>
      <c r="E109" s="52" t="s">
        <v>43</v>
      </c>
      <c r="F109" s="46" t="s">
        <v>240</v>
      </c>
      <c r="G109" s="46" t="s">
        <v>339</v>
      </c>
      <c r="H109" s="67">
        <v>20843</v>
      </c>
      <c r="I109" s="49">
        <v>2020</v>
      </c>
      <c r="K109" s="48"/>
    </row>
    <row r="110" spans="1:11" x14ac:dyDescent="0.2">
      <c r="A110" s="46" t="s">
        <v>197</v>
      </c>
      <c r="B110" s="46" t="s">
        <v>95</v>
      </c>
      <c r="C110" s="46" t="s">
        <v>38</v>
      </c>
      <c r="D110" s="46" t="s">
        <v>338</v>
      </c>
      <c r="E110" s="52" t="s">
        <v>43</v>
      </c>
      <c r="F110" s="46" t="s">
        <v>240</v>
      </c>
      <c r="G110" s="46" t="s">
        <v>337</v>
      </c>
      <c r="H110" s="67">
        <v>27540</v>
      </c>
      <c r="I110" s="49">
        <v>2020</v>
      </c>
      <c r="K110" s="48"/>
    </row>
    <row r="111" spans="1:11" ht="28.5" x14ac:dyDescent="0.2">
      <c r="A111" s="48" t="s">
        <v>197</v>
      </c>
      <c r="B111" s="48" t="s">
        <v>94</v>
      </c>
      <c r="C111" s="48" t="s">
        <v>36</v>
      </c>
      <c r="D111" s="46" t="s">
        <v>1210</v>
      </c>
      <c r="E111" s="80" t="s">
        <v>115</v>
      </c>
      <c r="F111" s="53" t="s">
        <v>141</v>
      </c>
      <c r="G111" s="46" t="s">
        <v>1211</v>
      </c>
      <c r="H111" s="67">
        <v>22502</v>
      </c>
      <c r="I111" s="49">
        <v>2022</v>
      </c>
      <c r="K111" s="81"/>
    </row>
    <row r="112" spans="1:11" ht="28.5" x14ac:dyDescent="0.2">
      <c r="A112" s="48" t="s">
        <v>197</v>
      </c>
      <c r="B112" s="48" t="s">
        <v>94</v>
      </c>
      <c r="C112" s="48" t="s">
        <v>39</v>
      </c>
      <c r="D112" s="50" t="s">
        <v>1265</v>
      </c>
      <c r="E112" s="53" t="s">
        <v>43</v>
      </c>
      <c r="F112" s="48" t="s">
        <v>141</v>
      </c>
      <c r="G112" s="46" t="s">
        <v>1257</v>
      </c>
      <c r="H112" s="67">
        <v>19501</v>
      </c>
      <c r="I112" s="49">
        <v>2022</v>
      </c>
      <c r="K112" s="81"/>
    </row>
    <row r="113" spans="1:11" ht="28.5" x14ac:dyDescent="0.2">
      <c r="A113" s="48" t="s">
        <v>197</v>
      </c>
      <c r="B113" s="48" t="s">
        <v>94</v>
      </c>
      <c r="C113" s="48" t="s">
        <v>39</v>
      </c>
      <c r="D113" s="50" t="s">
        <v>1266</v>
      </c>
      <c r="E113" s="53" t="s">
        <v>43</v>
      </c>
      <c r="F113" s="48" t="s">
        <v>141</v>
      </c>
      <c r="G113" s="46" t="s">
        <v>1258</v>
      </c>
      <c r="H113" s="67">
        <v>16778</v>
      </c>
      <c r="I113" s="49">
        <v>2021</v>
      </c>
      <c r="K113" s="81"/>
    </row>
    <row r="114" spans="1:11" ht="28.5" x14ac:dyDescent="0.2">
      <c r="A114" s="48" t="s">
        <v>197</v>
      </c>
      <c r="B114" s="48" t="s">
        <v>94</v>
      </c>
      <c r="C114" s="48" t="s">
        <v>39</v>
      </c>
      <c r="D114" s="50" t="s">
        <v>1267</v>
      </c>
      <c r="E114" s="53" t="s">
        <v>43</v>
      </c>
      <c r="F114" s="48" t="s">
        <v>141</v>
      </c>
      <c r="G114" s="46" t="s">
        <v>1259</v>
      </c>
      <c r="H114" s="67">
        <v>11778</v>
      </c>
      <c r="I114" s="49">
        <v>2022</v>
      </c>
      <c r="K114" s="81"/>
    </row>
    <row r="115" spans="1:11" ht="28.5" x14ac:dyDescent="0.2">
      <c r="A115" s="48" t="s">
        <v>197</v>
      </c>
      <c r="B115" s="48" t="s">
        <v>94</v>
      </c>
      <c r="C115" s="48" t="s">
        <v>39</v>
      </c>
      <c r="D115" s="50" t="s">
        <v>1268</v>
      </c>
      <c r="E115" s="53" t="s">
        <v>43</v>
      </c>
      <c r="F115" s="48" t="s">
        <v>141</v>
      </c>
      <c r="G115" s="46" t="s">
        <v>1260</v>
      </c>
      <c r="H115" s="67">
        <v>8281</v>
      </c>
      <c r="I115" s="49">
        <v>2022</v>
      </c>
      <c r="K115" s="81"/>
    </row>
    <row r="116" spans="1:11" x14ac:dyDescent="0.2">
      <c r="A116" s="48" t="s">
        <v>197</v>
      </c>
      <c r="B116" s="48" t="s">
        <v>95</v>
      </c>
      <c r="C116" s="48" t="s">
        <v>30</v>
      </c>
      <c r="D116" s="46" t="s">
        <v>1289</v>
      </c>
      <c r="E116" s="80" t="s">
        <v>43</v>
      </c>
      <c r="F116" s="53" t="s">
        <v>219</v>
      </c>
      <c r="G116" s="46" t="s">
        <v>1290</v>
      </c>
      <c r="H116" s="67">
        <v>35474</v>
      </c>
      <c r="I116" s="49">
        <v>2009</v>
      </c>
      <c r="K116" s="81"/>
    </row>
    <row r="117" spans="1:11" ht="42.75" x14ac:dyDescent="0.2">
      <c r="A117" s="48" t="s">
        <v>197</v>
      </c>
      <c r="B117" s="48" t="s">
        <v>116</v>
      </c>
      <c r="C117" s="48" t="s">
        <v>47</v>
      </c>
      <c r="D117" s="46" t="s">
        <v>1361</v>
      </c>
      <c r="E117" s="80" t="s">
        <v>115</v>
      </c>
      <c r="F117" s="53" t="s">
        <v>141</v>
      </c>
      <c r="G117" s="46" t="s">
        <v>1360</v>
      </c>
      <c r="H117" s="67">
        <v>30178</v>
      </c>
      <c r="I117" s="49">
        <v>2020</v>
      </c>
      <c r="J117" s="46" t="s">
        <v>1363</v>
      </c>
      <c r="K117" s="81"/>
    </row>
    <row r="118" spans="1:11" ht="28.5" x14ac:dyDescent="0.2">
      <c r="A118" s="46" t="s">
        <v>197</v>
      </c>
      <c r="B118" s="46" t="s">
        <v>94</v>
      </c>
      <c r="C118" s="46" t="s">
        <v>42</v>
      </c>
      <c r="D118" s="46" t="s">
        <v>1372</v>
      </c>
      <c r="E118" s="52" t="s">
        <v>43</v>
      </c>
      <c r="F118" s="46" t="s">
        <v>219</v>
      </c>
      <c r="G118" s="46" t="s">
        <v>1371</v>
      </c>
      <c r="H118" s="66">
        <v>7844</v>
      </c>
      <c r="I118" s="47">
        <v>2022</v>
      </c>
      <c r="K118" s="81"/>
    </row>
    <row r="119" spans="1:11" ht="28.5" x14ac:dyDescent="0.2">
      <c r="A119" s="48" t="s">
        <v>197</v>
      </c>
      <c r="B119" s="48" t="s">
        <v>95</v>
      </c>
      <c r="C119" s="48" t="s">
        <v>38</v>
      </c>
      <c r="D119" s="46" t="s">
        <v>1438</v>
      </c>
      <c r="E119" s="80" t="s">
        <v>43</v>
      </c>
      <c r="F119" s="53" t="s">
        <v>240</v>
      </c>
      <c r="G119" s="46" t="s">
        <v>1439</v>
      </c>
      <c r="H119" s="67">
        <v>27368</v>
      </c>
      <c r="I119" s="49">
        <v>2022</v>
      </c>
      <c r="K119" s="81"/>
    </row>
    <row r="120" spans="1:11" ht="28.5" x14ac:dyDescent="0.2">
      <c r="A120" s="48" t="s">
        <v>197</v>
      </c>
      <c r="B120" s="48" t="s">
        <v>95</v>
      </c>
      <c r="C120" s="48" t="s">
        <v>38</v>
      </c>
      <c r="D120" s="46" t="s">
        <v>1440</v>
      </c>
      <c r="E120" s="80" t="s">
        <v>43</v>
      </c>
      <c r="F120" s="53" t="s">
        <v>240</v>
      </c>
      <c r="G120" s="46" t="s">
        <v>1441</v>
      </c>
      <c r="H120" s="67">
        <v>46099</v>
      </c>
      <c r="I120" s="49">
        <v>2021</v>
      </c>
      <c r="K120" s="81"/>
    </row>
    <row r="121" spans="1:11" ht="57" x14ac:dyDescent="0.2">
      <c r="A121" s="48" t="s">
        <v>197</v>
      </c>
      <c r="B121" s="48" t="s">
        <v>95</v>
      </c>
      <c r="C121" s="48" t="s">
        <v>38</v>
      </c>
      <c r="D121" s="46" t="s">
        <v>1442</v>
      </c>
      <c r="E121" s="80" t="s">
        <v>43</v>
      </c>
      <c r="F121" s="53" t="s">
        <v>240</v>
      </c>
      <c r="G121" s="46" t="s">
        <v>1441</v>
      </c>
      <c r="H121" s="67">
        <v>36935</v>
      </c>
      <c r="I121" s="49">
        <v>2022</v>
      </c>
      <c r="J121" s="46" t="s">
        <v>1444</v>
      </c>
      <c r="K121" s="81"/>
    </row>
    <row r="122" spans="1:11" ht="28.5" x14ac:dyDescent="0.2">
      <c r="A122" s="48" t="s">
        <v>197</v>
      </c>
      <c r="B122" s="48" t="s">
        <v>95</v>
      </c>
      <c r="C122" s="48" t="s">
        <v>38</v>
      </c>
      <c r="D122" s="46" t="s">
        <v>1445</v>
      </c>
      <c r="E122" s="80" t="s">
        <v>43</v>
      </c>
      <c r="F122" s="53" t="s">
        <v>240</v>
      </c>
      <c r="G122" s="46" t="s">
        <v>1443</v>
      </c>
      <c r="H122" s="67">
        <v>21253</v>
      </c>
      <c r="I122" s="49">
        <v>2021</v>
      </c>
      <c r="K122" s="81"/>
    </row>
    <row r="123" spans="1:11" ht="28.5" x14ac:dyDescent="0.2">
      <c r="A123" s="48" t="s">
        <v>197</v>
      </c>
      <c r="B123" s="48" t="s">
        <v>94</v>
      </c>
      <c r="C123" s="48" t="s">
        <v>39</v>
      </c>
      <c r="D123" s="50" t="s">
        <v>1483</v>
      </c>
      <c r="E123" s="53" t="s">
        <v>43</v>
      </c>
      <c r="F123" s="48" t="s">
        <v>141</v>
      </c>
      <c r="G123" s="46" t="s">
        <v>1482</v>
      </c>
      <c r="H123" s="67">
        <v>29466</v>
      </c>
      <c r="I123" s="49">
        <v>2020</v>
      </c>
      <c r="K123" s="81"/>
    </row>
    <row r="124" spans="1:11" x14ac:dyDescent="0.2">
      <c r="A124" s="48" t="s">
        <v>204</v>
      </c>
      <c r="B124" s="48" t="s">
        <v>94</v>
      </c>
      <c r="C124" s="48" t="s">
        <v>29</v>
      </c>
      <c r="D124" s="46" t="s">
        <v>951</v>
      </c>
      <c r="E124" s="80" t="s">
        <v>43</v>
      </c>
      <c r="F124" s="53" t="s">
        <v>141</v>
      </c>
      <c r="G124" s="46" t="s">
        <v>952</v>
      </c>
      <c r="H124" s="67">
        <v>7521</v>
      </c>
      <c r="I124" s="49">
        <v>2020</v>
      </c>
      <c r="K124" s="81"/>
    </row>
    <row r="125" spans="1:11" x14ac:dyDescent="0.2">
      <c r="A125" s="48" t="s">
        <v>204</v>
      </c>
      <c r="B125" s="48" t="s">
        <v>94</v>
      </c>
      <c r="C125" s="48" t="s">
        <v>36</v>
      </c>
      <c r="D125" s="46" t="s">
        <v>1222</v>
      </c>
      <c r="E125" s="80" t="s">
        <v>115</v>
      </c>
      <c r="F125" s="53" t="s">
        <v>141</v>
      </c>
      <c r="G125" s="46" t="s">
        <v>1221</v>
      </c>
      <c r="H125" s="67">
        <v>5299</v>
      </c>
      <c r="I125" s="49">
        <v>2020</v>
      </c>
      <c r="K125" s="81"/>
    </row>
    <row r="126" spans="1:11" x14ac:dyDescent="0.2">
      <c r="A126" s="48" t="s">
        <v>197</v>
      </c>
      <c r="B126" s="48" t="s">
        <v>95</v>
      </c>
      <c r="C126" s="48" t="s">
        <v>40</v>
      </c>
      <c r="D126" s="46" t="s">
        <v>1513</v>
      </c>
      <c r="E126" s="80" t="s">
        <v>43</v>
      </c>
      <c r="F126" s="53" t="s">
        <v>240</v>
      </c>
      <c r="G126" s="46" t="s">
        <v>1515</v>
      </c>
      <c r="H126" s="67">
        <v>8377</v>
      </c>
      <c r="I126" s="49">
        <v>2023</v>
      </c>
      <c r="K126" s="81"/>
    </row>
    <row r="127" spans="1:11" ht="28.5" x14ac:dyDescent="0.2">
      <c r="A127" s="48" t="s">
        <v>204</v>
      </c>
      <c r="B127" s="48" t="s">
        <v>95</v>
      </c>
      <c r="C127" s="48" t="s">
        <v>38</v>
      </c>
      <c r="D127" s="46" t="s">
        <v>381</v>
      </c>
      <c r="E127" s="53" t="s">
        <v>43</v>
      </c>
      <c r="F127" s="48" t="s">
        <v>240</v>
      </c>
      <c r="G127" s="46" t="s">
        <v>382</v>
      </c>
      <c r="H127" s="67">
        <v>38362</v>
      </c>
      <c r="I127" s="49">
        <v>2014</v>
      </c>
      <c r="K127" s="48"/>
    </row>
    <row r="128" spans="1:11" ht="57" x14ac:dyDescent="0.2">
      <c r="A128" s="48" t="s">
        <v>204</v>
      </c>
      <c r="B128" s="48" t="s">
        <v>94</v>
      </c>
      <c r="C128" s="48" t="s">
        <v>29</v>
      </c>
      <c r="D128" s="46" t="s">
        <v>949</v>
      </c>
      <c r="E128" s="80" t="s">
        <v>43</v>
      </c>
      <c r="F128" s="53" t="s">
        <v>141</v>
      </c>
      <c r="G128" s="46" t="s">
        <v>948</v>
      </c>
      <c r="H128" s="67">
        <v>68721</v>
      </c>
      <c r="I128" s="49">
        <v>2020</v>
      </c>
      <c r="K128" s="81"/>
    </row>
    <row r="129" spans="1:11" x14ac:dyDescent="0.2">
      <c r="A129" s="48" t="s">
        <v>204</v>
      </c>
      <c r="B129" s="48" t="s">
        <v>94</v>
      </c>
      <c r="C129" s="48" t="s">
        <v>36</v>
      </c>
      <c r="D129" s="46" t="s">
        <v>1216</v>
      </c>
      <c r="E129" s="80" t="s">
        <v>115</v>
      </c>
      <c r="F129" s="53" t="s">
        <v>141</v>
      </c>
      <c r="G129" s="46" t="s">
        <v>1215</v>
      </c>
      <c r="H129" s="67">
        <v>5230</v>
      </c>
      <c r="I129" s="49">
        <v>2020</v>
      </c>
      <c r="K129" s="81"/>
    </row>
    <row r="130" spans="1:11" x14ac:dyDescent="0.2">
      <c r="A130" s="48" t="s">
        <v>204</v>
      </c>
      <c r="B130" s="48" t="s">
        <v>95</v>
      </c>
      <c r="C130" s="48" t="s">
        <v>38</v>
      </c>
      <c r="D130" s="46" t="s">
        <v>380</v>
      </c>
      <c r="E130" s="53" t="s">
        <v>43</v>
      </c>
      <c r="F130" s="48" t="s">
        <v>240</v>
      </c>
      <c r="G130" s="46" t="s">
        <v>379</v>
      </c>
      <c r="H130" s="67">
        <v>46993</v>
      </c>
      <c r="I130" s="49">
        <v>2014</v>
      </c>
      <c r="K130" s="48"/>
    </row>
    <row r="131" spans="1:11" ht="28.5" x14ac:dyDescent="0.2">
      <c r="A131" s="48" t="s">
        <v>204</v>
      </c>
      <c r="B131" s="48" t="s">
        <v>95</v>
      </c>
      <c r="C131" s="48" t="s">
        <v>38</v>
      </c>
      <c r="D131" s="46" t="s">
        <v>378</v>
      </c>
      <c r="E131" s="53" t="s">
        <v>43</v>
      </c>
      <c r="F131" s="48" t="s">
        <v>240</v>
      </c>
      <c r="G131" s="46" t="s">
        <v>389</v>
      </c>
      <c r="H131" s="67">
        <v>19216</v>
      </c>
      <c r="I131" s="49">
        <v>2015</v>
      </c>
      <c r="K131" s="48"/>
    </row>
    <row r="132" spans="1:11" ht="28.5" x14ac:dyDescent="0.2">
      <c r="A132" s="48" t="s">
        <v>204</v>
      </c>
      <c r="B132" s="48" t="s">
        <v>95</v>
      </c>
      <c r="C132" s="48" t="s">
        <v>38</v>
      </c>
      <c r="D132" s="46" t="s">
        <v>377</v>
      </c>
      <c r="E132" s="53" t="s">
        <v>43</v>
      </c>
      <c r="F132" s="48" t="s">
        <v>240</v>
      </c>
      <c r="G132" s="46" t="s">
        <v>376</v>
      </c>
      <c r="H132" s="67">
        <v>38385</v>
      </c>
      <c r="I132" s="49">
        <v>2015</v>
      </c>
      <c r="K132" s="48"/>
    </row>
    <row r="133" spans="1:11" x14ac:dyDescent="0.2">
      <c r="A133" s="48" t="s">
        <v>204</v>
      </c>
      <c r="B133" s="48" t="s">
        <v>95</v>
      </c>
      <c r="C133" s="48" t="s">
        <v>38</v>
      </c>
      <c r="D133" s="46" t="s">
        <v>373</v>
      </c>
      <c r="E133" s="53" t="s">
        <v>43</v>
      </c>
      <c r="F133" s="48" t="s">
        <v>240</v>
      </c>
      <c r="G133" s="46" t="s">
        <v>372</v>
      </c>
      <c r="H133" s="67">
        <v>5508</v>
      </c>
      <c r="I133" s="49">
        <v>2016</v>
      </c>
      <c r="K133" s="48"/>
    </row>
    <row r="134" spans="1:11" x14ac:dyDescent="0.2">
      <c r="A134" s="48" t="s">
        <v>204</v>
      </c>
      <c r="B134" s="48" t="s">
        <v>95</v>
      </c>
      <c r="C134" s="48" t="s">
        <v>38</v>
      </c>
      <c r="D134" s="46" t="s">
        <v>367</v>
      </c>
      <c r="E134" s="53" t="s">
        <v>43</v>
      </c>
      <c r="F134" s="48" t="s">
        <v>240</v>
      </c>
      <c r="G134" s="46" t="s">
        <v>366</v>
      </c>
      <c r="H134" s="67">
        <v>36610</v>
      </c>
      <c r="I134" s="49">
        <v>2016</v>
      </c>
      <c r="K134" s="48"/>
    </row>
    <row r="135" spans="1:11" x14ac:dyDescent="0.2">
      <c r="A135" s="48" t="s">
        <v>204</v>
      </c>
      <c r="B135" s="48" t="s">
        <v>95</v>
      </c>
      <c r="C135" s="48" t="s">
        <v>38</v>
      </c>
      <c r="D135" s="46" t="s">
        <v>371</v>
      </c>
      <c r="E135" s="53" t="s">
        <v>43</v>
      </c>
      <c r="F135" s="48" t="s">
        <v>240</v>
      </c>
      <c r="G135" s="46" t="s">
        <v>370</v>
      </c>
      <c r="H135" s="67">
        <v>19857</v>
      </c>
      <c r="I135" s="49">
        <v>2017</v>
      </c>
      <c r="K135" s="48"/>
    </row>
    <row r="136" spans="1:11" ht="57" x14ac:dyDescent="0.2">
      <c r="A136" s="48" t="s">
        <v>204</v>
      </c>
      <c r="B136" s="48" t="s">
        <v>95</v>
      </c>
      <c r="C136" s="48" t="s">
        <v>38</v>
      </c>
      <c r="D136" s="46" t="s">
        <v>375</v>
      </c>
      <c r="E136" s="53" t="s">
        <v>43</v>
      </c>
      <c r="F136" s="48" t="s">
        <v>240</v>
      </c>
      <c r="G136" s="46" t="s">
        <v>374</v>
      </c>
      <c r="H136" s="67">
        <v>12036</v>
      </c>
      <c r="I136" s="49">
        <v>2017</v>
      </c>
      <c r="K136" s="48"/>
    </row>
    <row r="137" spans="1:11" x14ac:dyDescent="0.2">
      <c r="A137" s="48" t="s">
        <v>204</v>
      </c>
      <c r="B137" s="48" t="s">
        <v>94</v>
      </c>
      <c r="C137" s="48" t="s">
        <v>42</v>
      </c>
      <c r="D137" s="48" t="s">
        <v>1478</v>
      </c>
      <c r="E137" s="52" t="s">
        <v>43</v>
      </c>
      <c r="F137" s="46" t="s">
        <v>219</v>
      </c>
      <c r="G137" s="46" t="s">
        <v>573</v>
      </c>
      <c r="H137" s="67">
        <v>12244</v>
      </c>
      <c r="I137" s="49">
        <v>2016</v>
      </c>
      <c r="K137" s="48"/>
    </row>
    <row r="138" spans="1:11" x14ac:dyDescent="0.2">
      <c r="A138" s="46" t="s">
        <v>204</v>
      </c>
      <c r="B138" s="46" t="s">
        <v>94</v>
      </c>
      <c r="C138" s="46" t="s">
        <v>42</v>
      </c>
      <c r="D138" s="46" t="s">
        <v>1477</v>
      </c>
      <c r="E138" s="52" t="s">
        <v>43</v>
      </c>
      <c r="F138" s="46" t="s">
        <v>219</v>
      </c>
      <c r="G138" s="46" t="s">
        <v>242</v>
      </c>
      <c r="H138" s="66">
        <v>12989</v>
      </c>
      <c r="I138" s="47">
        <v>2017</v>
      </c>
      <c r="J138" s="46"/>
      <c r="K138" s="48"/>
    </row>
    <row r="139" spans="1:11" ht="28.5" x14ac:dyDescent="0.2">
      <c r="A139" s="48" t="s">
        <v>204</v>
      </c>
      <c r="B139" s="48" t="s">
        <v>95</v>
      </c>
      <c r="C139" s="48" t="s">
        <v>30</v>
      </c>
      <c r="D139" s="48" t="s">
        <v>391</v>
      </c>
      <c r="E139" s="53" t="s">
        <v>43</v>
      </c>
      <c r="F139" s="48" t="s">
        <v>219</v>
      </c>
      <c r="G139" s="46" t="s">
        <v>394</v>
      </c>
      <c r="H139" s="67">
        <v>3773</v>
      </c>
      <c r="I139" s="49">
        <v>2021</v>
      </c>
      <c r="K139" s="48"/>
    </row>
    <row r="140" spans="1:11" ht="28.5" x14ac:dyDescent="0.2">
      <c r="A140" s="48" t="s">
        <v>204</v>
      </c>
      <c r="B140" s="48" t="s">
        <v>95</v>
      </c>
      <c r="C140" s="48" t="s">
        <v>30</v>
      </c>
      <c r="D140" s="48" t="s">
        <v>392</v>
      </c>
      <c r="E140" s="53" t="s">
        <v>43</v>
      </c>
      <c r="F140" s="48" t="s">
        <v>219</v>
      </c>
      <c r="G140" s="46" t="s">
        <v>393</v>
      </c>
      <c r="H140" s="67">
        <v>3491</v>
      </c>
      <c r="I140" s="49">
        <v>2021</v>
      </c>
      <c r="K140" s="48"/>
    </row>
    <row r="141" spans="1:11" ht="28.5" x14ac:dyDescent="0.2">
      <c r="A141" s="46" t="s">
        <v>204</v>
      </c>
      <c r="B141" s="46" t="s">
        <v>95</v>
      </c>
      <c r="C141" s="46" t="s">
        <v>31</v>
      </c>
      <c r="D141" s="46" t="s">
        <v>243</v>
      </c>
      <c r="E141" s="52" t="s">
        <v>43</v>
      </c>
      <c r="F141" s="46" t="s">
        <v>219</v>
      </c>
      <c r="G141" s="46" t="s">
        <v>1175</v>
      </c>
      <c r="H141" s="66">
        <v>101849</v>
      </c>
      <c r="I141" s="47">
        <v>2014</v>
      </c>
      <c r="J141" s="46"/>
      <c r="K141" s="48"/>
    </row>
    <row r="142" spans="1:11" ht="28.5" x14ac:dyDescent="0.2">
      <c r="A142" s="46" t="s">
        <v>204</v>
      </c>
      <c r="B142" s="46" t="s">
        <v>95</v>
      </c>
      <c r="C142" s="46" t="s">
        <v>31</v>
      </c>
      <c r="D142" s="46" t="s">
        <v>244</v>
      </c>
      <c r="E142" s="52" t="s">
        <v>43</v>
      </c>
      <c r="F142" s="46" t="s">
        <v>219</v>
      </c>
      <c r="G142" s="46" t="s">
        <v>1176</v>
      </c>
      <c r="H142" s="66">
        <v>96830</v>
      </c>
      <c r="I142" s="47">
        <v>2015</v>
      </c>
      <c r="J142" s="46"/>
      <c r="K142" s="48"/>
    </row>
    <row r="143" spans="1:11" x14ac:dyDescent="0.2">
      <c r="A143" s="48" t="s">
        <v>204</v>
      </c>
      <c r="B143" s="48" t="s">
        <v>95</v>
      </c>
      <c r="C143" s="48" t="s">
        <v>31</v>
      </c>
      <c r="D143" s="46" t="s">
        <v>1021</v>
      </c>
      <c r="E143" s="80" t="s">
        <v>43</v>
      </c>
      <c r="F143" s="53" t="s">
        <v>219</v>
      </c>
      <c r="G143" s="46" t="s">
        <v>1102</v>
      </c>
      <c r="H143" s="67">
        <v>3923</v>
      </c>
      <c r="I143" s="49">
        <v>2015</v>
      </c>
      <c r="K143" s="81"/>
    </row>
    <row r="144" spans="1:11" x14ac:dyDescent="0.2">
      <c r="A144" s="48" t="s">
        <v>204</v>
      </c>
      <c r="B144" s="48" t="s">
        <v>95</v>
      </c>
      <c r="C144" s="48" t="s">
        <v>31</v>
      </c>
      <c r="D144" s="46" t="s">
        <v>1022</v>
      </c>
      <c r="E144" s="80" t="s">
        <v>43</v>
      </c>
      <c r="F144" s="53" t="s">
        <v>219</v>
      </c>
      <c r="G144" s="46" t="s">
        <v>1101</v>
      </c>
      <c r="H144" s="67">
        <v>3553</v>
      </c>
      <c r="I144" s="49">
        <v>2015</v>
      </c>
      <c r="K144" s="81"/>
    </row>
    <row r="145" spans="1:11" x14ac:dyDescent="0.2">
      <c r="A145" s="48" t="s">
        <v>204</v>
      </c>
      <c r="B145" s="48" t="s">
        <v>95</v>
      </c>
      <c r="C145" s="48" t="s">
        <v>31</v>
      </c>
      <c r="D145" s="46" t="s">
        <v>1023</v>
      </c>
      <c r="E145" s="80" t="s">
        <v>43</v>
      </c>
      <c r="F145" s="53" t="s">
        <v>219</v>
      </c>
      <c r="G145" s="46" t="s">
        <v>1100</v>
      </c>
      <c r="H145" s="67">
        <v>3748</v>
      </c>
      <c r="I145" s="49">
        <v>2015</v>
      </c>
      <c r="K145" s="81"/>
    </row>
    <row r="146" spans="1:11" x14ac:dyDescent="0.2">
      <c r="A146" s="48" t="s">
        <v>204</v>
      </c>
      <c r="B146" s="48" t="s">
        <v>95</v>
      </c>
      <c r="C146" s="48" t="s">
        <v>31</v>
      </c>
      <c r="D146" s="46" t="s">
        <v>1024</v>
      </c>
      <c r="E146" s="80" t="s">
        <v>43</v>
      </c>
      <c r="F146" s="53" t="s">
        <v>219</v>
      </c>
      <c r="G146" s="46" t="s">
        <v>1099</v>
      </c>
      <c r="H146" s="67">
        <v>4165</v>
      </c>
      <c r="I146" s="49">
        <v>2015</v>
      </c>
      <c r="K146" s="81"/>
    </row>
    <row r="147" spans="1:11" x14ac:dyDescent="0.2">
      <c r="A147" s="48" t="s">
        <v>204</v>
      </c>
      <c r="B147" s="48" t="s">
        <v>95</v>
      </c>
      <c r="C147" s="48" t="s">
        <v>31</v>
      </c>
      <c r="D147" s="46" t="s">
        <v>1025</v>
      </c>
      <c r="E147" s="80" t="s">
        <v>43</v>
      </c>
      <c r="F147" s="53" t="s">
        <v>219</v>
      </c>
      <c r="G147" s="46" t="s">
        <v>1098</v>
      </c>
      <c r="H147" s="67">
        <v>3794</v>
      </c>
      <c r="I147" s="49">
        <v>2015</v>
      </c>
      <c r="K147" s="81"/>
    </row>
    <row r="148" spans="1:11" x14ac:dyDescent="0.2">
      <c r="A148" s="48" t="s">
        <v>204</v>
      </c>
      <c r="B148" s="48" t="s">
        <v>95</v>
      </c>
      <c r="C148" s="48" t="s">
        <v>31</v>
      </c>
      <c r="D148" s="46" t="s">
        <v>1026</v>
      </c>
      <c r="E148" s="80" t="s">
        <v>43</v>
      </c>
      <c r="F148" s="53" t="s">
        <v>219</v>
      </c>
      <c r="G148" s="46" t="s">
        <v>1097</v>
      </c>
      <c r="H148" s="67">
        <v>3090</v>
      </c>
      <c r="I148" s="49">
        <v>2015</v>
      </c>
      <c r="K148" s="81"/>
    </row>
    <row r="149" spans="1:11" x14ac:dyDescent="0.2">
      <c r="A149" s="48" t="s">
        <v>204</v>
      </c>
      <c r="B149" s="48" t="s">
        <v>95</v>
      </c>
      <c r="C149" s="48" t="s">
        <v>31</v>
      </c>
      <c r="D149" s="46" t="s">
        <v>1027</v>
      </c>
      <c r="E149" s="80" t="s">
        <v>43</v>
      </c>
      <c r="F149" s="53" t="s">
        <v>219</v>
      </c>
      <c r="G149" s="46" t="s">
        <v>1096</v>
      </c>
      <c r="H149" s="67">
        <v>3469</v>
      </c>
      <c r="I149" s="49">
        <v>2015</v>
      </c>
      <c r="K149" s="81"/>
    </row>
    <row r="150" spans="1:11" ht="28.5" x14ac:dyDescent="0.2">
      <c r="A150" s="48" t="s">
        <v>204</v>
      </c>
      <c r="B150" s="48" t="s">
        <v>95</v>
      </c>
      <c r="C150" s="48" t="s">
        <v>31</v>
      </c>
      <c r="D150" s="46" t="s">
        <v>1028</v>
      </c>
      <c r="E150" s="80" t="s">
        <v>43</v>
      </c>
      <c r="F150" s="53" t="s">
        <v>219</v>
      </c>
      <c r="G150" s="46" t="s">
        <v>1095</v>
      </c>
      <c r="H150" s="67">
        <v>3675</v>
      </c>
      <c r="I150" s="49">
        <v>2015</v>
      </c>
      <c r="K150" s="81"/>
    </row>
    <row r="151" spans="1:11" ht="28.5" x14ac:dyDescent="0.2">
      <c r="A151" s="48" t="s">
        <v>204</v>
      </c>
      <c r="B151" s="48" t="s">
        <v>95</v>
      </c>
      <c r="C151" s="48" t="s">
        <v>31</v>
      </c>
      <c r="D151" s="46" t="s">
        <v>1029</v>
      </c>
      <c r="E151" s="80" t="s">
        <v>43</v>
      </c>
      <c r="F151" s="53" t="s">
        <v>219</v>
      </c>
      <c r="G151" s="46" t="s">
        <v>1094</v>
      </c>
      <c r="H151" s="67">
        <v>4108</v>
      </c>
      <c r="I151" s="49">
        <v>2015</v>
      </c>
      <c r="K151" s="81"/>
    </row>
    <row r="152" spans="1:11" x14ac:dyDescent="0.2">
      <c r="A152" s="48" t="s">
        <v>204</v>
      </c>
      <c r="B152" s="48" t="s">
        <v>95</v>
      </c>
      <c r="C152" s="48" t="s">
        <v>31</v>
      </c>
      <c r="D152" s="46" t="s">
        <v>1030</v>
      </c>
      <c r="E152" s="80" t="s">
        <v>43</v>
      </c>
      <c r="F152" s="53" t="s">
        <v>219</v>
      </c>
      <c r="G152" s="46" t="s">
        <v>1093</v>
      </c>
      <c r="H152" s="67">
        <v>3792</v>
      </c>
      <c r="I152" s="49">
        <v>2015</v>
      </c>
      <c r="K152" s="81"/>
    </row>
    <row r="153" spans="1:11" ht="28.5" x14ac:dyDescent="0.2">
      <c r="A153" s="48" t="s">
        <v>204</v>
      </c>
      <c r="B153" s="48" t="s">
        <v>95</v>
      </c>
      <c r="C153" s="48" t="s">
        <v>31</v>
      </c>
      <c r="D153" s="46" t="s">
        <v>1031</v>
      </c>
      <c r="E153" s="80" t="s">
        <v>43</v>
      </c>
      <c r="F153" s="53" t="s">
        <v>219</v>
      </c>
      <c r="G153" s="46" t="s">
        <v>1092</v>
      </c>
      <c r="H153" s="67">
        <v>2852</v>
      </c>
      <c r="I153" s="49">
        <v>2015</v>
      </c>
      <c r="K153" s="81"/>
    </row>
    <row r="154" spans="1:11" ht="28.5" x14ac:dyDescent="0.2">
      <c r="A154" s="48" t="s">
        <v>204</v>
      </c>
      <c r="B154" s="48" t="s">
        <v>95</v>
      </c>
      <c r="C154" s="48" t="s">
        <v>31</v>
      </c>
      <c r="D154" s="46" t="s">
        <v>1032</v>
      </c>
      <c r="E154" s="80" t="s">
        <v>43</v>
      </c>
      <c r="F154" s="53" t="s">
        <v>219</v>
      </c>
      <c r="G154" s="46" t="s">
        <v>1091</v>
      </c>
      <c r="H154" s="67">
        <v>5554</v>
      </c>
      <c r="I154" s="49">
        <v>2015</v>
      </c>
      <c r="K154" s="81"/>
    </row>
    <row r="155" spans="1:11" ht="28.5" x14ac:dyDescent="0.2">
      <c r="A155" s="46" t="s">
        <v>204</v>
      </c>
      <c r="B155" s="46" t="s">
        <v>95</v>
      </c>
      <c r="C155" s="46" t="s">
        <v>31</v>
      </c>
      <c r="D155" s="46" t="s">
        <v>245</v>
      </c>
      <c r="E155" s="52" t="s">
        <v>43</v>
      </c>
      <c r="F155" s="46" t="s">
        <v>219</v>
      </c>
      <c r="G155" s="46" t="s">
        <v>1177</v>
      </c>
      <c r="H155" s="67">
        <v>91911</v>
      </c>
      <c r="I155" s="47">
        <v>2016</v>
      </c>
      <c r="J155" s="46"/>
      <c r="K155" s="48"/>
    </row>
    <row r="156" spans="1:11" x14ac:dyDescent="0.2">
      <c r="A156" s="48" t="s">
        <v>204</v>
      </c>
      <c r="B156" s="48" t="s">
        <v>95</v>
      </c>
      <c r="C156" s="48" t="s">
        <v>31</v>
      </c>
      <c r="D156" s="46" t="s">
        <v>1009</v>
      </c>
      <c r="E156" s="80" t="s">
        <v>43</v>
      </c>
      <c r="F156" s="53" t="s">
        <v>219</v>
      </c>
      <c r="G156" s="46" t="s">
        <v>1090</v>
      </c>
      <c r="H156" s="67">
        <v>5610</v>
      </c>
      <c r="I156" s="49">
        <v>2016</v>
      </c>
      <c r="K156" s="81"/>
    </row>
    <row r="157" spans="1:11" x14ac:dyDescent="0.2">
      <c r="A157" s="48" t="s">
        <v>204</v>
      </c>
      <c r="B157" s="48" t="s">
        <v>95</v>
      </c>
      <c r="C157" s="48" t="s">
        <v>31</v>
      </c>
      <c r="D157" s="46" t="s">
        <v>1010</v>
      </c>
      <c r="E157" s="80" t="s">
        <v>43</v>
      </c>
      <c r="F157" s="53" t="s">
        <v>219</v>
      </c>
      <c r="G157" s="46" t="s">
        <v>1089</v>
      </c>
      <c r="H157" s="67">
        <v>5454</v>
      </c>
      <c r="I157" s="49">
        <v>2016</v>
      </c>
      <c r="K157" s="81"/>
    </row>
    <row r="158" spans="1:11" x14ac:dyDescent="0.2">
      <c r="A158" s="48" t="s">
        <v>204</v>
      </c>
      <c r="B158" s="48" t="s">
        <v>95</v>
      </c>
      <c r="C158" s="48" t="s">
        <v>31</v>
      </c>
      <c r="D158" s="46" t="s">
        <v>1011</v>
      </c>
      <c r="E158" s="80" t="s">
        <v>43</v>
      </c>
      <c r="F158" s="53" t="s">
        <v>219</v>
      </c>
      <c r="G158" s="46" t="s">
        <v>1088</v>
      </c>
      <c r="H158" s="67">
        <v>3153</v>
      </c>
      <c r="I158" s="49">
        <v>2016</v>
      </c>
      <c r="K158" s="81"/>
    </row>
    <row r="159" spans="1:11" x14ac:dyDescent="0.2">
      <c r="A159" s="48" t="s">
        <v>204</v>
      </c>
      <c r="B159" s="48" t="s">
        <v>95</v>
      </c>
      <c r="C159" s="48" t="s">
        <v>31</v>
      </c>
      <c r="D159" s="46" t="s">
        <v>1012</v>
      </c>
      <c r="E159" s="80" t="s">
        <v>43</v>
      </c>
      <c r="F159" s="53" t="s">
        <v>219</v>
      </c>
      <c r="G159" s="46" t="s">
        <v>1087</v>
      </c>
      <c r="H159" s="67">
        <v>3061</v>
      </c>
      <c r="I159" s="49">
        <v>2016</v>
      </c>
      <c r="K159" s="81"/>
    </row>
    <row r="160" spans="1:11" x14ac:dyDescent="0.2">
      <c r="A160" s="48" t="s">
        <v>204</v>
      </c>
      <c r="B160" s="48" t="s">
        <v>95</v>
      </c>
      <c r="C160" s="48" t="s">
        <v>31</v>
      </c>
      <c r="D160" s="46" t="s">
        <v>1013</v>
      </c>
      <c r="E160" s="80" t="s">
        <v>43</v>
      </c>
      <c r="F160" s="53" t="s">
        <v>219</v>
      </c>
      <c r="G160" s="46" t="s">
        <v>1086</v>
      </c>
      <c r="H160" s="67">
        <v>3143</v>
      </c>
      <c r="I160" s="49">
        <v>2016</v>
      </c>
      <c r="K160" s="81"/>
    </row>
    <row r="161" spans="1:11" x14ac:dyDescent="0.2">
      <c r="A161" s="48" t="s">
        <v>204</v>
      </c>
      <c r="B161" s="48" t="s">
        <v>95</v>
      </c>
      <c r="C161" s="48" t="s">
        <v>31</v>
      </c>
      <c r="D161" s="46" t="s">
        <v>1014</v>
      </c>
      <c r="E161" s="80" t="s">
        <v>43</v>
      </c>
      <c r="F161" s="53" t="s">
        <v>219</v>
      </c>
      <c r="G161" s="46" t="s">
        <v>1085</v>
      </c>
      <c r="H161" s="67">
        <v>3120</v>
      </c>
      <c r="I161" s="49">
        <v>2016</v>
      </c>
      <c r="K161" s="81"/>
    </row>
    <row r="162" spans="1:11" x14ac:dyDescent="0.2">
      <c r="A162" s="48" t="s">
        <v>204</v>
      </c>
      <c r="B162" s="48" t="s">
        <v>95</v>
      </c>
      <c r="C162" s="48" t="s">
        <v>31</v>
      </c>
      <c r="D162" s="46" t="s">
        <v>1015</v>
      </c>
      <c r="E162" s="80" t="s">
        <v>43</v>
      </c>
      <c r="F162" s="53" t="s">
        <v>219</v>
      </c>
      <c r="G162" s="46" t="s">
        <v>1084</v>
      </c>
      <c r="H162" s="67">
        <v>3330</v>
      </c>
      <c r="I162" s="49">
        <v>2016</v>
      </c>
      <c r="K162" s="81"/>
    </row>
    <row r="163" spans="1:11" x14ac:dyDescent="0.2">
      <c r="A163" s="48" t="s">
        <v>204</v>
      </c>
      <c r="B163" s="48" t="s">
        <v>95</v>
      </c>
      <c r="C163" s="48" t="s">
        <v>31</v>
      </c>
      <c r="D163" s="46" t="s">
        <v>1016</v>
      </c>
      <c r="E163" s="80" t="s">
        <v>43</v>
      </c>
      <c r="F163" s="53" t="s">
        <v>219</v>
      </c>
      <c r="G163" s="46" t="s">
        <v>1083</v>
      </c>
      <c r="H163" s="67">
        <v>3114</v>
      </c>
      <c r="I163" s="49">
        <v>2016</v>
      </c>
      <c r="K163" s="81"/>
    </row>
    <row r="164" spans="1:11" ht="42.75" x14ac:dyDescent="0.2">
      <c r="A164" s="48" t="s">
        <v>204</v>
      </c>
      <c r="B164" s="48" t="s">
        <v>95</v>
      </c>
      <c r="C164" s="48" t="s">
        <v>31</v>
      </c>
      <c r="D164" s="46" t="s">
        <v>1017</v>
      </c>
      <c r="E164" s="80" t="s">
        <v>43</v>
      </c>
      <c r="F164" s="53" t="s">
        <v>219</v>
      </c>
      <c r="G164" s="46" t="s">
        <v>1082</v>
      </c>
      <c r="H164" s="67">
        <v>2816</v>
      </c>
      <c r="I164" s="49">
        <v>2016</v>
      </c>
      <c r="K164" s="81"/>
    </row>
    <row r="165" spans="1:11" x14ac:dyDescent="0.2">
      <c r="A165" s="48" t="s">
        <v>204</v>
      </c>
      <c r="B165" s="48" t="s">
        <v>95</v>
      </c>
      <c r="C165" s="48" t="s">
        <v>31</v>
      </c>
      <c r="D165" s="46" t="s">
        <v>1018</v>
      </c>
      <c r="E165" s="80" t="s">
        <v>43</v>
      </c>
      <c r="F165" s="53" t="s">
        <v>219</v>
      </c>
      <c r="G165" s="46" t="s">
        <v>1081</v>
      </c>
      <c r="H165" s="67">
        <v>2878</v>
      </c>
      <c r="I165" s="49">
        <v>2016</v>
      </c>
      <c r="K165" s="81"/>
    </row>
    <row r="166" spans="1:11" ht="42.75" x14ac:dyDescent="0.2">
      <c r="A166" s="48" t="s">
        <v>204</v>
      </c>
      <c r="B166" s="48" t="s">
        <v>95</v>
      </c>
      <c r="C166" s="48" t="s">
        <v>31</v>
      </c>
      <c r="D166" s="46" t="s">
        <v>1019</v>
      </c>
      <c r="E166" s="80" t="s">
        <v>43</v>
      </c>
      <c r="F166" s="53" t="s">
        <v>219</v>
      </c>
      <c r="G166" s="46" t="s">
        <v>1080</v>
      </c>
      <c r="H166" s="67">
        <v>3524</v>
      </c>
      <c r="I166" s="49">
        <v>2016</v>
      </c>
      <c r="K166" s="81"/>
    </row>
    <row r="167" spans="1:11" ht="28.5" x14ac:dyDescent="0.2">
      <c r="A167" s="48" t="s">
        <v>204</v>
      </c>
      <c r="B167" s="48" t="s">
        <v>95</v>
      </c>
      <c r="C167" s="48" t="s">
        <v>31</v>
      </c>
      <c r="D167" s="46" t="s">
        <v>1020</v>
      </c>
      <c r="E167" s="80" t="s">
        <v>43</v>
      </c>
      <c r="F167" s="53" t="s">
        <v>219</v>
      </c>
      <c r="G167" s="46" t="s">
        <v>1079</v>
      </c>
      <c r="H167" s="67">
        <v>3324</v>
      </c>
      <c r="I167" s="49">
        <v>2016</v>
      </c>
      <c r="K167" s="81"/>
    </row>
    <row r="168" spans="1:11" ht="28.5" x14ac:dyDescent="0.2">
      <c r="A168" s="46" t="s">
        <v>204</v>
      </c>
      <c r="B168" s="46" t="s">
        <v>95</v>
      </c>
      <c r="C168" s="46" t="s">
        <v>31</v>
      </c>
      <c r="D168" s="46" t="s">
        <v>246</v>
      </c>
      <c r="E168" s="52" t="s">
        <v>43</v>
      </c>
      <c r="F168" s="46" t="s">
        <v>219</v>
      </c>
      <c r="G168" s="46" t="s">
        <v>1178</v>
      </c>
      <c r="H168" s="66">
        <v>58718</v>
      </c>
      <c r="I168" s="47">
        <v>2017</v>
      </c>
      <c r="J168" s="46"/>
      <c r="K168" s="48"/>
    </row>
    <row r="169" spans="1:11" x14ac:dyDescent="0.2">
      <c r="A169" s="48" t="s">
        <v>204</v>
      </c>
      <c r="B169" s="48" t="s">
        <v>95</v>
      </c>
      <c r="C169" s="48" t="s">
        <v>31</v>
      </c>
      <c r="D169" s="46" t="s">
        <v>997</v>
      </c>
      <c r="E169" s="80" t="s">
        <v>43</v>
      </c>
      <c r="F169" s="53" t="s">
        <v>219</v>
      </c>
      <c r="G169" s="46" t="s">
        <v>1078</v>
      </c>
      <c r="H169" s="67">
        <v>3107</v>
      </c>
      <c r="I169" s="49">
        <v>2017</v>
      </c>
      <c r="K169" s="81"/>
    </row>
    <row r="170" spans="1:11" x14ac:dyDescent="0.2">
      <c r="A170" s="48" t="s">
        <v>204</v>
      </c>
      <c r="B170" s="48" t="s">
        <v>95</v>
      </c>
      <c r="C170" s="48" t="s">
        <v>31</v>
      </c>
      <c r="D170" s="46" t="s">
        <v>998</v>
      </c>
      <c r="E170" s="80" t="s">
        <v>43</v>
      </c>
      <c r="F170" s="53" t="s">
        <v>219</v>
      </c>
      <c r="G170" s="46" t="s">
        <v>1077</v>
      </c>
      <c r="H170" s="67">
        <v>3122</v>
      </c>
      <c r="I170" s="49">
        <v>2017</v>
      </c>
      <c r="K170" s="81"/>
    </row>
    <row r="171" spans="1:11" ht="28.5" x14ac:dyDescent="0.2">
      <c r="A171" s="48" t="s">
        <v>204</v>
      </c>
      <c r="B171" s="48" t="s">
        <v>95</v>
      </c>
      <c r="C171" s="48" t="s">
        <v>31</v>
      </c>
      <c r="D171" s="46" t="s">
        <v>999</v>
      </c>
      <c r="E171" s="80" t="s">
        <v>43</v>
      </c>
      <c r="F171" s="53" t="s">
        <v>219</v>
      </c>
      <c r="G171" s="46" t="s">
        <v>1076</v>
      </c>
      <c r="H171" s="67">
        <v>3209</v>
      </c>
      <c r="I171" s="49">
        <v>2017</v>
      </c>
      <c r="K171" s="81"/>
    </row>
    <row r="172" spans="1:11" x14ac:dyDescent="0.2">
      <c r="A172" s="48" t="s">
        <v>204</v>
      </c>
      <c r="B172" s="48" t="s">
        <v>95</v>
      </c>
      <c r="C172" s="48" t="s">
        <v>31</v>
      </c>
      <c r="D172" s="46" t="s">
        <v>1000</v>
      </c>
      <c r="E172" s="80" t="s">
        <v>43</v>
      </c>
      <c r="F172" s="53" t="s">
        <v>219</v>
      </c>
      <c r="G172" s="46" t="s">
        <v>1075</v>
      </c>
      <c r="H172" s="67">
        <v>2950</v>
      </c>
      <c r="I172" s="49">
        <v>2017</v>
      </c>
      <c r="K172" s="81"/>
    </row>
    <row r="173" spans="1:11" x14ac:dyDescent="0.2">
      <c r="A173" s="48" t="s">
        <v>204</v>
      </c>
      <c r="B173" s="48" t="s">
        <v>95</v>
      </c>
      <c r="C173" s="48" t="s">
        <v>31</v>
      </c>
      <c r="D173" s="46" t="s">
        <v>1001</v>
      </c>
      <c r="E173" s="80" t="s">
        <v>43</v>
      </c>
      <c r="F173" s="53" t="s">
        <v>219</v>
      </c>
      <c r="G173" s="46" t="s">
        <v>1074</v>
      </c>
      <c r="H173" s="67">
        <v>3185</v>
      </c>
      <c r="I173" s="49">
        <v>2017</v>
      </c>
      <c r="K173" s="81"/>
    </row>
    <row r="174" spans="1:11" x14ac:dyDescent="0.2">
      <c r="A174" s="48" t="s">
        <v>204</v>
      </c>
      <c r="B174" s="48" t="s">
        <v>95</v>
      </c>
      <c r="C174" s="48" t="s">
        <v>31</v>
      </c>
      <c r="D174" s="46" t="s">
        <v>1002</v>
      </c>
      <c r="E174" s="80" t="s">
        <v>43</v>
      </c>
      <c r="F174" s="53" t="s">
        <v>219</v>
      </c>
      <c r="G174" s="46" t="s">
        <v>1073</v>
      </c>
      <c r="H174" s="67">
        <v>2981</v>
      </c>
      <c r="I174" s="49">
        <v>2017</v>
      </c>
      <c r="K174" s="81"/>
    </row>
    <row r="175" spans="1:11" x14ac:dyDescent="0.2">
      <c r="A175" s="48" t="s">
        <v>204</v>
      </c>
      <c r="B175" s="48" t="s">
        <v>95</v>
      </c>
      <c r="C175" s="48" t="s">
        <v>31</v>
      </c>
      <c r="D175" s="46" t="s">
        <v>1003</v>
      </c>
      <c r="E175" s="80" t="s">
        <v>43</v>
      </c>
      <c r="F175" s="53" t="s">
        <v>219</v>
      </c>
      <c r="G175" s="46" t="s">
        <v>1072</v>
      </c>
      <c r="H175" s="67">
        <v>3148</v>
      </c>
      <c r="I175" s="49">
        <v>2017</v>
      </c>
      <c r="K175" s="81"/>
    </row>
    <row r="176" spans="1:11" x14ac:dyDescent="0.2">
      <c r="A176" s="48" t="s">
        <v>204</v>
      </c>
      <c r="B176" s="48" t="s">
        <v>95</v>
      </c>
      <c r="C176" s="48" t="s">
        <v>31</v>
      </c>
      <c r="D176" s="46" t="s">
        <v>1004</v>
      </c>
      <c r="E176" s="80" t="s">
        <v>43</v>
      </c>
      <c r="F176" s="53" t="s">
        <v>219</v>
      </c>
      <c r="G176" s="46" t="s">
        <v>1071</v>
      </c>
      <c r="H176" s="67">
        <v>3231</v>
      </c>
      <c r="I176" s="49">
        <v>2017</v>
      </c>
      <c r="K176" s="81"/>
    </row>
    <row r="177" spans="1:11" ht="28.5" x14ac:dyDescent="0.2">
      <c r="A177" s="48" t="s">
        <v>204</v>
      </c>
      <c r="B177" s="48" t="s">
        <v>95</v>
      </c>
      <c r="C177" s="48" t="s">
        <v>31</v>
      </c>
      <c r="D177" s="46" t="s">
        <v>1005</v>
      </c>
      <c r="E177" s="80" t="s">
        <v>43</v>
      </c>
      <c r="F177" s="53" t="s">
        <v>219</v>
      </c>
      <c r="G177" s="46" t="s">
        <v>1070</v>
      </c>
      <c r="H177" s="67">
        <v>5020</v>
      </c>
      <c r="I177" s="49">
        <v>2017</v>
      </c>
      <c r="K177" s="81"/>
    </row>
    <row r="178" spans="1:11" x14ac:dyDescent="0.2">
      <c r="A178" s="48" t="s">
        <v>204</v>
      </c>
      <c r="B178" s="48" t="s">
        <v>95</v>
      </c>
      <c r="C178" s="48" t="s">
        <v>31</v>
      </c>
      <c r="D178" s="46" t="s">
        <v>1006</v>
      </c>
      <c r="E178" s="80" t="s">
        <v>43</v>
      </c>
      <c r="F178" s="53" t="s">
        <v>219</v>
      </c>
      <c r="G178" s="46" t="s">
        <v>1069</v>
      </c>
      <c r="H178" s="67">
        <v>4451</v>
      </c>
      <c r="I178" s="49">
        <v>2017</v>
      </c>
      <c r="K178" s="81"/>
    </row>
    <row r="179" spans="1:11" x14ac:dyDescent="0.2">
      <c r="A179" s="48" t="s">
        <v>204</v>
      </c>
      <c r="B179" s="48" t="s">
        <v>95</v>
      </c>
      <c r="C179" s="48" t="s">
        <v>31</v>
      </c>
      <c r="D179" s="46" t="s">
        <v>1007</v>
      </c>
      <c r="E179" s="80" t="s">
        <v>43</v>
      </c>
      <c r="F179" s="53" t="s">
        <v>219</v>
      </c>
      <c r="G179" s="46" t="s">
        <v>1068</v>
      </c>
      <c r="H179" s="67">
        <v>4475</v>
      </c>
      <c r="I179" s="49">
        <v>2017</v>
      </c>
      <c r="K179" s="81"/>
    </row>
    <row r="180" spans="1:11" ht="28.5" x14ac:dyDescent="0.2">
      <c r="A180" s="48" t="s">
        <v>204</v>
      </c>
      <c r="B180" s="48" t="s">
        <v>95</v>
      </c>
      <c r="C180" s="48" t="s">
        <v>31</v>
      </c>
      <c r="D180" s="46" t="s">
        <v>1008</v>
      </c>
      <c r="E180" s="80" t="s">
        <v>43</v>
      </c>
      <c r="F180" s="53" t="s">
        <v>219</v>
      </c>
      <c r="G180" s="46" t="s">
        <v>1067</v>
      </c>
      <c r="H180" s="67">
        <v>5866</v>
      </c>
      <c r="I180" s="49">
        <v>2017</v>
      </c>
      <c r="K180" s="81"/>
    </row>
    <row r="181" spans="1:11" ht="28.5" x14ac:dyDescent="0.2">
      <c r="A181" s="46" t="s">
        <v>204</v>
      </c>
      <c r="B181" s="46" t="s">
        <v>95</v>
      </c>
      <c r="C181" s="46" t="s">
        <v>31</v>
      </c>
      <c r="D181" s="46" t="s">
        <v>247</v>
      </c>
      <c r="E181" s="52" t="s">
        <v>43</v>
      </c>
      <c r="F181" s="46" t="s">
        <v>219</v>
      </c>
      <c r="G181" s="46" t="s">
        <v>1179</v>
      </c>
      <c r="H181" s="66">
        <v>44145</v>
      </c>
      <c r="I181" s="47">
        <v>2018</v>
      </c>
      <c r="J181" s="46"/>
      <c r="K181" s="48"/>
    </row>
    <row r="182" spans="1:11" x14ac:dyDescent="0.2">
      <c r="A182" s="48" t="s">
        <v>204</v>
      </c>
      <c r="B182" s="48" t="s">
        <v>95</v>
      </c>
      <c r="C182" s="48" t="s">
        <v>31</v>
      </c>
      <c r="D182" s="46" t="s">
        <v>985</v>
      </c>
      <c r="E182" s="80" t="s">
        <v>43</v>
      </c>
      <c r="F182" s="53" t="s">
        <v>219</v>
      </c>
      <c r="G182" s="46" t="s">
        <v>1066</v>
      </c>
      <c r="H182" s="67">
        <v>4505</v>
      </c>
      <c r="I182" s="49">
        <v>2018</v>
      </c>
      <c r="K182" s="81"/>
    </row>
    <row r="183" spans="1:11" x14ac:dyDescent="0.2">
      <c r="A183" s="48" t="s">
        <v>204</v>
      </c>
      <c r="B183" s="48" t="s">
        <v>95</v>
      </c>
      <c r="C183" s="48" t="s">
        <v>31</v>
      </c>
      <c r="D183" s="46" t="s">
        <v>986</v>
      </c>
      <c r="E183" s="80" t="s">
        <v>43</v>
      </c>
      <c r="F183" s="53" t="s">
        <v>219</v>
      </c>
      <c r="G183" s="46" t="s">
        <v>1065</v>
      </c>
      <c r="H183" s="67">
        <v>4539</v>
      </c>
      <c r="I183" s="49">
        <v>2018</v>
      </c>
      <c r="K183" s="81"/>
    </row>
    <row r="184" spans="1:11" ht="28.5" x14ac:dyDescent="0.2">
      <c r="A184" s="48" t="s">
        <v>204</v>
      </c>
      <c r="B184" s="48" t="s">
        <v>95</v>
      </c>
      <c r="C184" s="48" t="s">
        <v>31</v>
      </c>
      <c r="D184" s="46" t="s">
        <v>987</v>
      </c>
      <c r="E184" s="80" t="s">
        <v>43</v>
      </c>
      <c r="F184" s="53" t="s">
        <v>219</v>
      </c>
      <c r="G184" s="46" t="s">
        <v>1064</v>
      </c>
      <c r="H184" s="67">
        <v>4881</v>
      </c>
      <c r="I184" s="49">
        <v>2018</v>
      </c>
      <c r="K184" s="81"/>
    </row>
    <row r="185" spans="1:11" x14ac:dyDescent="0.2">
      <c r="A185" s="48" t="s">
        <v>204</v>
      </c>
      <c r="B185" s="48" t="s">
        <v>95</v>
      </c>
      <c r="C185" s="48" t="s">
        <v>31</v>
      </c>
      <c r="D185" s="46" t="s">
        <v>988</v>
      </c>
      <c r="E185" s="80" t="s">
        <v>43</v>
      </c>
      <c r="F185" s="53" t="s">
        <v>219</v>
      </c>
      <c r="G185" s="46" t="s">
        <v>1063</v>
      </c>
      <c r="H185" s="67">
        <v>4767</v>
      </c>
      <c r="I185" s="49">
        <v>2018</v>
      </c>
      <c r="K185" s="81"/>
    </row>
    <row r="186" spans="1:11" ht="45.75" customHeight="1" x14ac:dyDescent="0.2">
      <c r="A186" s="48" t="s">
        <v>204</v>
      </c>
      <c r="B186" s="48" t="s">
        <v>95</v>
      </c>
      <c r="C186" s="48" t="s">
        <v>31</v>
      </c>
      <c r="D186" s="46" t="s">
        <v>989</v>
      </c>
      <c r="E186" s="80" t="s">
        <v>43</v>
      </c>
      <c r="F186" s="53" t="s">
        <v>219</v>
      </c>
      <c r="G186" s="46" t="s">
        <v>1062</v>
      </c>
      <c r="H186" s="67">
        <v>4676</v>
      </c>
      <c r="I186" s="49">
        <v>2018</v>
      </c>
      <c r="K186" s="81"/>
    </row>
    <row r="187" spans="1:11" ht="28.5" x14ac:dyDescent="0.2">
      <c r="A187" s="48" t="s">
        <v>204</v>
      </c>
      <c r="B187" s="48" t="s">
        <v>95</v>
      </c>
      <c r="C187" s="48" t="s">
        <v>31</v>
      </c>
      <c r="D187" s="46" t="s">
        <v>990</v>
      </c>
      <c r="E187" s="80" t="s">
        <v>43</v>
      </c>
      <c r="F187" s="53" t="s">
        <v>219</v>
      </c>
      <c r="G187" s="46" t="s">
        <v>1061</v>
      </c>
      <c r="H187" s="67">
        <v>4834</v>
      </c>
      <c r="I187" s="49">
        <v>2018</v>
      </c>
      <c r="K187" s="81"/>
    </row>
    <row r="188" spans="1:11" x14ac:dyDescent="0.2">
      <c r="A188" s="48" t="s">
        <v>204</v>
      </c>
      <c r="B188" s="48" t="s">
        <v>95</v>
      </c>
      <c r="C188" s="48" t="s">
        <v>31</v>
      </c>
      <c r="D188" s="46" t="s">
        <v>991</v>
      </c>
      <c r="E188" s="80" t="s">
        <v>43</v>
      </c>
      <c r="F188" s="53" t="s">
        <v>219</v>
      </c>
      <c r="G188" s="46" t="s">
        <v>1060</v>
      </c>
      <c r="H188" s="67">
        <v>4689</v>
      </c>
      <c r="I188" s="49">
        <v>2018</v>
      </c>
      <c r="K188" s="81"/>
    </row>
    <row r="189" spans="1:11" x14ac:dyDescent="0.2">
      <c r="A189" s="48" t="s">
        <v>204</v>
      </c>
      <c r="B189" s="48" t="s">
        <v>95</v>
      </c>
      <c r="C189" s="48" t="s">
        <v>31</v>
      </c>
      <c r="D189" s="46" t="s">
        <v>992</v>
      </c>
      <c r="E189" s="80" t="s">
        <v>43</v>
      </c>
      <c r="F189" s="53" t="s">
        <v>219</v>
      </c>
      <c r="G189" s="46" t="s">
        <v>1059</v>
      </c>
      <c r="H189" s="67">
        <v>4630</v>
      </c>
      <c r="I189" s="49">
        <v>2018</v>
      </c>
      <c r="K189" s="81"/>
    </row>
    <row r="190" spans="1:11" ht="28.5" x14ac:dyDescent="0.2">
      <c r="A190" s="48" t="s">
        <v>204</v>
      </c>
      <c r="B190" s="48" t="s">
        <v>95</v>
      </c>
      <c r="C190" s="48" t="s">
        <v>31</v>
      </c>
      <c r="D190" s="46" t="s">
        <v>993</v>
      </c>
      <c r="E190" s="80" t="s">
        <v>43</v>
      </c>
      <c r="F190" s="53" t="s">
        <v>219</v>
      </c>
      <c r="G190" s="46" t="s">
        <v>1058</v>
      </c>
      <c r="H190" s="67">
        <v>4013</v>
      </c>
      <c r="I190" s="49">
        <v>2018</v>
      </c>
      <c r="K190" s="81"/>
    </row>
    <row r="191" spans="1:11" x14ac:dyDescent="0.2">
      <c r="A191" s="48" t="s">
        <v>204</v>
      </c>
      <c r="B191" s="48" t="s">
        <v>95</v>
      </c>
      <c r="C191" s="48" t="s">
        <v>31</v>
      </c>
      <c r="D191" s="46" t="s">
        <v>994</v>
      </c>
      <c r="E191" s="80" t="s">
        <v>43</v>
      </c>
      <c r="F191" s="53" t="s">
        <v>219</v>
      </c>
      <c r="G191" s="46" t="s">
        <v>1057</v>
      </c>
      <c r="H191" s="67">
        <v>4219</v>
      </c>
      <c r="I191" s="49">
        <v>2018</v>
      </c>
      <c r="K191" s="81"/>
    </row>
    <row r="192" spans="1:11" x14ac:dyDescent="0.2">
      <c r="A192" s="48" t="s">
        <v>204</v>
      </c>
      <c r="B192" s="48" t="s">
        <v>95</v>
      </c>
      <c r="C192" s="48" t="s">
        <v>31</v>
      </c>
      <c r="D192" s="46" t="s">
        <v>995</v>
      </c>
      <c r="E192" s="80" t="s">
        <v>43</v>
      </c>
      <c r="F192" s="53" t="s">
        <v>219</v>
      </c>
      <c r="G192" s="46" t="s">
        <v>1056</v>
      </c>
      <c r="H192" s="67">
        <v>4201</v>
      </c>
      <c r="I192" s="49">
        <v>2018</v>
      </c>
      <c r="K192" s="81"/>
    </row>
    <row r="193" spans="1:11" ht="28.5" x14ac:dyDescent="0.2">
      <c r="A193" s="48" t="s">
        <v>204</v>
      </c>
      <c r="B193" s="48" t="s">
        <v>95</v>
      </c>
      <c r="C193" s="48" t="s">
        <v>31</v>
      </c>
      <c r="D193" s="46" t="s">
        <v>996</v>
      </c>
      <c r="E193" s="80" t="s">
        <v>43</v>
      </c>
      <c r="F193" s="53" t="s">
        <v>219</v>
      </c>
      <c r="G193" s="46" t="s">
        <v>1055</v>
      </c>
      <c r="H193" s="67">
        <v>4402</v>
      </c>
      <c r="I193" s="49">
        <v>2018</v>
      </c>
      <c r="K193" s="81"/>
    </row>
    <row r="194" spans="1:11" ht="28.5" x14ac:dyDescent="0.2">
      <c r="A194" s="46" t="s">
        <v>204</v>
      </c>
      <c r="B194" s="46" t="s">
        <v>95</v>
      </c>
      <c r="C194" s="46" t="s">
        <v>31</v>
      </c>
      <c r="D194" s="46" t="s">
        <v>248</v>
      </c>
      <c r="E194" s="52" t="s">
        <v>43</v>
      </c>
      <c r="F194" s="46" t="s">
        <v>219</v>
      </c>
      <c r="G194" s="46" t="s">
        <v>1180</v>
      </c>
      <c r="H194" s="66">
        <v>54452</v>
      </c>
      <c r="I194" s="47">
        <v>2019</v>
      </c>
      <c r="J194" s="46"/>
      <c r="K194" s="48"/>
    </row>
    <row r="195" spans="1:11" x14ac:dyDescent="0.2">
      <c r="A195" s="48" t="s">
        <v>204</v>
      </c>
      <c r="B195" s="48" t="s">
        <v>95</v>
      </c>
      <c r="C195" s="48" t="s">
        <v>31</v>
      </c>
      <c r="D195" s="46" t="s">
        <v>973</v>
      </c>
      <c r="E195" s="80" t="s">
        <v>43</v>
      </c>
      <c r="F195" s="53" t="s">
        <v>219</v>
      </c>
      <c r="G195" s="46" t="s">
        <v>1054</v>
      </c>
      <c r="H195" s="67">
        <v>4444</v>
      </c>
      <c r="I195" s="49">
        <v>2019</v>
      </c>
      <c r="K195" s="81"/>
    </row>
    <row r="196" spans="1:11" x14ac:dyDescent="0.2">
      <c r="A196" s="48" t="s">
        <v>204</v>
      </c>
      <c r="B196" s="48" t="s">
        <v>95</v>
      </c>
      <c r="C196" s="48" t="s">
        <v>31</v>
      </c>
      <c r="D196" s="46" t="s">
        <v>974</v>
      </c>
      <c r="E196" s="80" t="s">
        <v>43</v>
      </c>
      <c r="F196" s="53" t="s">
        <v>219</v>
      </c>
      <c r="G196" s="46" t="s">
        <v>1053</v>
      </c>
      <c r="H196" s="67">
        <v>4363</v>
      </c>
      <c r="I196" s="49">
        <v>2019</v>
      </c>
      <c r="K196" s="81"/>
    </row>
    <row r="197" spans="1:11" ht="28.5" x14ac:dyDescent="0.2">
      <c r="A197" s="48" t="s">
        <v>204</v>
      </c>
      <c r="B197" s="48" t="s">
        <v>95</v>
      </c>
      <c r="C197" s="48" t="s">
        <v>31</v>
      </c>
      <c r="D197" s="46" t="s">
        <v>975</v>
      </c>
      <c r="E197" s="80" t="s">
        <v>43</v>
      </c>
      <c r="F197" s="53" t="s">
        <v>219</v>
      </c>
      <c r="G197" s="46" t="s">
        <v>1052</v>
      </c>
      <c r="H197" s="67">
        <v>4349</v>
      </c>
      <c r="I197" s="49">
        <v>2019</v>
      </c>
      <c r="K197" s="81"/>
    </row>
    <row r="198" spans="1:11" x14ac:dyDescent="0.2">
      <c r="A198" s="48" t="s">
        <v>204</v>
      </c>
      <c r="B198" s="48" t="s">
        <v>95</v>
      </c>
      <c r="C198" s="48" t="s">
        <v>31</v>
      </c>
      <c r="D198" s="46" t="s">
        <v>976</v>
      </c>
      <c r="E198" s="80" t="s">
        <v>43</v>
      </c>
      <c r="F198" s="53" t="s">
        <v>219</v>
      </c>
      <c r="G198" s="46" t="s">
        <v>1051</v>
      </c>
      <c r="H198" s="67">
        <v>4507</v>
      </c>
      <c r="I198" s="49">
        <v>2019</v>
      </c>
      <c r="K198" s="81"/>
    </row>
    <row r="199" spans="1:11" x14ac:dyDescent="0.2">
      <c r="A199" s="48" t="s">
        <v>204</v>
      </c>
      <c r="B199" s="48" t="s">
        <v>95</v>
      </c>
      <c r="C199" s="48" t="s">
        <v>31</v>
      </c>
      <c r="D199" s="46" t="s">
        <v>977</v>
      </c>
      <c r="E199" s="80" t="s">
        <v>43</v>
      </c>
      <c r="F199" s="53" t="s">
        <v>219</v>
      </c>
      <c r="G199" s="46" t="s">
        <v>1050</v>
      </c>
      <c r="H199" s="67">
        <v>4275</v>
      </c>
      <c r="I199" s="49">
        <v>2019</v>
      </c>
      <c r="K199" s="81"/>
    </row>
    <row r="200" spans="1:11" ht="28.5" x14ac:dyDescent="0.2">
      <c r="A200" s="48" t="s">
        <v>204</v>
      </c>
      <c r="B200" s="48" t="s">
        <v>95</v>
      </c>
      <c r="C200" s="48" t="s">
        <v>31</v>
      </c>
      <c r="D200" s="46" t="s">
        <v>978</v>
      </c>
      <c r="E200" s="80" t="s">
        <v>43</v>
      </c>
      <c r="F200" s="53" t="s">
        <v>219</v>
      </c>
      <c r="G200" s="46" t="s">
        <v>1049</v>
      </c>
      <c r="H200" s="67">
        <v>4561</v>
      </c>
      <c r="I200" s="49">
        <v>2019</v>
      </c>
      <c r="K200" s="81"/>
    </row>
    <row r="201" spans="1:11" x14ac:dyDescent="0.2">
      <c r="A201" s="48" t="s">
        <v>204</v>
      </c>
      <c r="B201" s="48" t="s">
        <v>95</v>
      </c>
      <c r="C201" s="48" t="s">
        <v>31</v>
      </c>
      <c r="D201" s="46" t="s">
        <v>979</v>
      </c>
      <c r="E201" s="80" t="s">
        <v>43</v>
      </c>
      <c r="F201" s="53" t="s">
        <v>219</v>
      </c>
      <c r="G201" s="46" t="s">
        <v>1048</v>
      </c>
      <c r="H201" s="67">
        <v>4521</v>
      </c>
      <c r="I201" s="49">
        <v>2019</v>
      </c>
      <c r="K201" s="81"/>
    </row>
    <row r="202" spans="1:11" x14ac:dyDescent="0.2">
      <c r="A202" s="48" t="s">
        <v>204</v>
      </c>
      <c r="B202" s="48" t="s">
        <v>95</v>
      </c>
      <c r="C202" s="48" t="s">
        <v>31</v>
      </c>
      <c r="D202" s="46" t="s">
        <v>980</v>
      </c>
      <c r="E202" s="80" t="s">
        <v>43</v>
      </c>
      <c r="F202" s="53" t="s">
        <v>219</v>
      </c>
      <c r="G202" s="46" t="s">
        <v>1047</v>
      </c>
      <c r="H202" s="67">
        <v>4234</v>
      </c>
      <c r="I202" s="49">
        <v>2019</v>
      </c>
      <c r="K202" s="81"/>
    </row>
    <row r="203" spans="1:11" ht="28.5" x14ac:dyDescent="0.2">
      <c r="A203" s="48" t="s">
        <v>204</v>
      </c>
      <c r="B203" s="48" t="s">
        <v>95</v>
      </c>
      <c r="C203" s="48" t="s">
        <v>31</v>
      </c>
      <c r="D203" s="46" t="s">
        <v>981</v>
      </c>
      <c r="E203" s="80" t="s">
        <v>43</v>
      </c>
      <c r="F203" s="53" t="s">
        <v>219</v>
      </c>
      <c r="G203" s="46" t="s">
        <v>1046</v>
      </c>
      <c r="H203" s="67">
        <v>5101</v>
      </c>
      <c r="I203" s="49">
        <v>2019</v>
      </c>
      <c r="K203" s="81"/>
    </row>
    <row r="204" spans="1:11" x14ac:dyDescent="0.2">
      <c r="A204" s="48" t="s">
        <v>204</v>
      </c>
      <c r="B204" s="48" t="s">
        <v>95</v>
      </c>
      <c r="C204" s="48" t="s">
        <v>31</v>
      </c>
      <c r="D204" s="46" t="s">
        <v>982</v>
      </c>
      <c r="E204" s="80" t="s">
        <v>43</v>
      </c>
      <c r="F204" s="53" t="s">
        <v>219</v>
      </c>
      <c r="G204" s="46" t="s">
        <v>1045</v>
      </c>
      <c r="H204" s="67">
        <v>4999</v>
      </c>
      <c r="I204" s="49">
        <v>2019</v>
      </c>
      <c r="K204" s="81"/>
    </row>
    <row r="205" spans="1:11" x14ac:dyDescent="0.2">
      <c r="A205" s="48" t="s">
        <v>204</v>
      </c>
      <c r="B205" s="48" t="s">
        <v>95</v>
      </c>
      <c r="C205" s="48" t="s">
        <v>31</v>
      </c>
      <c r="D205" s="46" t="s">
        <v>983</v>
      </c>
      <c r="E205" s="80" t="s">
        <v>43</v>
      </c>
      <c r="F205" s="53" t="s">
        <v>219</v>
      </c>
      <c r="G205" s="46" t="s">
        <v>1044</v>
      </c>
      <c r="H205" s="67">
        <v>5088</v>
      </c>
      <c r="I205" s="49">
        <v>2019</v>
      </c>
      <c r="K205" s="81"/>
    </row>
    <row r="206" spans="1:11" ht="28.5" x14ac:dyDescent="0.2">
      <c r="A206" s="48" t="s">
        <v>204</v>
      </c>
      <c r="B206" s="48" t="s">
        <v>95</v>
      </c>
      <c r="C206" s="48" t="s">
        <v>31</v>
      </c>
      <c r="D206" s="46" t="s">
        <v>984</v>
      </c>
      <c r="E206" s="80" t="s">
        <v>43</v>
      </c>
      <c r="F206" s="53" t="s">
        <v>219</v>
      </c>
      <c r="G206" s="46" t="s">
        <v>1043</v>
      </c>
      <c r="H206" s="67">
        <v>5950</v>
      </c>
      <c r="I206" s="49">
        <v>2019</v>
      </c>
      <c r="K206" s="81"/>
    </row>
    <row r="207" spans="1:11" ht="28.5" x14ac:dyDescent="0.2">
      <c r="A207" s="46" t="s">
        <v>204</v>
      </c>
      <c r="B207" s="46" t="s">
        <v>95</v>
      </c>
      <c r="C207" s="46" t="s">
        <v>31</v>
      </c>
      <c r="D207" s="46" t="s">
        <v>249</v>
      </c>
      <c r="E207" s="52" t="s">
        <v>43</v>
      </c>
      <c r="F207" s="46" t="s">
        <v>219</v>
      </c>
      <c r="G207" s="46" t="s">
        <v>1181</v>
      </c>
      <c r="H207" s="66">
        <v>86052</v>
      </c>
      <c r="I207" s="47">
        <v>2020</v>
      </c>
      <c r="J207" s="46" t="s">
        <v>250</v>
      </c>
      <c r="K207" s="48"/>
    </row>
    <row r="208" spans="1:11" x14ac:dyDescent="0.2">
      <c r="A208" s="48" t="s">
        <v>204</v>
      </c>
      <c r="B208" s="48" t="s">
        <v>95</v>
      </c>
      <c r="C208" s="48" t="s">
        <v>31</v>
      </c>
      <c r="D208" s="46" t="s">
        <v>961</v>
      </c>
      <c r="E208" s="80" t="s">
        <v>43</v>
      </c>
      <c r="F208" s="53" t="s">
        <v>219</v>
      </c>
      <c r="G208" s="46" t="s">
        <v>972</v>
      </c>
      <c r="H208" s="67">
        <v>5001</v>
      </c>
      <c r="I208" s="49">
        <v>2020</v>
      </c>
      <c r="K208" s="81"/>
    </row>
    <row r="209" spans="1:11" x14ac:dyDescent="0.2">
      <c r="A209" s="48" t="s">
        <v>204</v>
      </c>
      <c r="B209" s="48" t="s">
        <v>95</v>
      </c>
      <c r="C209" s="48" t="s">
        <v>31</v>
      </c>
      <c r="D209" s="46" t="s">
        <v>962</v>
      </c>
      <c r="E209" s="80" t="s">
        <v>43</v>
      </c>
      <c r="F209" s="53" t="s">
        <v>219</v>
      </c>
      <c r="G209" s="46" t="s">
        <v>1042</v>
      </c>
      <c r="H209" s="67">
        <v>5292</v>
      </c>
      <c r="I209" s="49">
        <v>2020</v>
      </c>
      <c r="K209" s="81"/>
    </row>
    <row r="210" spans="1:11" ht="28.5" x14ac:dyDescent="0.2">
      <c r="A210" s="48" t="s">
        <v>204</v>
      </c>
      <c r="B210" s="48" t="s">
        <v>95</v>
      </c>
      <c r="C210" s="48" t="s">
        <v>31</v>
      </c>
      <c r="D210" s="46" t="s">
        <v>963</v>
      </c>
      <c r="E210" s="80" t="s">
        <v>43</v>
      </c>
      <c r="F210" s="53" t="s">
        <v>219</v>
      </c>
      <c r="G210" s="46" t="s">
        <v>1041</v>
      </c>
      <c r="H210" s="67">
        <v>5342</v>
      </c>
      <c r="I210" s="49">
        <v>2020</v>
      </c>
      <c r="K210" s="81"/>
    </row>
    <row r="211" spans="1:11" x14ac:dyDescent="0.2">
      <c r="A211" s="48" t="s">
        <v>204</v>
      </c>
      <c r="B211" s="48" t="s">
        <v>95</v>
      </c>
      <c r="C211" s="48" t="s">
        <v>31</v>
      </c>
      <c r="D211" s="46" t="s">
        <v>964</v>
      </c>
      <c r="E211" s="80" t="s">
        <v>43</v>
      </c>
      <c r="F211" s="53" t="s">
        <v>219</v>
      </c>
      <c r="G211" s="46" t="s">
        <v>1040</v>
      </c>
      <c r="H211" s="67">
        <v>5129</v>
      </c>
      <c r="I211" s="49">
        <v>2020</v>
      </c>
      <c r="K211" s="81"/>
    </row>
    <row r="212" spans="1:11" x14ac:dyDescent="0.2">
      <c r="A212" s="48" t="s">
        <v>204</v>
      </c>
      <c r="B212" s="48" t="s">
        <v>95</v>
      </c>
      <c r="C212" s="48" t="s">
        <v>31</v>
      </c>
      <c r="D212" s="46" t="s">
        <v>965</v>
      </c>
      <c r="E212" s="80" t="s">
        <v>43</v>
      </c>
      <c r="F212" s="53" t="s">
        <v>219</v>
      </c>
      <c r="G212" s="46" t="s">
        <v>1039</v>
      </c>
      <c r="H212" s="67">
        <v>6109</v>
      </c>
      <c r="I212" s="49">
        <v>2020</v>
      </c>
      <c r="K212" s="81"/>
    </row>
    <row r="213" spans="1:11" ht="28.5" x14ac:dyDescent="0.2">
      <c r="A213" s="48" t="s">
        <v>204</v>
      </c>
      <c r="B213" s="48" t="s">
        <v>95</v>
      </c>
      <c r="C213" s="48" t="s">
        <v>31</v>
      </c>
      <c r="D213" s="46" t="s">
        <v>966</v>
      </c>
      <c r="E213" s="80" t="s">
        <v>43</v>
      </c>
      <c r="F213" s="53" t="s">
        <v>219</v>
      </c>
      <c r="G213" s="46" t="s">
        <v>1038</v>
      </c>
      <c r="H213" s="67">
        <v>6801</v>
      </c>
      <c r="I213" s="49">
        <v>2020</v>
      </c>
      <c r="K213" s="81"/>
    </row>
    <row r="214" spans="1:11" x14ac:dyDescent="0.2">
      <c r="A214" s="48" t="s">
        <v>204</v>
      </c>
      <c r="B214" s="48" t="s">
        <v>95</v>
      </c>
      <c r="C214" s="48" t="s">
        <v>31</v>
      </c>
      <c r="D214" s="46" t="s">
        <v>967</v>
      </c>
      <c r="E214" s="80" t="s">
        <v>43</v>
      </c>
      <c r="F214" s="53" t="s">
        <v>219</v>
      </c>
      <c r="G214" s="46" t="s">
        <v>1037</v>
      </c>
      <c r="H214" s="67">
        <v>5583</v>
      </c>
      <c r="I214" s="49">
        <v>2020</v>
      </c>
      <c r="K214" s="81"/>
    </row>
    <row r="215" spans="1:11" x14ac:dyDescent="0.2">
      <c r="A215" s="48" t="s">
        <v>204</v>
      </c>
      <c r="B215" s="48" t="s">
        <v>95</v>
      </c>
      <c r="C215" s="48" t="s">
        <v>31</v>
      </c>
      <c r="D215" s="46" t="s">
        <v>968</v>
      </c>
      <c r="E215" s="80" t="s">
        <v>43</v>
      </c>
      <c r="F215" s="53" t="s">
        <v>219</v>
      </c>
      <c r="G215" s="46" t="s">
        <v>1036</v>
      </c>
      <c r="H215" s="67">
        <v>5940</v>
      </c>
      <c r="I215" s="49">
        <v>2020</v>
      </c>
      <c r="K215" s="81"/>
    </row>
    <row r="216" spans="1:11" ht="28.5" x14ac:dyDescent="0.2">
      <c r="A216" s="48" t="s">
        <v>204</v>
      </c>
      <c r="B216" s="48" t="s">
        <v>95</v>
      </c>
      <c r="C216" s="48" t="s">
        <v>31</v>
      </c>
      <c r="D216" s="46" t="s">
        <v>969</v>
      </c>
      <c r="E216" s="80" t="s">
        <v>43</v>
      </c>
      <c r="F216" s="53" t="s">
        <v>219</v>
      </c>
      <c r="G216" s="46" t="s">
        <v>251</v>
      </c>
      <c r="H216" s="67">
        <v>5007</v>
      </c>
      <c r="I216" s="49">
        <v>2020</v>
      </c>
      <c r="K216" s="81"/>
    </row>
    <row r="217" spans="1:11" x14ac:dyDescent="0.2">
      <c r="A217" s="48" t="s">
        <v>204</v>
      </c>
      <c r="B217" s="48" t="s">
        <v>95</v>
      </c>
      <c r="C217" s="48" t="s">
        <v>31</v>
      </c>
      <c r="D217" s="46" t="s">
        <v>970</v>
      </c>
      <c r="E217" s="80" t="s">
        <v>43</v>
      </c>
      <c r="F217" s="53" t="s">
        <v>219</v>
      </c>
      <c r="G217" s="46" t="s">
        <v>1034</v>
      </c>
      <c r="H217" s="67">
        <v>5079</v>
      </c>
      <c r="I217" s="49">
        <v>2020</v>
      </c>
      <c r="K217" s="81"/>
    </row>
    <row r="218" spans="1:11" x14ac:dyDescent="0.2">
      <c r="A218" s="48" t="s">
        <v>204</v>
      </c>
      <c r="B218" s="48" t="s">
        <v>95</v>
      </c>
      <c r="C218" s="48" t="s">
        <v>31</v>
      </c>
      <c r="D218" s="46" t="s">
        <v>971</v>
      </c>
      <c r="E218" s="80" t="s">
        <v>43</v>
      </c>
      <c r="F218" s="53" t="s">
        <v>219</v>
      </c>
      <c r="G218" s="46" t="s">
        <v>1033</v>
      </c>
      <c r="H218" s="67">
        <v>5512</v>
      </c>
      <c r="I218" s="49">
        <v>2020</v>
      </c>
      <c r="K218" s="81"/>
    </row>
    <row r="219" spans="1:11" ht="28.5" x14ac:dyDescent="0.2">
      <c r="A219" s="48" t="s">
        <v>204</v>
      </c>
      <c r="B219" s="48" t="s">
        <v>95</v>
      </c>
      <c r="C219" s="48" t="s">
        <v>31</v>
      </c>
      <c r="D219" s="46" t="s">
        <v>960</v>
      </c>
      <c r="E219" s="80" t="s">
        <v>43</v>
      </c>
      <c r="F219" s="53" t="s">
        <v>219</v>
      </c>
      <c r="G219" s="46" t="s">
        <v>959</v>
      </c>
      <c r="H219" s="67">
        <v>5748</v>
      </c>
      <c r="I219" s="49">
        <v>2020</v>
      </c>
      <c r="K219" s="81"/>
    </row>
    <row r="220" spans="1:11" ht="28.5" x14ac:dyDescent="0.2">
      <c r="A220" s="46" t="s">
        <v>204</v>
      </c>
      <c r="B220" s="46" t="s">
        <v>95</v>
      </c>
      <c r="C220" s="46" t="s">
        <v>31</v>
      </c>
      <c r="D220" s="46" t="s">
        <v>252</v>
      </c>
      <c r="E220" s="52" t="s">
        <v>43</v>
      </c>
      <c r="F220" s="46" t="s">
        <v>219</v>
      </c>
      <c r="G220" s="46" t="s">
        <v>251</v>
      </c>
      <c r="H220" s="66">
        <v>7334</v>
      </c>
      <c r="I220" s="47">
        <v>2020</v>
      </c>
      <c r="J220" s="46"/>
      <c r="K220" s="48"/>
    </row>
    <row r="221" spans="1:11" x14ac:dyDescent="0.2">
      <c r="A221" s="48" t="s">
        <v>204</v>
      </c>
      <c r="B221" s="48" t="s">
        <v>95</v>
      </c>
      <c r="C221" s="48" t="s">
        <v>31</v>
      </c>
      <c r="D221" s="46" t="s">
        <v>958</v>
      </c>
      <c r="E221" s="80" t="s">
        <v>43</v>
      </c>
      <c r="F221" s="53" t="s">
        <v>219</v>
      </c>
      <c r="G221" s="46" t="s">
        <v>957</v>
      </c>
      <c r="H221" s="67">
        <v>4912</v>
      </c>
      <c r="I221" s="49">
        <v>2021</v>
      </c>
      <c r="K221" s="81"/>
    </row>
    <row r="222" spans="1:11" x14ac:dyDescent="0.2">
      <c r="A222" s="48" t="s">
        <v>204</v>
      </c>
      <c r="B222" s="48" t="s">
        <v>95</v>
      </c>
      <c r="C222" s="48" t="s">
        <v>31</v>
      </c>
      <c r="D222" s="46" t="s">
        <v>956</v>
      </c>
      <c r="E222" s="80" t="s">
        <v>43</v>
      </c>
      <c r="F222" s="53" t="s">
        <v>219</v>
      </c>
      <c r="G222" s="46" t="s">
        <v>955</v>
      </c>
      <c r="H222" s="67">
        <v>5014</v>
      </c>
      <c r="I222" s="49">
        <v>2021</v>
      </c>
      <c r="K222" s="81"/>
    </row>
    <row r="223" spans="1:11" x14ac:dyDescent="0.2">
      <c r="A223" s="48" t="s">
        <v>204</v>
      </c>
      <c r="B223" s="48" t="s">
        <v>94</v>
      </c>
      <c r="C223" s="48" t="s">
        <v>29</v>
      </c>
      <c r="D223" s="46" t="s">
        <v>933</v>
      </c>
      <c r="E223" s="80" t="s">
        <v>43</v>
      </c>
      <c r="F223" s="53" t="s">
        <v>141</v>
      </c>
      <c r="G223" s="46" t="s">
        <v>932</v>
      </c>
      <c r="H223" s="67">
        <v>3897</v>
      </c>
      <c r="I223" s="49">
        <v>2014</v>
      </c>
      <c r="K223" s="81"/>
    </row>
    <row r="224" spans="1:11" x14ac:dyDescent="0.2">
      <c r="A224" s="48" t="s">
        <v>204</v>
      </c>
      <c r="B224" s="48" t="s">
        <v>94</v>
      </c>
      <c r="C224" s="48" t="s">
        <v>29</v>
      </c>
      <c r="D224" s="46" t="s">
        <v>947</v>
      </c>
      <c r="E224" s="80" t="s">
        <v>43</v>
      </c>
      <c r="F224" s="53" t="s">
        <v>141</v>
      </c>
      <c r="G224" s="46" t="s">
        <v>946</v>
      </c>
      <c r="H224" s="67">
        <v>7619</v>
      </c>
      <c r="I224" s="49">
        <v>2019</v>
      </c>
      <c r="K224" s="81"/>
    </row>
    <row r="225" spans="1:11" ht="28.5" x14ac:dyDescent="0.2">
      <c r="A225" s="48" t="s">
        <v>204</v>
      </c>
      <c r="B225" s="48" t="s">
        <v>94</v>
      </c>
      <c r="C225" s="48" t="s">
        <v>29</v>
      </c>
      <c r="D225" s="46" t="s">
        <v>944</v>
      </c>
      <c r="E225" s="80" t="s">
        <v>43</v>
      </c>
      <c r="F225" s="53" t="s">
        <v>141</v>
      </c>
      <c r="G225" s="46" t="s">
        <v>945</v>
      </c>
      <c r="H225" s="67">
        <v>12171</v>
      </c>
      <c r="I225" s="49">
        <v>2019</v>
      </c>
      <c r="K225" s="81"/>
    </row>
    <row r="226" spans="1:11" x14ac:dyDescent="0.2">
      <c r="A226" s="48" t="s">
        <v>204</v>
      </c>
      <c r="B226" s="48" t="s">
        <v>94</v>
      </c>
      <c r="C226" s="48" t="s">
        <v>29</v>
      </c>
      <c r="D226" s="46" t="s">
        <v>943</v>
      </c>
      <c r="E226" s="80" t="s">
        <v>43</v>
      </c>
      <c r="F226" s="53" t="s">
        <v>141</v>
      </c>
      <c r="G226" s="46" t="s">
        <v>942</v>
      </c>
      <c r="H226" s="67">
        <v>8279</v>
      </c>
      <c r="I226" s="49">
        <v>2020</v>
      </c>
      <c r="K226" s="81"/>
    </row>
    <row r="227" spans="1:11" x14ac:dyDescent="0.2">
      <c r="A227" s="48" t="s">
        <v>204</v>
      </c>
      <c r="B227" s="48" t="s">
        <v>94</v>
      </c>
      <c r="C227" s="48" t="s">
        <v>29</v>
      </c>
      <c r="D227" s="46" t="s">
        <v>941</v>
      </c>
      <c r="E227" s="80" t="s">
        <v>43</v>
      </c>
      <c r="F227" s="53" t="s">
        <v>141</v>
      </c>
      <c r="G227" s="46" t="s">
        <v>940</v>
      </c>
      <c r="H227" s="67">
        <v>7735</v>
      </c>
      <c r="I227" s="49">
        <v>2020</v>
      </c>
      <c r="K227" s="81"/>
    </row>
    <row r="228" spans="1:11" ht="28.5" x14ac:dyDescent="0.2">
      <c r="A228" s="46" t="s">
        <v>204</v>
      </c>
      <c r="B228" s="46" t="s">
        <v>94</v>
      </c>
      <c r="C228" s="46" t="s">
        <v>29</v>
      </c>
      <c r="D228" s="46" t="s">
        <v>199</v>
      </c>
      <c r="E228" s="52" t="s">
        <v>43</v>
      </c>
      <c r="F228" s="46" t="s">
        <v>141</v>
      </c>
      <c r="G228" s="46" t="s">
        <v>198</v>
      </c>
      <c r="H228" s="66">
        <v>15348</v>
      </c>
      <c r="I228" s="47">
        <v>2020</v>
      </c>
      <c r="J228" s="46"/>
      <c r="K228" s="48"/>
    </row>
    <row r="229" spans="1:11" ht="28.5" x14ac:dyDescent="0.2">
      <c r="A229" s="46" t="s">
        <v>204</v>
      </c>
      <c r="B229" s="46" t="s">
        <v>94</v>
      </c>
      <c r="C229" s="46" t="s">
        <v>29</v>
      </c>
      <c r="D229" s="46" t="s">
        <v>203</v>
      </c>
      <c r="E229" s="52" t="s">
        <v>43</v>
      </c>
      <c r="F229" s="46" t="s">
        <v>141</v>
      </c>
      <c r="G229" s="46" t="s">
        <v>201</v>
      </c>
      <c r="H229" s="66">
        <v>12704</v>
      </c>
      <c r="I229" s="47">
        <v>2020</v>
      </c>
      <c r="J229" s="46"/>
      <c r="K229" s="48"/>
    </row>
    <row r="230" spans="1:11" ht="28.5" x14ac:dyDescent="0.2">
      <c r="A230" s="46" t="s">
        <v>204</v>
      </c>
      <c r="B230" s="46" t="s">
        <v>94</v>
      </c>
      <c r="C230" s="46" t="s">
        <v>29</v>
      </c>
      <c r="D230" s="46" t="s">
        <v>202</v>
      </c>
      <c r="E230" s="52" t="s">
        <v>43</v>
      </c>
      <c r="F230" s="46" t="s">
        <v>141</v>
      </c>
      <c r="G230" s="46" t="s">
        <v>201</v>
      </c>
      <c r="H230" s="66">
        <v>5105</v>
      </c>
      <c r="I230" s="47">
        <v>2020</v>
      </c>
      <c r="J230" s="46"/>
      <c r="K230" s="48"/>
    </row>
    <row r="231" spans="1:11" x14ac:dyDescent="0.2">
      <c r="A231" s="48" t="s">
        <v>204</v>
      </c>
      <c r="B231" s="48" t="s">
        <v>95</v>
      </c>
      <c r="C231" s="48" t="s">
        <v>38</v>
      </c>
      <c r="D231" s="46" t="s">
        <v>369</v>
      </c>
      <c r="E231" s="53" t="s">
        <v>43</v>
      </c>
      <c r="F231" s="48" t="s">
        <v>240</v>
      </c>
      <c r="G231" s="46" t="s">
        <v>368</v>
      </c>
      <c r="H231" s="67">
        <v>30141</v>
      </c>
      <c r="I231" s="49">
        <v>2017</v>
      </c>
      <c r="K231" s="48"/>
    </row>
    <row r="232" spans="1:11" ht="42.75" x14ac:dyDescent="0.2">
      <c r="A232" s="48" t="s">
        <v>204</v>
      </c>
      <c r="B232" s="48" t="s">
        <v>95</v>
      </c>
      <c r="C232" s="48" t="s">
        <v>34</v>
      </c>
      <c r="D232" s="46" t="s">
        <v>343</v>
      </c>
      <c r="E232" s="53" t="s">
        <v>43</v>
      </c>
      <c r="F232" s="48" t="s">
        <v>240</v>
      </c>
      <c r="G232" s="46" t="s">
        <v>349</v>
      </c>
      <c r="H232" s="67">
        <v>7426</v>
      </c>
      <c r="I232" s="49">
        <v>2015</v>
      </c>
      <c r="K232" s="48"/>
    </row>
    <row r="233" spans="1:11" ht="14.45" customHeight="1" x14ac:dyDescent="0.2">
      <c r="A233" s="48" t="s">
        <v>204</v>
      </c>
      <c r="B233" s="48" t="s">
        <v>95</v>
      </c>
      <c r="C233" s="48" t="s">
        <v>34</v>
      </c>
      <c r="D233" s="46" t="s">
        <v>1126</v>
      </c>
      <c r="E233" s="80" t="s">
        <v>43</v>
      </c>
      <c r="F233" s="53" t="s">
        <v>240</v>
      </c>
      <c r="G233" s="46" t="s">
        <v>1125</v>
      </c>
      <c r="H233" s="67">
        <v>83598</v>
      </c>
      <c r="I233" s="49">
        <v>2015</v>
      </c>
      <c r="K233" s="81"/>
    </row>
    <row r="234" spans="1:11" ht="57" x14ac:dyDescent="0.2">
      <c r="A234" s="48" t="s">
        <v>204</v>
      </c>
      <c r="B234" s="48" t="s">
        <v>95</v>
      </c>
      <c r="C234" s="48" t="s">
        <v>34</v>
      </c>
      <c r="D234" s="46" t="s">
        <v>348</v>
      </c>
      <c r="E234" s="53" t="s">
        <v>43</v>
      </c>
      <c r="F234" s="48" t="s">
        <v>240</v>
      </c>
      <c r="G234" s="46" t="s">
        <v>344</v>
      </c>
      <c r="H234" s="67">
        <v>22678</v>
      </c>
      <c r="I234" s="49">
        <v>2015</v>
      </c>
      <c r="K234" s="48"/>
    </row>
    <row r="235" spans="1:11" ht="28.5" x14ac:dyDescent="0.2">
      <c r="A235" s="48" t="s">
        <v>204</v>
      </c>
      <c r="B235" s="48" t="s">
        <v>95</v>
      </c>
      <c r="C235" s="48" t="s">
        <v>34</v>
      </c>
      <c r="D235" s="46" t="s">
        <v>348</v>
      </c>
      <c r="E235" s="53" t="s">
        <v>43</v>
      </c>
      <c r="F235" s="48" t="s">
        <v>240</v>
      </c>
      <c r="G235" s="46" t="s">
        <v>347</v>
      </c>
      <c r="H235" s="67">
        <v>23073</v>
      </c>
      <c r="I235" s="49">
        <v>2015</v>
      </c>
      <c r="K235" s="48"/>
    </row>
    <row r="236" spans="1:11" x14ac:dyDescent="0.2">
      <c r="A236" s="48" t="s">
        <v>204</v>
      </c>
      <c r="B236" s="48" t="s">
        <v>95</v>
      </c>
      <c r="C236" s="48" t="s">
        <v>34</v>
      </c>
      <c r="D236" s="46" t="s">
        <v>1124</v>
      </c>
      <c r="E236" s="80" t="s">
        <v>43</v>
      </c>
      <c r="F236" s="53" t="s">
        <v>240</v>
      </c>
      <c r="G236" s="46" t="s">
        <v>1123</v>
      </c>
      <c r="H236" s="67">
        <v>70442</v>
      </c>
      <c r="I236" s="49">
        <v>2016</v>
      </c>
      <c r="K236" s="81"/>
    </row>
    <row r="237" spans="1:11" x14ac:dyDescent="0.2">
      <c r="A237" s="48" t="s">
        <v>204</v>
      </c>
      <c r="B237" s="48" t="s">
        <v>95</v>
      </c>
      <c r="C237" s="48" t="s">
        <v>34</v>
      </c>
      <c r="D237" s="46" t="s">
        <v>1122</v>
      </c>
      <c r="E237" s="80" t="s">
        <v>43</v>
      </c>
      <c r="F237" s="53" t="s">
        <v>240</v>
      </c>
      <c r="G237" s="46" t="s">
        <v>1121</v>
      </c>
      <c r="H237" s="67">
        <v>62334</v>
      </c>
      <c r="I237" s="49">
        <v>2017</v>
      </c>
      <c r="K237" s="81"/>
    </row>
    <row r="238" spans="1:11" x14ac:dyDescent="0.2">
      <c r="A238" s="48" t="s">
        <v>204</v>
      </c>
      <c r="B238" s="48" t="s">
        <v>95</v>
      </c>
      <c r="C238" s="48" t="s">
        <v>34</v>
      </c>
      <c r="D238" s="46" t="s">
        <v>1120</v>
      </c>
      <c r="E238" s="80" t="s">
        <v>43</v>
      </c>
      <c r="F238" s="53" t="s">
        <v>240</v>
      </c>
      <c r="G238" s="46" t="s">
        <v>1119</v>
      </c>
      <c r="H238" s="67">
        <v>72713</v>
      </c>
      <c r="I238" s="49">
        <v>2018</v>
      </c>
      <c r="K238" s="81"/>
    </row>
    <row r="239" spans="1:11" ht="28.5" x14ac:dyDescent="0.2">
      <c r="A239" s="48" t="s">
        <v>204</v>
      </c>
      <c r="B239" s="48" t="s">
        <v>95</v>
      </c>
      <c r="C239" s="48" t="s">
        <v>34</v>
      </c>
      <c r="D239" s="46" t="s">
        <v>1118</v>
      </c>
      <c r="E239" s="80" t="s">
        <v>43</v>
      </c>
      <c r="F239" s="53" t="s">
        <v>240</v>
      </c>
      <c r="G239" s="46" t="s">
        <v>1117</v>
      </c>
      <c r="H239" s="67">
        <v>5788</v>
      </c>
      <c r="I239" s="49">
        <v>2018</v>
      </c>
      <c r="K239" s="81"/>
    </row>
    <row r="240" spans="1:11" x14ac:dyDescent="0.2">
      <c r="A240" s="48" t="s">
        <v>204</v>
      </c>
      <c r="B240" s="48" t="s">
        <v>95</v>
      </c>
      <c r="C240" s="48" t="s">
        <v>34</v>
      </c>
      <c r="D240" s="46" t="s">
        <v>345</v>
      </c>
      <c r="E240" s="53" t="s">
        <v>43</v>
      </c>
      <c r="F240" s="48" t="s">
        <v>240</v>
      </c>
      <c r="G240" s="46" t="s">
        <v>346</v>
      </c>
      <c r="H240" s="67">
        <v>87735</v>
      </c>
      <c r="I240" s="49">
        <v>2019</v>
      </c>
      <c r="K240" s="48"/>
    </row>
    <row r="241" spans="1:11" x14ac:dyDescent="0.2">
      <c r="A241" s="48" t="s">
        <v>204</v>
      </c>
      <c r="B241" s="48" t="s">
        <v>95</v>
      </c>
      <c r="C241" s="48" t="s">
        <v>34</v>
      </c>
      <c r="D241" s="46" t="s">
        <v>351</v>
      </c>
      <c r="E241" s="53" t="s">
        <v>43</v>
      </c>
      <c r="F241" s="48" t="s">
        <v>240</v>
      </c>
      <c r="G241" s="46" t="s">
        <v>350</v>
      </c>
      <c r="H241" s="67">
        <v>82390</v>
      </c>
      <c r="I241" s="49">
        <v>2020</v>
      </c>
      <c r="K241" s="48"/>
    </row>
    <row r="242" spans="1:11" ht="28.5" x14ac:dyDescent="0.2">
      <c r="A242" s="48" t="s">
        <v>204</v>
      </c>
      <c r="B242" s="48" t="s">
        <v>95</v>
      </c>
      <c r="C242" s="48" t="s">
        <v>34</v>
      </c>
      <c r="D242" s="46" t="s">
        <v>1116</v>
      </c>
      <c r="E242" s="80" t="s">
        <v>43</v>
      </c>
      <c r="F242" s="53" t="s">
        <v>240</v>
      </c>
      <c r="G242" s="46" t="s">
        <v>1115</v>
      </c>
      <c r="H242" s="67">
        <v>7313</v>
      </c>
      <c r="I242" s="49">
        <v>2020</v>
      </c>
      <c r="K242" s="81"/>
    </row>
    <row r="243" spans="1:11" x14ac:dyDescent="0.2">
      <c r="A243" s="48" t="s">
        <v>204</v>
      </c>
      <c r="B243" s="48" t="s">
        <v>95</v>
      </c>
      <c r="C243" s="48" t="s">
        <v>34</v>
      </c>
      <c r="D243" s="46" t="s">
        <v>1112</v>
      </c>
      <c r="E243" s="80" t="s">
        <v>43</v>
      </c>
      <c r="F243" s="53" t="s">
        <v>240</v>
      </c>
      <c r="G243" s="46" t="s">
        <v>1111</v>
      </c>
      <c r="H243" s="67">
        <v>9280</v>
      </c>
      <c r="I243" s="49">
        <v>2020</v>
      </c>
      <c r="K243" s="81"/>
    </row>
    <row r="244" spans="1:11" x14ac:dyDescent="0.2">
      <c r="A244" s="48" t="s">
        <v>204</v>
      </c>
      <c r="B244" s="48" t="s">
        <v>95</v>
      </c>
      <c r="C244" s="48" t="s">
        <v>34</v>
      </c>
      <c r="D244" s="46" t="s">
        <v>1157</v>
      </c>
      <c r="E244" s="80" t="s">
        <v>43</v>
      </c>
      <c r="F244" s="53" t="s">
        <v>240</v>
      </c>
      <c r="G244" s="46" t="s">
        <v>1156</v>
      </c>
      <c r="H244" s="67">
        <v>4626</v>
      </c>
      <c r="I244" s="49">
        <v>2021</v>
      </c>
      <c r="K244" s="81"/>
    </row>
    <row r="245" spans="1:11" x14ac:dyDescent="0.2">
      <c r="A245" s="48" t="s">
        <v>204</v>
      </c>
      <c r="B245" s="48" t="s">
        <v>95</v>
      </c>
      <c r="C245" s="48" t="s">
        <v>34</v>
      </c>
      <c r="D245" s="46" t="s">
        <v>1160</v>
      </c>
      <c r="E245" s="80" t="s">
        <v>43</v>
      </c>
      <c r="F245" s="53" t="s">
        <v>240</v>
      </c>
      <c r="G245" s="46" t="s">
        <v>1161</v>
      </c>
      <c r="H245" s="67">
        <v>11758</v>
      </c>
      <c r="I245" s="49">
        <v>2021</v>
      </c>
      <c r="K245" s="81"/>
    </row>
    <row r="246" spans="1:11" x14ac:dyDescent="0.2">
      <c r="A246" s="48" t="s">
        <v>204</v>
      </c>
      <c r="B246" s="48" t="s">
        <v>95</v>
      </c>
      <c r="C246" s="48" t="s">
        <v>34</v>
      </c>
      <c r="D246" s="46" t="s">
        <v>1110</v>
      </c>
      <c r="E246" s="80" t="s">
        <v>43</v>
      </c>
      <c r="F246" s="53" t="s">
        <v>240</v>
      </c>
      <c r="G246" s="46" t="s">
        <v>1109</v>
      </c>
      <c r="H246" s="67">
        <v>85438</v>
      </c>
      <c r="I246" s="49">
        <v>2021</v>
      </c>
      <c r="K246" s="81"/>
    </row>
    <row r="247" spans="1:11" ht="42.75" x14ac:dyDescent="0.2">
      <c r="A247" s="46" t="s">
        <v>204</v>
      </c>
      <c r="B247" s="46" t="s">
        <v>95</v>
      </c>
      <c r="C247" s="46" t="s">
        <v>35</v>
      </c>
      <c r="D247" s="46" t="s">
        <v>526</v>
      </c>
      <c r="E247" s="52" t="s">
        <v>115</v>
      </c>
      <c r="F247" s="46" t="s">
        <v>141</v>
      </c>
      <c r="G247" s="46" t="s">
        <v>527</v>
      </c>
      <c r="H247" s="66">
        <v>5436</v>
      </c>
      <c r="I247" s="47">
        <v>2020</v>
      </c>
      <c r="J247" s="46"/>
      <c r="K247" s="48"/>
    </row>
    <row r="248" spans="1:11" ht="42.75" x14ac:dyDescent="0.2">
      <c r="A248" s="46" t="s">
        <v>204</v>
      </c>
      <c r="B248" s="46" t="s">
        <v>95</v>
      </c>
      <c r="C248" s="46" t="s">
        <v>35</v>
      </c>
      <c r="D248" s="48" t="s">
        <v>567</v>
      </c>
      <c r="E248" s="52" t="s">
        <v>115</v>
      </c>
      <c r="F248" s="46" t="s">
        <v>141</v>
      </c>
      <c r="G248" s="46" t="s">
        <v>568</v>
      </c>
      <c r="H248" s="67">
        <v>4363</v>
      </c>
      <c r="I248" s="47">
        <v>2014</v>
      </c>
      <c r="K248" s="48"/>
    </row>
    <row r="249" spans="1:11" ht="42.75" x14ac:dyDescent="0.2">
      <c r="A249" s="46" t="s">
        <v>204</v>
      </c>
      <c r="B249" s="46" t="s">
        <v>95</v>
      </c>
      <c r="C249" s="46" t="s">
        <v>35</v>
      </c>
      <c r="D249" s="46" t="s">
        <v>565</v>
      </c>
      <c r="E249" s="52" t="s">
        <v>115</v>
      </c>
      <c r="F249" s="46" t="s">
        <v>141</v>
      </c>
      <c r="G249" s="46" t="s">
        <v>566</v>
      </c>
      <c r="H249" s="66">
        <v>4275</v>
      </c>
      <c r="I249" s="47">
        <v>2014</v>
      </c>
      <c r="J249" s="46"/>
      <c r="K249" s="48"/>
    </row>
    <row r="250" spans="1:11" ht="42.75" x14ac:dyDescent="0.2">
      <c r="A250" s="46" t="s">
        <v>204</v>
      </c>
      <c r="B250" s="46" t="s">
        <v>95</v>
      </c>
      <c r="C250" s="46" t="s">
        <v>35</v>
      </c>
      <c r="D250" s="46" t="s">
        <v>563</v>
      </c>
      <c r="E250" s="52" t="s">
        <v>115</v>
      </c>
      <c r="F250" s="46" t="s">
        <v>141</v>
      </c>
      <c r="G250" s="46" t="s">
        <v>564</v>
      </c>
      <c r="H250" s="66">
        <v>4640</v>
      </c>
      <c r="I250" s="47">
        <v>2015</v>
      </c>
      <c r="J250" s="46"/>
      <c r="K250" s="48"/>
    </row>
    <row r="251" spans="1:11" ht="42.75" x14ac:dyDescent="0.2">
      <c r="A251" s="46" t="s">
        <v>204</v>
      </c>
      <c r="B251" s="46" t="s">
        <v>95</v>
      </c>
      <c r="C251" s="46" t="s">
        <v>35</v>
      </c>
      <c r="D251" s="46" t="s">
        <v>561</v>
      </c>
      <c r="E251" s="52" t="s">
        <v>115</v>
      </c>
      <c r="F251" s="46" t="s">
        <v>141</v>
      </c>
      <c r="G251" s="46" t="s">
        <v>562</v>
      </c>
      <c r="H251" s="66">
        <v>7734</v>
      </c>
      <c r="I251" s="47">
        <v>2015</v>
      </c>
      <c r="J251" s="46"/>
      <c r="K251" s="48"/>
    </row>
    <row r="252" spans="1:11" ht="42.75" x14ac:dyDescent="0.2">
      <c r="A252" s="46" t="s">
        <v>204</v>
      </c>
      <c r="B252" s="46" t="s">
        <v>95</v>
      </c>
      <c r="C252" s="46" t="s">
        <v>35</v>
      </c>
      <c r="D252" s="46" t="s">
        <v>559</v>
      </c>
      <c r="E252" s="52" t="s">
        <v>115</v>
      </c>
      <c r="F252" s="46" t="s">
        <v>141</v>
      </c>
      <c r="G252" s="46" t="s">
        <v>560</v>
      </c>
      <c r="H252" s="66">
        <v>5435</v>
      </c>
      <c r="I252" s="47">
        <v>2015</v>
      </c>
      <c r="J252" s="46"/>
      <c r="K252" s="48"/>
    </row>
    <row r="253" spans="1:11" ht="42.75" x14ac:dyDescent="0.2">
      <c r="A253" s="46" t="s">
        <v>204</v>
      </c>
      <c r="B253" s="46" t="s">
        <v>95</v>
      </c>
      <c r="C253" s="46" t="s">
        <v>35</v>
      </c>
      <c r="D253" s="46" t="s">
        <v>557</v>
      </c>
      <c r="E253" s="52" t="s">
        <v>115</v>
      </c>
      <c r="F253" s="46" t="s">
        <v>141</v>
      </c>
      <c r="G253" s="46" t="s">
        <v>558</v>
      </c>
      <c r="H253" s="66">
        <v>8301</v>
      </c>
      <c r="I253" s="47">
        <v>2015</v>
      </c>
      <c r="J253" s="46"/>
      <c r="K253" s="48"/>
    </row>
    <row r="254" spans="1:11" ht="42.75" x14ac:dyDescent="0.2">
      <c r="A254" s="46" t="s">
        <v>204</v>
      </c>
      <c r="B254" s="46" t="s">
        <v>95</v>
      </c>
      <c r="C254" s="46" t="s">
        <v>35</v>
      </c>
      <c r="D254" s="46" t="s">
        <v>555</v>
      </c>
      <c r="E254" s="52" t="s">
        <v>115</v>
      </c>
      <c r="F254" s="46" t="s">
        <v>141</v>
      </c>
      <c r="G254" s="46" t="s">
        <v>556</v>
      </c>
      <c r="H254" s="66">
        <v>5610</v>
      </c>
      <c r="I254" s="47">
        <v>2016</v>
      </c>
      <c r="J254" s="46"/>
      <c r="K254" s="48"/>
    </row>
    <row r="255" spans="1:11" ht="42.75" x14ac:dyDescent="0.2">
      <c r="A255" s="46" t="s">
        <v>204</v>
      </c>
      <c r="B255" s="46" t="s">
        <v>95</v>
      </c>
      <c r="C255" s="46" t="s">
        <v>35</v>
      </c>
      <c r="D255" s="46" t="s">
        <v>553</v>
      </c>
      <c r="E255" s="52" t="s">
        <v>115</v>
      </c>
      <c r="F255" s="46" t="s">
        <v>141</v>
      </c>
      <c r="G255" s="46" t="s">
        <v>554</v>
      </c>
      <c r="H255" s="66">
        <v>8392</v>
      </c>
      <c r="I255" s="47">
        <v>2016</v>
      </c>
      <c r="J255" s="46"/>
      <c r="K255" s="48"/>
    </row>
    <row r="256" spans="1:11" ht="42.75" x14ac:dyDescent="0.2">
      <c r="A256" s="46" t="s">
        <v>204</v>
      </c>
      <c r="B256" s="46" t="s">
        <v>95</v>
      </c>
      <c r="C256" s="46" t="s">
        <v>35</v>
      </c>
      <c r="D256" s="46" t="s">
        <v>551</v>
      </c>
      <c r="E256" s="52" t="s">
        <v>115</v>
      </c>
      <c r="F256" s="46" t="s">
        <v>141</v>
      </c>
      <c r="G256" s="46" t="s">
        <v>552</v>
      </c>
      <c r="H256" s="66">
        <v>5461</v>
      </c>
      <c r="I256" s="47">
        <v>2016</v>
      </c>
      <c r="J256" s="46"/>
      <c r="K256" s="48"/>
    </row>
    <row r="257" spans="1:11" ht="42.75" x14ac:dyDescent="0.2">
      <c r="A257" s="46" t="s">
        <v>204</v>
      </c>
      <c r="B257" s="46" t="s">
        <v>95</v>
      </c>
      <c r="C257" s="46" t="s">
        <v>35</v>
      </c>
      <c r="D257" s="46" t="s">
        <v>549</v>
      </c>
      <c r="E257" s="52" t="s">
        <v>115</v>
      </c>
      <c r="F257" s="46" t="s">
        <v>141</v>
      </c>
      <c r="G257" s="46" t="s">
        <v>550</v>
      </c>
      <c r="H257" s="66">
        <v>9096</v>
      </c>
      <c r="I257" s="47">
        <v>2016</v>
      </c>
      <c r="J257" s="46"/>
      <c r="K257" s="48"/>
    </row>
    <row r="258" spans="1:11" ht="42.75" x14ac:dyDescent="0.2">
      <c r="A258" s="46" t="s">
        <v>204</v>
      </c>
      <c r="B258" s="46" t="s">
        <v>95</v>
      </c>
      <c r="C258" s="46" t="s">
        <v>35</v>
      </c>
      <c r="D258" s="46" t="s">
        <v>547</v>
      </c>
      <c r="E258" s="52" t="s">
        <v>115</v>
      </c>
      <c r="F258" s="46" t="s">
        <v>141</v>
      </c>
      <c r="G258" s="46" t="s">
        <v>548</v>
      </c>
      <c r="H258" s="66">
        <v>5247</v>
      </c>
      <c r="I258" s="47">
        <v>2017</v>
      </c>
      <c r="J258" s="46"/>
      <c r="K258" s="48"/>
    </row>
    <row r="259" spans="1:11" ht="42.75" x14ac:dyDescent="0.2">
      <c r="A259" s="46" t="s">
        <v>204</v>
      </c>
      <c r="B259" s="46" t="s">
        <v>95</v>
      </c>
      <c r="C259" s="46" t="s">
        <v>35</v>
      </c>
      <c r="D259" s="46" t="s">
        <v>545</v>
      </c>
      <c r="E259" s="52" t="s">
        <v>115</v>
      </c>
      <c r="F259" s="46" t="s">
        <v>141</v>
      </c>
      <c r="G259" s="46" t="s">
        <v>546</v>
      </c>
      <c r="H259" s="66">
        <v>8099</v>
      </c>
      <c r="I259" s="47">
        <v>2017</v>
      </c>
      <c r="J259" s="46"/>
      <c r="K259" s="48"/>
    </row>
    <row r="260" spans="1:11" ht="42.75" x14ac:dyDescent="0.2">
      <c r="A260" s="46" t="s">
        <v>204</v>
      </c>
      <c r="B260" s="46" t="s">
        <v>95</v>
      </c>
      <c r="C260" s="46" t="s">
        <v>35</v>
      </c>
      <c r="D260" s="46" t="s">
        <v>543</v>
      </c>
      <c r="E260" s="52" t="s">
        <v>115</v>
      </c>
      <c r="F260" s="46" t="s">
        <v>141</v>
      </c>
      <c r="G260" s="46" t="s">
        <v>544</v>
      </c>
      <c r="H260" s="66">
        <v>5369</v>
      </c>
      <c r="I260" s="47">
        <v>2017</v>
      </c>
      <c r="J260" s="46"/>
      <c r="K260" s="48"/>
    </row>
    <row r="261" spans="1:11" ht="42.75" x14ac:dyDescent="0.2">
      <c r="A261" s="46" t="s">
        <v>204</v>
      </c>
      <c r="B261" s="46" t="s">
        <v>95</v>
      </c>
      <c r="C261" s="46" t="s">
        <v>35</v>
      </c>
      <c r="D261" s="46" t="s">
        <v>541</v>
      </c>
      <c r="E261" s="52" t="s">
        <v>115</v>
      </c>
      <c r="F261" s="46" t="s">
        <v>141</v>
      </c>
      <c r="G261" s="46" t="s">
        <v>542</v>
      </c>
      <c r="H261" s="66">
        <v>8033</v>
      </c>
      <c r="I261" s="47">
        <v>2017</v>
      </c>
      <c r="J261" s="46"/>
      <c r="K261" s="48"/>
    </row>
    <row r="262" spans="1:11" ht="42.75" x14ac:dyDescent="0.2">
      <c r="A262" s="46" t="s">
        <v>204</v>
      </c>
      <c r="B262" s="46" t="s">
        <v>95</v>
      </c>
      <c r="C262" s="46" t="s">
        <v>35</v>
      </c>
      <c r="D262" s="46" t="s">
        <v>539</v>
      </c>
      <c r="E262" s="52" t="s">
        <v>115</v>
      </c>
      <c r="F262" s="46" t="s">
        <v>141</v>
      </c>
      <c r="G262" s="46" t="s">
        <v>540</v>
      </c>
      <c r="H262" s="66">
        <v>5699</v>
      </c>
      <c r="I262" s="47">
        <v>2018</v>
      </c>
      <c r="J262" s="46"/>
      <c r="K262" s="48"/>
    </row>
    <row r="263" spans="1:11" ht="42.75" x14ac:dyDescent="0.2">
      <c r="A263" s="46" t="s">
        <v>204</v>
      </c>
      <c r="B263" s="46" t="s">
        <v>95</v>
      </c>
      <c r="C263" s="46" t="s">
        <v>35</v>
      </c>
      <c r="D263" s="46" t="s">
        <v>537</v>
      </c>
      <c r="E263" s="52" t="s">
        <v>115</v>
      </c>
      <c r="F263" s="46" t="s">
        <v>141</v>
      </c>
      <c r="G263" s="46" t="s">
        <v>538</v>
      </c>
      <c r="H263" s="66">
        <v>8328</v>
      </c>
      <c r="I263" s="47">
        <v>2018</v>
      </c>
      <c r="J263" s="46"/>
      <c r="K263" s="48"/>
    </row>
    <row r="264" spans="1:11" ht="42.75" x14ac:dyDescent="0.2">
      <c r="A264" s="46" t="s">
        <v>204</v>
      </c>
      <c r="B264" s="46" t="s">
        <v>95</v>
      </c>
      <c r="C264" s="46" t="s">
        <v>35</v>
      </c>
      <c r="D264" s="46" t="s">
        <v>535</v>
      </c>
      <c r="E264" s="52" t="s">
        <v>115</v>
      </c>
      <c r="F264" s="46" t="s">
        <v>141</v>
      </c>
      <c r="G264" s="46" t="s">
        <v>536</v>
      </c>
      <c r="H264" s="66">
        <v>8442</v>
      </c>
      <c r="I264" s="47">
        <v>2018</v>
      </c>
      <c r="J264" s="46"/>
      <c r="K264" s="48"/>
    </row>
    <row r="265" spans="1:11" ht="42.75" x14ac:dyDescent="0.2">
      <c r="A265" s="46" t="s">
        <v>204</v>
      </c>
      <c r="B265" s="46" t="s">
        <v>95</v>
      </c>
      <c r="C265" s="46" t="s">
        <v>35</v>
      </c>
      <c r="D265" s="46" t="s">
        <v>533</v>
      </c>
      <c r="E265" s="52" t="s">
        <v>115</v>
      </c>
      <c r="F265" s="46" t="s">
        <v>141</v>
      </c>
      <c r="G265" s="46" t="s">
        <v>534</v>
      </c>
      <c r="H265" s="66">
        <v>10149</v>
      </c>
      <c r="I265" s="47">
        <v>2018</v>
      </c>
      <c r="J265" s="46"/>
      <c r="K265" s="48"/>
    </row>
    <row r="266" spans="1:11" ht="42.75" x14ac:dyDescent="0.2">
      <c r="A266" s="46" t="s">
        <v>204</v>
      </c>
      <c r="B266" s="46" t="s">
        <v>95</v>
      </c>
      <c r="C266" s="46" t="s">
        <v>35</v>
      </c>
      <c r="D266" s="46" t="s">
        <v>531</v>
      </c>
      <c r="E266" s="52" t="s">
        <v>115</v>
      </c>
      <c r="F266" s="46" t="s">
        <v>141</v>
      </c>
      <c r="G266" s="46" t="s">
        <v>532</v>
      </c>
      <c r="H266" s="66">
        <v>8442</v>
      </c>
      <c r="I266" s="47">
        <v>2019</v>
      </c>
      <c r="J266" s="46"/>
      <c r="K266" s="48"/>
    </row>
    <row r="267" spans="1:11" ht="42.75" x14ac:dyDescent="0.2">
      <c r="A267" s="46" t="s">
        <v>204</v>
      </c>
      <c r="B267" s="46" t="s">
        <v>95</v>
      </c>
      <c r="C267" s="46" t="s">
        <v>35</v>
      </c>
      <c r="D267" s="46" t="s">
        <v>529</v>
      </c>
      <c r="E267" s="52" t="s">
        <v>115</v>
      </c>
      <c r="F267" s="46" t="s">
        <v>141</v>
      </c>
      <c r="G267" s="46" t="s">
        <v>530</v>
      </c>
      <c r="H267" s="66">
        <v>8435</v>
      </c>
      <c r="I267" s="47">
        <v>2019</v>
      </c>
      <c r="J267" s="46"/>
      <c r="K267" s="48"/>
    </row>
    <row r="268" spans="1:11" ht="42.75" x14ac:dyDescent="0.2">
      <c r="A268" s="46" t="s">
        <v>204</v>
      </c>
      <c r="B268" s="46" t="s">
        <v>95</v>
      </c>
      <c r="C268" s="46" t="s">
        <v>35</v>
      </c>
      <c r="D268" s="46" t="s">
        <v>528</v>
      </c>
      <c r="E268" s="52" t="s">
        <v>115</v>
      </c>
      <c r="F268" s="46" t="s">
        <v>141</v>
      </c>
      <c r="G268" s="46" t="s">
        <v>427</v>
      </c>
      <c r="H268" s="66">
        <v>8582</v>
      </c>
      <c r="I268" s="47">
        <v>2019</v>
      </c>
      <c r="J268" s="46"/>
      <c r="K268" s="48"/>
    </row>
    <row r="269" spans="1:11" ht="42.75" x14ac:dyDescent="0.2">
      <c r="A269" s="46" t="s">
        <v>204</v>
      </c>
      <c r="B269" s="46" t="s">
        <v>95</v>
      </c>
      <c r="C269" s="46" t="s">
        <v>35</v>
      </c>
      <c r="D269" s="46" t="s">
        <v>520</v>
      </c>
      <c r="E269" s="52" t="s">
        <v>115</v>
      </c>
      <c r="F269" s="46" t="s">
        <v>141</v>
      </c>
      <c r="G269" s="46" t="s">
        <v>521</v>
      </c>
      <c r="H269" s="66">
        <v>10714</v>
      </c>
      <c r="I269" s="47">
        <v>2019</v>
      </c>
      <c r="J269" s="46"/>
      <c r="K269" s="48"/>
    </row>
    <row r="270" spans="1:11" ht="42.75" x14ac:dyDescent="0.2">
      <c r="A270" s="46" t="s">
        <v>204</v>
      </c>
      <c r="B270" s="46" t="s">
        <v>95</v>
      </c>
      <c r="C270" s="46" t="s">
        <v>35</v>
      </c>
      <c r="D270" s="46" t="s">
        <v>518</v>
      </c>
      <c r="E270" s="52" t="s">
        <v>115</v>
      </c>
      <c r="F270" s="46" t="s">
        <v>141</v>
      </c>
      <c r="G270" s="46" t="s">
        <v>519</v>
      </c>
      <c r="H270" s="66">
        <v>8863</v>
      </c>
      <c r="I270" s="47">
        <v>2020</v>
      </c>
      <c r="J270" s="46"/>
      <c r="K270" s="48"/>
    </row>
    <row r="271" spans="1:11" ht="42.75" x14ac:dyDescent="0.2">
      <c r="A271" s="46" t="s">
        <v>204</v>
      </c>
      <c r="B271" s="46" t="s">
        <v>95</v>
      </c>
      <c r="C271" s="46" t="s">
        <v>35</v>
      </c>
      <c r="D271" s="46" t="s">
        <v>524</v>
      </c>
      <c r="E271" s="52" t="s">
        <v>115</v>
      </c>
      <c r="F271" s="46" t="s">
        <v>141</v>
      </c>
      <c r="G271" s="46" t="s">
        <v>525</v>
      </c>
      <c r="H271" s="66">
        <v>9156</v>
      </c>
      <c r="I271" s="47">
        <v>2020</v>
      </c>
      <c r="J271" s="46"/>
      <c r="K271" s="48"/>
    </row>
    <row r="272" spans="1:11" ht="42.75" x14ac:dyDescent="0.2">
      <c r="A272" s="46" t="s">
        <v>204</v>
      </c>
      <c r="B272" s="46" t="s">
        <v>95</v>
      </c>
      <c r="C272" s="46" t="s">
        <v>35</v>
      </c>
      <c r="D272" s="46" t="s">
        <v>522</v>
      </c>
      <c r="E272" s="52" t="s">
        <v>115</v>
      </c>
      <c r="F272" s="46" t="s">
        <v>141</v>
      </c>
      <c r="G272" s="46" t="s">
        <v>523</v>
      </c>
      <c r="H272" s="66">
        <v>8423</v>
      </c>
      <c r="I272" s="47">
        <v>2020</v>
      </c>
      <c r="J272" s="46"/>
      <c r="K272" s="48"/>
    </row>
    <row r="273" spans="1:11" ht="42.75" x14ac:dyDescent="0.2">
      <c r="A273" s="46" t="s">
        <v>204</v>
      </c>
      <c r="B273" s="46" t="s">
        <v>95</v>
      </c>
      <c r="C273" s="46" t="s">
        <v>35</v>
      </c>
      <c r="D273" s="46" t="s">
        <v>1293</v>
      </c>
      <c r="E273" s="52" t="s">
        <v>115</v>
      </c>
      <c r="F273" s="46" t="s">
        <v>141</v>
      </c>
      <c r="G273" s="46" t="s">
        <v>1303</v>
      </c>
      <c r="H273" s="66">
        <v>8516</v>
      </c>
      <c r="I273" s="47">
        <v>2021</v>
      </c>
      <c r="J273" s="46"/>
      <c r="K273" s="48"/>
    </row>
    <row r="274" spans="1:11" ht="42.75" x14ac:dyDescent="0.2">
      <c r="A274" s="46" t="s">
        <v>204</v>
      </c>
      <c r="B274" s="46" t="s">
        <v>95</v>
      </c>
      <c r="C274" s="46" t="s">
        <v>35</v>
      </c>
      <c r="D274" s="46" t="s">
        <v>428</v>
      </c>
      <c r="E274" s="52" t="s">
        <v>115</v>
      </c>
      <c r="F274" s="46" t="s">
        <v>141</v>
      </c>
      <c r="G274" s="46" t="s">
        <v>1302</v>
      </c>
      <c r="H274" s="66">
        <v>8874</v>
      </c>
      <c r="I274" s="47">
        <v>2021</v>
      </c>
      <c r="J274" s="46"/>
      <c r="K274" s="67"/>
    </row>
    <row r="275" spans="1:11" ht="42.75" x14ac:dyDescent="0.2">
      <c r="A275" s="46" t="s">
        <v>204</v>
      </c>
      <c r="B275" s="46" t="s">
        <v>95</v>
      </c>
      <c r="C275" s="46" t="s">
        <v>35</v>
      </c>
      <c r="D275" s="46" t="s">
        <v>1294</v>
      </c>
      <c r="E275" s="52" t="s">
        <v>115</v>
      </c>
      <c r="F275" s="46" t="s">
        <v>141</v>
      </c>
      <c r="G275" s="46" t="s">
        <v>1301</v>
      </c>
      <c r="H275" s="66">
        <v>8972</v>
      </c>
      <c r="I275" s="47">
        <v>2021</v>
      </c>
      <c r="J275" s="46"/>
      <c r="K275" s="67"/>
    </row>
    <row r="276" spans="1:11" ht="42.75" x14ac:dyDescent="0.2">
      <c r="A276" s="46" t="s">
        <v>204</v>
      </c>
      <c r="B276" s="46" t="s">
        <v>95</v>
      </c>
      <c r="C276" s="46" t="s">
        <v>35</v>
      </c>
      <c r="D276" s="46" t="s">
        <v>1295</v>
      </c>
      <c r="E276" s="52" t="s">
        <v>115</v>
      </c>
      <c r="F276" s="46" t="s">
        <v>141</v>
      </c>
      <c r="G276" s="46" t="s">
        <v>1300</v>
      </c>
      <c r="H276" s="66">
        <v>11491</v>
      </c>
      <c r="I276" s="47">
        <v>2021</v>
      </c>
      <c r="J276" s="46"/>
      <c r="K276" s="67"/>
    </row>
    <row r="277" spans="1:11" ht="42.75" x14ac:dyDescent="0.2">
      <c r="A277" s="46" t="s">
        <v>204</v>
      </c>
      <c r="B277" s="46" t="s">
        <v>95</v>
      </c>
      <c r="C277" s="46" t="s">
        <v>35</v>
      </c>
      <c r="D277" s="46" t="s">
        <v>1296</v>
      </c>
      <c r="E277" s="52" t="s">
        <v>115</v>
      </c>
      <c r="F277" s="46" t="s">
        <v>141</v>
      </c>
      <c r="G277" s="46" t="s">
        <v>1299</v>
      </c>
      <c r="H277" s="66">
        <v>11068</v>
      </c>
      <c r="I277" s="47">
        <v>2022</v>
      </c>
      <c r="J277" s="46"/>
      <c r="K277" s="67"/>
    </row>
    <row r="278" spans="1:11" ht="42.75" x14ac:dyDescent="0.2">
      <c r="A278" s="46" t="s">
        <v>204</v>
      </c>
      <c r="B278" s="46" t="s">
        <v>95</v>
      </c>
      <c r="C278" s="46" t="s">
        <v>35</v>
      </c>
      <c r="D278" s="46" t="s">
        <v>1297</v>
      </c>
      <c r="E278" s="52" t="s">
        <v>115</v>
      </c>
      <c r="F278" s="46" t="s">
        <v>141</v>
      </c>
      <c r="G278" s="46" t="s">
        <v>1298</v>
      </c>
      <c r="H278" s="66">
        <v>11435</v>
      </c>
      <c r="I278" s="47">
        <v>2022</v>
      </c>
      <c r="J278" s="46"/>
      <c r="K278" s="67"/>
    </row>
    <row r="279" spans="1:11" ht="42.75" x14ac:dyDescent="0.2">
      <c r="A279" s="46" t="s">
        <v>204</v>
      </c>
      <c r="B279" s="46" t="s">
        <v>95</v>
      </c>
      <c r="C279" s="46" t="s">
        <v>35</v>
      </c>
      <c r="D279" s="46" t="s">
        <v>1305</v>
      </c>
      <c r="E279" s="52" t="s">
        <v>115</v>
      </c>
      <c r="F279" s="46" t="s">
        <v>141</v>
      </c>
      <c r="G279" s="46" t="s">
        <v>1304</v>
      </c>
      <c r="H279" s="66">
        <v>10818</v>
      </c>
      <c r="I279" s="47">
        <v>2022</v>
      </c>
      <c r="J279" s="46"/>
      <c r="K279" s="48"/>
    </row>
    <row r="280" spans="1:11" ht="28.5" x14ac:dyDescent="0.2">
      <c r="A280" s="48" t="s">
        <v>204</v>
      </c>
      <c r="B280" s="48" t="s">
        <v>94</v>
      </c>
      <c r="C280" s="48" t="s">
        <v>36</v>
      </c>
      <c r="D280" s="46" t="s">
        <v>1201</v>
      </c>
      <c r="E280" s="80" t="s">
        <v>115</v>
      </c>
      <c r="F280" s="53" t="s">
        <v>141</v>
      </c>
      <c r="G280" s="46" t="s">
        <v>1202</v>
      </c>
      <c r="H280" s="67">
        <v>6244</v>
      </c>
      <c r="I280" s="49">
        <v>2022</v>
      </c>
      <c r="K280" s="81"/>
    </row>
    <row r="281" spans="1:11" ht="28.5" x14ac:dyDescent="0.2">
      <c r="A281" s="48" t="s">
        <v>204</v>
      </c>
      <c r="B281" s="48" t="s">
        <v>95</v>
      </c>
      <c r="C281" s="48" t="s">
        <v>34</v>
      </c>
      <c r="D281" s="46" t="s">
        <v>1108</v>
      </c>
      <c r="E281" s="80" t="s">
        <v>43</v>
      </c>
      <c r="F281" s="53" t="s">
        <v>240</v>
      </c>
      <c r="G281" s="46" t="s">
        <v>1107</v>
      </c>
      <c r="H281" s="67">
        <v>7412</v>
      </c>
      <c r="I281" s="49">
        <v>2021</v>
      </c>
      <c r="K281" s="81"/>
    </row>
    <row r="282" spans="1:11" ht="28.5" x14ac:dyDescent="0.2">
      <c r="A282" s="48" t="s">
        <v>204</v>
      </c>
      <c r="B282" s="48" t="s">
        <v>95</v>
      </c>
      <c r="C282" s="48" t="s">
        <v>38</v>
      </c>
      <c r="D282" s="46" t="s">
        <v>362</v>
      </c>
      <c r="E282" s="53" t="s">
        <v>43</v>
      </c>
      <c r="F282" s="48" t="s">
        <v>240</v>
      </c>
      <c r="G282" s="46" t="s">
        <v>363</v>
      </c>
      <c r="H282" s="67">
        <v>17714</v>
      </c>
      <c r="I282" s="49">
        <v>2018</v>
      </c>
      <c r="K282" s="48"/>
    </row>
    <row r="283" spans="1:11" ht="28.5" x14ac:dyDescent="0.2">
      <c r="A283" s="48" t="s">
        <v>204</v>
      </c>
      <c r="B283" s="48" t="s">
        <v>94</v>
      </c>
      <c r="C283" s="48" t="s">
        <v>39</v>
      </c>
      <c r="D283" s="50" t="s">
        <v>606</v>
      </c>
      <c r="E283" s="53" t="s">
        <v>43</v>
      </c>
      <c r="F283" s="48" t="s">
        <v>141</v>
      </c>
      <c r="G283" s="46" t="s">
        <v>702</v>
      </c>
      <c r="H283" s="81">
        <v>40064</v>
      </c>
      <c r="I283" s="49">
        <v>2014</v>
      </c>
      <c r="K283" s="48"/>
    </row>
    <row r="284" spans="1:11" ht="28.5" x14ac:dyDescent="0.2">
      <c r="A284" s="48" t="s">
        <v>204</v>
      </c>
      <c r="B284" s="48" t="s">
        <v>94</v>
      </c>
      <c r="C284" s="48" t="s">
        <v>39</v>
      </c>
      <c r="D284" s="50" t="s">
        <v>607</v>
      </c>
      <c r="E284" s="53" t="s">
        <v>43</v>
      </c>
      <c r="F284" s="48" t="s">
        <v>141</v>
      </c>
      <c r="G284" s="46" t="s">
        <v>703</v>
      </c>
      <c r="H284" s="81">
        <v>41480</v>
      </c>
      <c r="I284" s="49">
        <v>2014</v>
      </c>
      <c r="K284" s="48"/>
    </row>
    <row r="285" spans="1:11" ht="28.5" x14ac:dyDescent="0.2">
      <c r="A285" s="46" t="s">
        <v>204</v>
      </c>
      <c r="B285" s="46" t="s">
        <v>94</v>
      </c>
      <c r="C285" s="46" t="s">
        <v>39</v>
      </c>
      <c r="D285" s="46" t="s">
        <v>1269</v>
      </c>
      <c r="E285" s="52" t="s">
        <v>43</v>
      </c>
      <c r="F285" s="46" t="s">
        <v>141</v>
      </c>
      <c r="G285" s="46" t="s">
        <v>200</v>
      </c>
      <c r="H285" s="66">
        <v>95647</v>
      </c>
      <c r="I285" s="47">
        <v>2015</v>
      </c>
      <c r="J285" s="46"/>
      <c r="K285" s="48"/>
    </row>
    <row r="286" spans="1:11" ht="28.5" x14ac:dyDescent="0.2">
      <c r="A286" s="48" t="s">
        <v>204</v>
      </c>
      <c r="B286" s="48" t="s">
        <v>94</v>
      </c>
      <c r="C286" s="48" t="s">
        <v>39</v>
      </c>
      <c r="D286" s="50" t="s">
        <v>608</v>
      </c>
      <c r="E286" s="53" t="s">
        <v>43</v>
      </c>
      <c r="F286" s="48" t="s">
        <v>141</v>
      </c>
      <c r="G286" s="46" t="s">
        <v>704</v>
      </c>
      <c r="H286" s="81">
        <v>43083</v>
      </c>
      <c r="I286" s="49">
        <v>2015</v>
      </c>
      <c r="K286" s="48"/>
    </row>
    <row r="287" spans="1:11" ht="28.5" x14ac:dyDescent="0.2">
      <c r="A287" s="48" t="s">
        <v>204</v>
      </c>
      <c r="B287" s="48" t="s">
        <v>94</v>
      </c>
      <c r="C287" s="48" t="s">
        <v>39</v>
      </c>
      <c r="D287" s="50" t="s">
        <v>609</v>
      </c>
      <c r="E287" s="53" t="s">
        <v>43</v>
      </c>
      <c r="F287" s="48" t="s">
        <v>141</v>
      </c>
      <c r="G287" s="46" t="s">
        <v>705</v>
      </c>
      <c r="H287" s="81">
        <v>48848</v>
      </c>
      <c r="I287" s="49">
        <v>2015</v>
      </c>
      <c r="K287" s="48"/>
    </row>
    <row r="288" spans="1:11" ht="28.5" x14ac:dyDescent="0.2">
      <c r="A288" s="48" t="s">
        <v>204</v>
      </c>
      <c r="B288" s="48" t="s">
        <v>94</v>
      </c>
      <c r="C288" s="48" t="s">
        <v>39</v>
      </c>
      <c r="D288" s="50" t="s">
        <v>610</v>
      </c>
      <c r="E288" s="53" t="s">
        <v>43</v>
      </c>
      <c r="F288" s="48" t="s">
        <v>141</v>
      </c>
      <c r="G288" s="46" t="s">
        <v>706</v>
      </c>
      <c r="H288" s="81">
        <v>52761</v>
      </c>
      <c r="I288" s="49">
        <v>2015</v>
      </c>
      <c r="K288" s="48"/>
    </row>
    <row r="289" spans="1:11" ht="28.5" x14ac:dyDescent="0.2">
      <c r="A289" s="48" t="s">
        <v>204</v>
      </c>
      <c r="B289" s="48" t="s">
        <v>94</v>
      </c>
      <c r="C289" s="48" t="s">
        <v>39</v>
      </c>
      <c r="D289" s="50" t="s">
        <v>611</v>
      </c>
      <c r="E289" s="53" t="s">
        <v>43</v>
      </c>
      <c r="F289" s="48" t="s">
        <v>141</v>
      </c>
      <c r="G289" s="46" t="s">
        <v>707</v>
      </c>
      <c r="H289" s="81">
        <v>43160</v>
      </c>
      <c r="I289" s="49">
        <v>2015</v>
      </c>
      <c r="K289" s="48"/>
    </row>
    <row r="290" spans="1:11" ht="28.5" x14ac:dyDescent="0.2">
      <c r="A290" s="48" t="s">
        <v>204</v>
      </c>
      <c r="B290" s="48" t="s">
        <v>94</v>
      </c>
      <c r="C290" s="48" t="s">
        <v>39</v>
      </c>
      <c r="D290" s="50" t="s">
        <v>612</v>
      </c>
      <c r="E290" s="53" t="s">
        <v>43</v>
      </c>
      <c r="F290" s="48" t="s">
        <v>141</v>
      </c>
      <c r="G290" s="46" t="s">
        <v>708</v>
      </c>
      <c r="H290" s="81">
        <v>40434</v>
      </c>
      <c r="I290" s="49">
        <v>2016</v>
      </c>
      <c r="K290" s="48"/>
    </row>
    <row r="291" spans="1:11" ht="28.5" x14ac:dyDescent="0.2">
      <c r="A291" s="48" t="s">
        <v>204</v>
      </c>
      <c r="B291" s="48" t="s">
        <v>94</v>
      </c>
      <c r="C291" s="48" t="s">
        <v>39</v>
      </c>
      <c r="D291" s="50" t="s">
        <v>613</v>
      </c>
      <c r="E291" s="53" t="s">
        <v>43</v>
      </c>
      <c r="F291" s="48" t="s">
        <v>141</v>
      </c>
      <c r="G291" s="46" t="s">
        <v>709</v>
      </c>
      <c r="H291" s="81">
        <v>42047</v>
      </c>
      <c r="I291" s="49">
        <v>2016</v>
      </c>
      <c r="K291" s="48"/>
    </row>
    <row r="292" spans="1:11" ht="28.5" x14ac:dyDescent="0.2">
      <c r="A292" s="48" t="s">
        <v>204</v>
      </c>
      <c r="B292" s="48" t="s">
        <v>94</v>
      </c>
      <c r="C292" s="48" t="s">
        <v>39</v>
      </c>
      <c r="D292" s="50" t="s">
        <v>614</v>
      </c>
      <c r="E292" s="53" t="s">
        <v>43</v>
      </c>
      <c r="F292" s="48" t="s">
        <v>141</v>
      </c>
      <c r="G292" s="46" t="s">
        <v>710</v>
      </c>
      <c r="H292" s="81">
        <v>49522</v>
      </c>
      <c r="I292" s="49">
        <v>2016</v>
      </c>
      <c r="K292" s="48"/>
    </row>
    <row r="293" spans="1:11" ht="28.5" x14ac:dyDescent="0.2">
      <c r="A293" s="48" t="s">
        <v>204</v>
      </c>
      <c r="B293" s="48" t="s">
        <v>94</v>
      </c>
      <c r="C293" s="48" t="s">
        <v>39</v>
      </c>
      <c r="D293" s="50" t="s">
        <v>615</v>
      </c>
      <c r="E293" s="53" t="s">
        <v>43</v>
      </c>
      <c r="F293" s="48" t="s">
        <v>141</v>
      </c>
      <c r="G293" s="46" t="s">
        <v>713</v>
      </c>
      <c r="H293" s="81">
        <v>22988</v>
      </c>
      <c r="I293" s="49">
        <v>2016</v>
      </c>
      <c r="K293" s="48"/>
    </row>
    <row r="294" spans="1:11" x14ac:dyDescent="0.2">
      <c r="A294" s="48" t="s">
        <v>204</v>
      </c>
      <c r="B294" s="48" t="s">
        <v>94</v>
      </c>
      <c r="C294" s="48" t="s">
        <v>39</v>
      </c>
      <c r="D294" s="50" t="s">
        <v>616</v>
      </c>
      <c r="E294" s="53" t="s">
        <v>43</v>
      </c>
      <c r="F294" s="48" t="s">
        <v>141</v>
      </c>
      <c r="G294" s="46" t="s">
        <v>711</v>
      </c>
      <c r="H294" s="81">
        <v>38781</v>
      </c>
      <c r="I294" s="49">
        <v>2016</v>
      </c>
      <c r="K294" s="48"/>
    </row>
    <row r="295" spans="1:11" ht="28.5" x14ac:dyDescent="0.2">
      <c r="A295" s="48" t="s">
        <v>204</v>
      </c>
      <c r="B295" s="48" t="s">
        <v>94</v>
      </c>
      <c r="C295" s="48" t="s">
        <v>39</v>
      </c>
      <c r="D295" s="50" t="s">
        <v>617</v>
      </c>
      <c r="E295" s="53" t="s">
        <v>43</v>
      </c>
      <c r="F295" s="48" t="s">
        <v>141</v>
      </c>
      <c r="G295" s="46" t="s">
        <v>712</v>
      </c>
      <c r="H295" s="81">
        <v>17285</v>
      </c>
      <c r="I295" s="49">
        <v>2017</v>
      </c>
      <c r="K295" s="48"/>
    </row>
    <row r="296" spans="1:11" ht="28.5" x14ac:dyDescent="0.2">
      <c r="A296" s="48" t="s">
        <v>204</v>
      </c>
      <c r="B296" s="48" t="s">
        <v>94</v>
      </c>
      <c r="C296" s="48" t="s">
        <v>39</v>
      </c>
      <c r="D296" s="50" t="s">
        <v>618</v>
      </c>
      <c r="E296" s="53" t="s">
        <v>43</v>
      </c>
      <c r="F296" s="48" t="s">
        <v>141</v>
      </c>
      <c r="G296" s="46" t="s">
        <v>714</v>
      </c>
      <c r="H296" s="81">
        <v>14572</v>
      </c>
      <c r="I296" s="49">
        <v>2017</v>
      </c>
      <c r="K296" s="48"/>
    </row>
    <row r="297" spans="1:11" ht="28.5" x14ac:dyDescent="0.2">
      <c r="A297" s="48" t="s">
        <v>204</v>
      </c>
      <c r="B297" s="48" t="s">
        <v>94</v>
      </c>
      <c r="C297" s="48" t="s">
        <v>39</v>
      </c>
      <c r="D297" s="50" t="s">
        <v>619</v>
      </c>
      <c r="E297" s="53" t="s">
        <v>43</v>
      </c>
      <c r="F297" s="48" t="s">
        <v>141</v>
      </c>
      <c r="G297" s="46" t="s">
        <v>715</v>
      </c>
      <c r="H297" s="81">
        <v>17134</v>
      </c>
      <c r="I297" s="49">
        <v>2017</v>
      </c>
      <c r="K297" s="48"/>
    </row>
    <row r="298" spans="1:11" ht="28.5" x14ac:dyDescent="0.2">
      <c r="A298" s="48" t="s">
        <v>204</v>
      </c>
      <c r="B298" s="48" t="s">
        <v>94</v>
      </c>
      <c r="C298" s="48" t="s">
        <v>39</v>
      </c>
      <c r="D298" s="50" t="s">
        <v>620</v>
      </c>
      <c r="E298" s="53" t="s">
        <v>43</v>
      </c>
      <c r="F298" s="48" t="s">
        <v>141</v>
      </c>
      <c r="G298" s="46" t="s">
        <v>716</v>
      </c>
      <c r="H298" s="81">
        <v>16552</v>
      </c>
      <c r="I298" s="49">
        <v>2017</v>
      </c>
      <c r="K298" s="48"/>
    </row>
    <row r="299" spans="1:11" x14ac:dyDescent="0.2">
      <c r="A299" s="48" t="s">
        <v>204</v>
      </c>
      <c r="B299" s="48" t="s">
        <v>94</v>
      </c>
      <c r="C299" s="48" t="s">
        <v>39</v>
      </c>
      <c r="D299" s="50" t="s">
        <v>621</v>
      </c>
      <c r="E299" s="53" t="s">
        <v>43</v>
      </c>
      <c r="F299" s="48" t="s">
        <v>141</v>
      </c>
      <c r="G299" s="46" t="s">
        <v>717</v>
      </c>
      <c r="H299" s="81">
        <v>29434</v>
      </c>
      <c r="I299" s="49">
        <v>2017</v>
      </c>
      <c r="K299" s="48"/>
    </row>
    <row r="300" spans="1:11" x14ac:dyDescent="0.2">
      <c r="A300" s="48" t="s">
        <v>204</v>
      </c>
      <c r="B300" s="48" t="s">
        <v>94</v>
      </c>
      <c r="C300" s="48" t="s">
        <v>39</v>
      </c>
      <c r="D300" s="50" t="s">
        <v>622</v>
      </c>
      <c r="E300" s="53" t="s">
        <v>43</v>
      </c>
      <c r="F300" s="48" t="s">
        <v>141</v>
      </c>
      <c r="G300" s="46" t="s">
        <v>718</v>
      </c>
      <c r="H300" s="81">
        <v>18238</v>
      </c>
      <c r="I300" s="49">
        <v>2018</v>
      </c>
      <c r="K300" s="48"/>
    </row>
    <row r="301" spans="1:11" x14ac:dyDescent="0.2">
      <c r="A301" s="48" t="s">
        <v>204</v>
      </c>
      <c r="B301" s="48" t="s">
        <v>94</v>
      </c>
      <c r="C301" s="48" t="s">
        <v>39</v>
      </c>
      <c r="D301" s="50" t="s">
        <v>623</v>
      </c>
      <c r="E301" s="53" t="s">
        <v>43</v>
      </c>
      <c r="F301" s="48" t="s">
        <v>141</v>
      </c>
      <c r="G301" s="46" t="s">
        <v>719</v>
      </c>
      <c r="H301" s="81">
        <v>17053</v>
      </c>
      <c r="I301" s="49">
        <v>2018</v>
      </c>
      <c r="K301" s="48"/>
    </row>
    <row r="302" spans="1:11" x14ac:dyDescent="0.2">
      <c r="A302" s="48" t="s">
        <v>204</v>
      </c>
      <c r="B302" s="48" t="s">
        <v>94</v>
      </c>
      <c r="C302" s="48" t="s">
        <v>39</v>
      </c>
      <c r="D302" s="50" t="s">
        <v>624</v>
      </c>
      <c r="E302" s="53" t="s">
        <v>43</v>
      </c>
      <c r="F302" s="48" t="s">
        <v>141</v>
      </c>
      <c r="G302" s="46" t="s">
        <v>720</v>
      </c>
      <c r="H302" s="81">
        <v>20737</v>
      </c>
      <c r="I302" s="49">
        <v>2018</v>
      </c>
      <c r="K302" s="48"/>
    </row>
    <row r="303" spans="1:11" ht="28.5" x14ac:dyDescent="0.2">
      <c r="A303" s="48" t="s">
        <v>204</v>
      </c>
      <c r="B303" s="48" t="s">
        <v>94</v>
      </c>
      <c r="C303" s="48" t="s">
        <v>39</v>
      </c>
      <c r="D303" s="50" t="s">
        <v>625</v>
      </c>
      <c r="E303" s="53" t="s">
        <v>43</v>
      </c>
      <c r="F303" s="48" t="s">
        <v>141</v>
      </c>
      <c r="G303" s="46" t="s">
        <v>721</v>
      </c>
      <c r="H303" s="81">
        <v>20902</v>
      </c>
      <c r="I303" s="49">
        <v>2018</v>
      </c>
      <c r="K303" s="48"/>
    </row>
    <row r="304" spans="1:11" x14ac:dyDescent="0.2">
      <c r="A304" s="48" t="s">
        <v>204</v>
      </c>
      <c r="B304" s="48" t="s">
        <v>94</v>
      </c>
      <c r="C304" s="48" t="s">
        <v>39</v>
      </c>
      <c r="D304" s="50" t="s">
        <v>626</v>
      </c>
      <c r="E304" s="53" t="s">
        <v>43</v>
      </c>
      <c r="F304" s="48" t="s">
        <v>141</v>
      </c>
      <c r="G304" s="46" t="s">
        <v>722</v>
      </c>
      <c r="H304" s="81">
        <v>30642</v>
      </c>
      <c r="I304" s="49">
        <v>2018</v>
      </c>
      <c r="K304" s="48"/>
    </row>
    <row r="305" spans="1:11" x14ac:dyDescent="0.2">
      <c r="A305" s="48" t="s">
        <v>204</v>
      </c>
      <c r="B305" s="48" t="s">
        <v>94</v>
      </c>
      <c r="C305" s="48" t="s">
        <v>39</v>
      </c>
      <c r="D305" s="50" t="s">
        <v>627</v>
      </c>
      <c r="E305" s="53" t="s">
        <v>43</v>
      </c>
      <c r="F305" s="48" t="s">
        <v>141</v>
      </c>
      <c r="G305" s="46" t="s">
        <v>723</v>
      </c>
      <c r="H305" s="81">
        <v>20539</v>
      </c>
      <c r="I305" s="49">
        <v>2019</v>
      </c>
      <c r="K305" s="48"/>
    </row>
    <row r="306" spans="1:11" x14ac:dyDescent="0.2">
      <c r="A306" s="48" t="s">
        <v>204</v>
      </c>
      <c r="B306" s="48" t="s">
        <v>94</v>
      </c>
      <c r="C306" s="48" t="s">
        <v>39</v>
      </c>
      <c r="D306" s="50" t="s">
        <v>628</v>
      </c>
      <c r="E306" s="53" t="s">
        <v>43</v>
      </c>
      <c r="F306" s="48" t="s">
        <v>141</v>
      </c>
      <c r="G306" s="46" t="s">
        <v>724</v>
      </c>
      <c r="H306" s="81">
        <v>20166</v>
      </c>
      <c r="I306" s="49">
        <v>2019</v>
      </c>
      <c r="K306" s="48"/>
    </row>
    <row r="307" spans="1:11" x14ac:dyDescent="0.2">
      <c r="A307" s="48" t="s">
        <v>204</v>
      </c>
      <c r="B307" s="48" t="s">
        <v>94</v>
      </c>
      <c r="C307" s="48" t="s">
        <v>39</v>
      </c>
      <c r="D307" s="50" t="s">
        <v>629</v>
      </c>
      <c r="E307" s="53" t="s">
        <v>43</v>
      </c>
      <c r="F307" s="48" t="s">
        <v>141</v>
      </c>
      <c r="G307" s="46" t="s">
        <v>725</v>
      </c>
      <c r="H307" s="81">
        <v>20462</v>
      </c>
      <c r="I307" s="49">
        <v>2019</v>
      </c>
      <c r="K307" s="48"/>
    </row>
    <row r="308" spans="1:11" ht="28.5" x14ac:dyDescent="0.2">
      <c r="A308" s="48" t="s">
        <v>204</v>
      </c>
      <c r="B308" s="48" t="s">
        <v>94</v>
      </c>
      <c r="C308" s="48" t="s">
        <v>39</v>
      </c>
      <c r="D308" s="50" t="s">
        <v>630</v>
      </c>
      <c r="E308" s="53" t="s">
        <v>43</v>
      </c>
      <c r="F308" s="48" t="s">
        <v>141</v>
      </c>
      <c r="G308" s="46" t="s">
        <v>726</v>
      </c>
      <c r="H308" s="81">
        <v>22957</v>
      </c>
      <c r="I308" s="49">
        <v>2019</v>
      </c>
      <c r="K308" s="48"/>
    </row>
    <row r="309" spans="1:11" x14ac:dyDescent="0.2">
      <c r="A309" s="48" t="s">
        <v>204</v>
      </c>
      <c r="B309" s="48" t="s">
        <v>94</v>
      </c>
      <c r="C309" s="48" t="s">
        <v>39</v>
      </c>
      <c r="D309" s="50" t="s">
        <v>631</v>
      </c>
      <c r="E309" s="53" t="s">
        <v>43</v>
      </c>
      <c r="F309" s="48" t="s">
        <v>141</v>
      </c>
      <c r="G309" s="46" t="s">
        <v>727</v>
      </c>
      <c r="H309" s="81">
        <v>32870</v>
      </c>
      <c r="I309" s="49">
        <v>2019</v>
      </c>
      <c r="K309" s="48"/>
    </row>
    <row r="310" spans="1:11" x14ac:dyDescent="0.2">
      <c r="A310" s="48" t="s">
        <v>204</v>
      </c>
      <c r="B310" s="48" t="s">
        <v>94</v>
      </c>
      <c r="C310" s="48" t="s">
        <v>39</v>
      </c>
      <c r="D310" s="50" t="s">
        <v>632</v>
      </c>
      <c r="E310" s="53" t="s">
        <v>43</v>
      </c>
      <c r="F310" s="48" t="s">
        <v>141</v>
      </c>
      <c r="G310" s="46" t="s">
        <v>728</v>
      </c>
      <c r="H310" s="81">
        <v>27550</v>
      </c>
      <c r="I310" s="49">
        <v>2020</v>
      </c>
      <c r="K310" s="48"/>
    </row>
    <row r="311" spans="1:11" x14ac:dyDescent="0.2">
      <c r="A311" s="48" t="s">
        <v>204</v>
      </c>
      <c r="B311" s="48" t="s">
        <v>94</v>
      </c>
      <c r="C311" s="48" t="s">
        <v>39</v>
      </c>
      <c r="D311" s="50" t="s">
        <v>633</v>
      </c>
      <c r="E311" s="53" t="s">
        <v>43</v>
      </c>
      <c r="F311" s="48" t="s">
        <v>141</v>
      </c>
      <c r="G311" s="46" t="s">
        <v>729</v>
      </c>
      <c r="H311" s="81">
        <v>25709</v>
      </c>
      <c r="I311" s="49">
        <v>2020</v>
      </c>
      <c r="K311" s="48"/>
    </row>
    <row r="312" spans="1:11" x14ac:dyDescent="0.2">
      <c r="A312" s="48" t="s">
        <v>204</v>
      </c>
      <c r="B312" s="48" t="s">
        <v>94</v>
      </c>
      <c r="C312" s="48" t="s">
        <v>39</v>
      </c>
      <c r="D312" s="50" t="s">
        <v>634</v>
      </c>
      <c r="E312" s="53" t="s">
        <v>43</v>
      </c>
      <c r="F312" s="48" t="s">
        <v>141</v>
      </c>
      <c r="G312" s="46" t="s">
        <v>730</v>
      </c>
      <c r="H312" s="81">
        <v>14063</v>
      </c>
      <c r="I312" s="49">
        <v>2020</v>
      </c>
      <c r="K312" s="48"/>
    </row>
    <row r="313" spans="1:11" ht="28.5" x14ac:dyDescent="0.2">
      <c r="A313" s="48" t="s">
        <v>204</v>
      </c>
      <c r="B313" s="48" t="s">
        <v>94</v>
      </c>
      <c r="C313" s="48" t="s">
        <v>39</v>
      </c>
      <c r="D313" s="50" t="s">
        <v>635</v>
      </c>
      <c r="E313" s="53" t="s">
        <v>43</v>
      </c>
      <c r="F313" s="48" t="s">
        <v>141</v>
      </c>
      <c r="G313" s="46" t="s">
        <v>731</v>
      </c>
      <c r="H313" s="81">
        <v>22029</v>
      </c>
      <c r="I313" s="49">
        <v>2020</v>
      </c>
      <c r="K313" s="48"/>
    </row>
    <row r="314" spans="1:11" x14ac:dyDescent="0.2">
      <c r="A314" s="48" t="s">
        <v>204</v>
      </c>
      <c r="B314" s="48" t="s">
        <v>94</v>
      </c>
      <c r="C314" s="48" t="s">
        <v>39</v>
      </c>
      <c r="D314" s="50" t="s">
        <v>636</v>
      </c>
      <c r="E314" s="53" t="s">
        <v>43</v>
      </c>
      <c r="F314" s="48" t="s">
        <v>141</v>
      </c>
      <c r="G314" s="46" t="s">
        <v>732</v>
      </c>
      <c r="H314" s="81">
        <v>34478</v>
      </c>
      <c r="I314" s="49">
        <v>2020</v>
      </c>
      <c r="K314" s="48"/>
    </row>
    <row r="315" spans="1:11" ht="28.5" x14ac:dyDescent="0.2">
      <c r="A315" s="48" t="s">
        <v>204</v>
      </c>
      <c r="B315" s="48" t="s">
        <v>94</v>
      </c>
      <c r="C315" s="48" t="s">
        <v>387</v>
      </c>
      <c r="D315" s="50" t="s">
        <v>637</v>
      </c>
      <c r="E315" s="53" t="s">
        <v>43</v>
      </c>
      <c r="F315" s="48" t="s">
        <v>141</v>
      </c>
      <c r="G315" s="46" t="s">
        <v>734</v>
      </c>
      <c r="H315" s="81">
        <v>9555</v>
      </c>
      <c r="I315" s="49">
        <v>2015</v>
      </c>
      <c r="K315" s="48"/>
    </row>
    <row r="316" spans="1:11" ht="28.5" x14ac:dyDescent="0.2">
      <c r="A316" s="48" t="s">
        <v>204</v>
      </c>
      <c r="B316" s="48" t="s">
        <v>94</v>
      </c>
      <c r="C316" s="48" t="s">
        <v>387</v>
      </c>
      <c r="D316" s="50" t="s">
        <v>802</v>
      </c>
      <c r="E316" s="53" t="s">
        <v>43</v>
      </c>
      <c r="F316" s="53" t="s">
        <v>219</v>
      </c>
      <c r="G316" s="46" t="s">
        <v>870</v>
      </c>
      <c r="H316" s="61">
        <v>12989</v>
      </c>
      <c r="I316" s="49">
        <v>2015</v>
      </c>
      <c r="K316" s="81"/>
    </row>
    <row r="317" spans="1:11" ht="28.5" x14ac:dyDescent="0.2">
      <c r="A317" s="48" t="s">
        <v>204</v>
      </c>
      <c r="B317" s="48" t="s">
        <v>94</v>
      </c>
      <c r="C317" s="48" t="s">
        <v>387</v>
      </c>
      <c r="D317" s="50" t="s">
        <v>638</v>
      </c>
      <c r="E317" s="53" t="s">
        <v>43</v>
      </c>
      <c r="F317" s="48" t="s">
        <v>141</v>
      </c>
      <c r="G317" s="46" t="s">
        <v>735</v>
      </c>
      <c r="H317" s="81">
        <v>7000</v>
      </c>
      <c r="I317" s="49">
        <v>2015</v>
      </c>
      <c r="K317" s="48"/>
    </row>
    <row r="318" spans="1:11" ht="28.5" x14ac:dyDescent="0.2">
      <c r="A318" s="48" t="s">
        <v>204</v>
      </c>
      <c r="B318" s="48" t="s">
        <v>94</v>
      </c>
      <c r="C318" s="48" t="s">
        <v>387</v>
      </c>
      <c r="D318" s="50" t="s">
        <v>803</v>
      </c>
      <c r="E318" s="53" t="s">
        <v>43</v>
      </c>
      <c r="F318" s="53" t="s">
        <v>219</v>
      </c>
      <c r="G318" s="46" t="s">
        <v>871</v>
      </c>
      <c r="H318" s="61">
        <v>8837</v>
      </c>
      <c r="I318" s="49">
        <v>2015</v>
      </c>
      <c r="K318" s="81"/>
    </row>
    <row r="319" spans="1:11" ht="28.5" x14ac:dyDescent="0.2">
      <c r="A319" s="48" t="s">
        <v>204</v>
      </c>
      <c r="B319" s="48" t="s">
        <v>94</v>
      </c>
      <c r="C319" s="48" t="s">
        <v>387</v>
      </c>
      <c r="D319" s="50" t="s">
        <v>639</v>
      </c>
      <c r="E319" s="53" t="s">
        <v>43</v>
      </c>
      <c r="F319" s="48" t="s">
        <v>141</v>
      </c>
      <c r="G319" s="46" t="s">
        <v>736</v>
      </c>
      <c r="H319" s="81">
        <v>9812</v>
      </c>
      <c r="I319" s="49">
        <v>2015</v>
      </c>
      <c r="K319" s="48"/>
    </row>
    <row r="320" spans="1:11" ht="28.5" x14ac:dyDescent="0.2">
      <c r="A320" s="48" t="s">
        <v>204</v>
      </c>
      <c r="B320" s="48" t="s">
        <v>94</v>
      </c>
      <c r="C320" s="48" t="s">
        <v>387</v>
      </c>
      <c r="D320" s="50" t="s">
        <v>804</v>
      </c>
      <c r="E320" s="53" t="s">
        <v>43</v>
      </c>
      <c r="F320" s="53" t="s">
        <v>219</v>
      </c>
      <c r="G320" s="46" t="s">
        <v>872</v>
      </c>
      <c r="H320" s="61">
        <v>12964</v>
      </c>
      <c r="I320" s="49">
        <v>2015</v>
      </c>
      <c r="K320" s="81"/>
    </row>
    <row r="321" spans="1:11" ht="28.5" x14ac:dyDescent="0.2">
      <c r="A321" s="48" t="s">
        <v>204</v>
      </c>
      <c r="B321" s="48" t="s">
        <v>94</v>
      </c>
      <c r="C321" s="48" t="s">
        <v>387</v>
      </c>
      <c r="D321" s="50" t="s">
        <v>640</v>
      </c>
      <c r="E321" s="53" t="s">
        <v>43</v>
      </c>
      <c r="F321" s="48" t="s">
        <v>141</v>
      </c>
      <c r="G321" s="46" t="s">
        <v>737</v>
      </c>
      <c r="H321" s="81">
        <v>7755</v>
      </c>
      <c r="I321" s="49">
        <v>2015</v>
      </c>
      <c r="K321" s="48"/>
    </row>
    <row r="322" spans="1:11" ht="28.5" x14ac:dyDescent="0.2">
      <c r="A322" s="48" t="s">
        <v>204</v>
      </c>
      <c r="B322" s="48" t="s">
        <v>94</v>
      </c>
      <c r="C322" s="48" t="s">
        <v>387</v>
      </c>
      <c r="D322" s="50" t="s">
        <v>805</v>
      </c>
      <c r="E322" s="53" t="s">
        <v>43</v>
      </c>
      <c r="F322" s="53" t="s">
        <v>219</v>
      </c>
      <c r="G322" s="46" t="s">
        <v>873</v>
      </c>
      <c r="H322" s="61">
        <v>9971</v>
      </c>
      <c r="I322" s="49">
        <v>2015</v>
      </c>
      <c r="K322" s="81"/>
    </row>
    <row r="323" spans="1:11" ht="28.5" x14ac:dyDescent="0.2">
      <c r="A323" s="48" t="s">
        <v>204</v>
      </c>
      <c r="B323" s="48" t="s">
        <v>94</v>
      </c>
      <c r="C323" s="48" t="s">
        <v>387</v>
      </c>
      <c r="D323" s="50" t="s">
        <v>641</v>
      </c>
      <c r="E323" s="53" t="s">
        <v>43</v>
      </c>
      <c r="F323" s="48" t="s">
        <v>141</v>
      </c>
      <c r="G323" s="46" t="s">
        <v>738</v>
      </c>
      <c r="H323" s="81">
        <v>9967</v>
      </c>
      <c r="I323" s="49">
        <v>2015</v>
      </c>
      <c r="K323" s="48"/>
    </row>
    <row r="324" spans="1:11" ht="28.5" x14ac:dyDescent="0.2">
      <c r="A324" s="48" t="s">
        <v>204</v>
      </c>
      <c r="B324" s="48" t="s">
        <v>94</v>
      </c>
      <c r="C324" s="48" t="s">
        <v>387</v>
      </c>
      <c r="D324" s="50" t="s">
        <v>806</v>
      </c>
      <c r="E324" s="53" t="s">
        <v>43</v>
      </c>
      <c r="F324" s="53" t="s">
        <v>219</v>
      </c>
      <c r="G324" s="46" t="s">
        <v>874</v>
      </c>
      <c r="H324" s="61">
        <v>13673</v>
      </c>
      <c r="I324" s="49">
        <v>2015</v>
      </c>
      <c r="K324" s="81"/>
    </row>
    <row r="325" spans="1:11" ht="28.5" x14ac:dyDescent="0.2">
      <c r="A325" s="48" t="s">
        <v>204</v>
      </c>
      <c r="B325" s="48" t="s">
        <v>94</v>
      </c>
      <c r="C325" s="48" t="s">
        <v>387</v>
      </c>
      <c r="D325" s="50" t="s">
        <v>642</v>
      </c>
      <c r="E325" s="53" t="s">
        <v>43</v>
      </c>
      <c r="F325" s="48" t="s">
        <v>141</v>
      </c>
      <c r="G325" s="46" t="s">
        <v>739</v>
      </c>
      <c r="H325" s="81">
        <v>7592</v>
      </c>
      <c r="I325" s="49">
        <v>2015</v>
      </c>
      <c r="K325" s="48"/>
    </row>
    <row r="326" spans="1:11" ht="28.5" x14ac:dyDescent="0.2">
      <c r="A326" s="48" t="s">
        <v>204</v>
      </c>
      <c r="B326" s="48" t="s">
        <v>94</v>
      </c>
      <c r="C326" s="48" t="s">
        <v>387</v>
      </c>
      <c r="D326" s="50" t="s">
        <v>807</v>
      </c>
      <c r="E326" s="53" t="s">
        <v>43</v>
      </c>
      <c r="F326" s="53" t="s">
        <v>219</v>
      </c>
      <c r="G326" s="46" t="s">
        <v>875</v>
      </c>
      <c r="H326" s="61">
        <v>9630</v>
      </c>
      <c r="I326" s="49">
        <v>2015</v>
      </c>
      <c r="K326" s="81"/>
    </row>
    <row r="327" spans="1:11" ht="28.5" x14ac:dyDescent="0.2">
      <c r="A327" s="48" t="s">
        <v>204</v>
      </c>
      <c r="B327" s="48" t="s">
        <v>94</v>
      </c>
      <c r="C327" s="48" t="s">
        <v>387</v>
      </c>
      <c r="D327" s="50" t="s">
        <v>643</v>
      </c>
      <c r="E327" s="53" t="s">
        <v>43</v>
      </c>
      <c r="F327" s="48" t="s">
        <v>141</v>
      </c>
      <c r="G327" s="46" t="s">
        <v>740</v>
      </c>
      <c r="H327" s="81">
        <v>9927</v>
      </c>
      <c r="I327" s="49">
        <v>2015</v>
      </c>
      <c r="K327" s="48"/>
    </row>
    <row r="328" spans="1:11" ht="28.5" x14ac:dyDescent="0.2">
      <c r="A328" s="48" t="s">
        <v>204</v>
      </c>
      <c r="B328" s="48" t="s">
        <v>94</v>
      </c>
      <c r="C328" s="48" t="s">
        <v>387</v>
      </c>
      <c r="D328" s="50" t="s">
        <v>808</v>
      </c>
      <c r="E328" s="53" t="s">
        <v>43</v>
      </c>
      <c r="F328" s="53" t="s">
        <v>219</v>
      </c>
      <c r="G328" s="46" t="s">
        <v>876</v>
      </c>
      <c r="H328" s="61">
        <v>13342</v>
      </c>
      <c r="I328" s="49">
        <v>2015</v>
      </c>
      <c r="K328" s="81"/>
    </row>
    <row r="329" spans="1:11" ht="28.5" x14ac:dyDescent="0.2">
      <c r="A329" s="48" t="s">
        <v>204</v>
      </c>
      <c r="B329" s="48" t="s">
        <v>94</v>
      </c>
      <c r="C329" s="48" t="s">
        <v>387</v>
      </c>
      <c r="D329" s="50" t="s">
        <v>644</v>
      </c>
      <c r="E329" s="53" t="s">
        <v>43</v>
      </c>
      <c r="F329" s="48" t="s">
        <v>141</v>
      </c>
      <c r="G329" s="46" t="s">
        <v>733</v>
      </c>
      <c r="H329" s="81">
        <v>6890</v>
      </c>
      <c r="I329" s="49">
        <v>2015</v>
      </c>
      <c r="K329" s="48"/>
    </row>
    <row r="330" spans="1:11" ht="28.5" x14ac:dyDescent="0.2">
      <c r="A330" s="48" t="s">
        <v>204</v>
      </c>
      <c r="B330" s="48" t="s">
        <v>94</v>
      </c>
      <c r="C330" s="48" t="s">
        <v>387</v>
      </c>
      <c r="D330" s="50" t="s">
        <v>809</v>
      </c>
      <c r="E330" s="53" t="s">
        <v>43</v>
      </c>
      <c r="F330" s="53" t="s">
        <v>219</v>
      </c>
      <c r="G330" s="46" t="s">
        <v>877</v>
      </c>
      <c r="H330" s="61">
        <v>8768</v>
      </c>
      <c r="I330" s="49">
        <v>2015</v>
      </c>
      <c r="K330" s="81"/>
    </row>
    <row r="331" spans="1:11" ht="28.5" x14ac:dyDescent="0.2">
      <c r="A331" s="48" t="s">
        <v>204</v>
      </c>
      <c r="B331" s="48" t="s">
        <v>94</v>
      </c>
      <c r="C331" s="48" t="s">
        <v>387</v>
      </c>
      <c r="D331" s="50" t="s">
        <v>645</v>
      </c>
      <c r="E331" s="53" t="s">
        <v>43</v>
      </c>
      <c r="F331" s="48" t="s">
        <v>141</v>
      </c>
      <c r="G331" s="46" t="s">
        <v>741</v>
      </c>
      <c r="H331" s="81">
        <v>9089</v>
      </c>
      <c r="I331" s="49">
        <v>2016</v>
      </c>
      <c r="K331" s="48"/>
    </row>
    <row r="332" spans="1:11" ht="28.5" x14ac:dyDescent="0.2">
      <c r="A332" s="48" t="s">
        <v>204</v>
      </c>
      <c r="B332" s="48" t="s">
        <v>94</v>
      </c>
      <c r="C332" s="48" t="s">
        <v>387</v>
      </c>
      <c r="D332" s="50" t="s">
        <v>810</v>
      </c>
      <c r="E332" s="53" t="s">
        <v>43</v>
      </c>
      <c r="F332" s="53" t="s">
        <v>219</v>
      </c>
      <c r="G332" s="46" t="s">
        <v>878</v>
      </c>
      <c r="H332" s="61">
        <v>12283</v>
      </c>
      <c r="I332" s="49">
        <v>2016</v>
      </c>
      <c r="K332" s="81"/>
    </row>
    <row r="333" spans="1:11" ht="28.5" x14ac:dyDescent="0.2">
      <c r="A333" s="48" t="s">
        <v>204</v>
      </c>
      <c r="B333" s="48" t="s">
        <v>94</v>
      </c>
      <c r="C333" s="48" t="s">
        <v>387</v>
      </c>
      <c r="D333" s="50" t="s">
        <v>646</v>
      </c>
      <c r="E333" s="53" t="s">
        <v>43</v>
      </c>
      <c r="F333" s="48" t="s">
        <v>141</v>
      </c>
      <c r="G333" s="46" t="s">
        <v>742</v>
      </c>
      <c r="H333" s="81">
        <v>5954</v>
      </c>
      <c r="I333" s="49">
        <v>2016</v>
      </c>
      <c r="K333" s="48"/>
    </row>
    <row r="334" spans="1:11" ht="28.5" x14ac:dyDescent="0.2">
      <c r="A334" s="48" t="s">
        <v>204</v>
      </c>
      <c r="B334" s="48" t="s">
        <v>94</v>
      </c>
      <c r="C334" s="48" t="s">
        <v>387</v>
      </c>
      <c r="D334" s="50" t="s">
        <v>811</v>
      </c>
      <c r="E334" s="53" t="s">
        <v>43</v>
      </c>
      <c r="F334" s="53" t="s">
        <v>219</v>
      </c>
      <c r="G334" s="46" t="s">
        <v>879</v>
      </c>
      <c r="H334" s="61">
        <v>7394</v>
      </c>
      <c r="I334" s="49">
        <v>2016</v>
      </c>
      <c r="K334" s="81"/>
    </row>
    <row r="335" spans="1:11" ht="28.5" x14ac:dyDescent="0.2">
      <c r="A335" s="48" t="s">
        <v>204</v>
      </c>
      <c r="B335" s="48" t="s">
        <v>94</v>
      </c>
      <c r="C335" s="48" t="s">
        <v>387</v>
      </c>
      <c r="D335" s="50" t="s">
        <v>647</v>
      </c>
      <c r="E335" s="53" t="s">
        <v>43</v>
      </c>
      <c r="F335" s="48" t="s">
        <v>141</v>
      </c>
      <c r="G335" s="46" t="s">
        <v>743</v>
      </c>
      <c r="H335" s="81">
        <v>9024</v>
      </c>
      <c r="I335" s="49">
        <v>2016</v>
      </c>
      <c r="K335" s="48"/>
    </row>
    <row r="336" spans="1:11" ht="28.5" x14ac:dyDescent="0.2">
      <c r="A336" s="48" t="s">
        <v>204</v>
      </c>
      <c r="B336" s="48" t="s">
        <v>94</v>
      </c>
      <c r="C336" s="48" t="s">
        <v>387</v>
      </c>
      <c r="D336" s="50" t="s">
        <v>812</v>
      </c>
      <c r="E336" s="53" t="s">
        <v>43</v>
      </c>
      <c r="F336" s="53" t="s">
        <v>219</v>
      </c>
      <c r="G336" s="46" t="s">
        <v>880</v>
      </c>
      <c r="H336" s="61">
        <v>12089</v>
      </c>
      <c r="I336" s="49">
        <v>2016</v>
      </c>
      <c r="K336" s="81"/>
    </row>
    <row r="337" spans="1:11" ht="28.5" x14ac:dyDescent="0.2">
      <c r="A337" s="48" t="s">
        <v>204</v>
      </c>
      <c r="B337" s="48" t="s">
        <v>94</v>
      </c>
      <c r="C337" s="48" t="s">
        <v>387</v>
      </c>
      <c r="D337" s="50" t="s">
        <v>648</v>
      </c>
      <c r="E337" s="53" t="s">
        <v>43</v>
      </c>
      <c r="F337" s="48" t="s">
        <v>141</v>
      </c>
      <c r="G337" s="46" t="s">
        <v>744</v>
      </c>
      <c r="H337" s="81">
        <v>6149</v>
      </c>
      <c r="I337" s="49">
        <v>2016</v>
      </c>
      <c r="K337" s="48"/>
    </row>
    <row r="338" spans="1:11" ht="28.5" x14ac:dyDescent="0.2">
      <c r="A338" s="48" t="s">
        <v>204</v>
      </c>
      <c r="B338" s="48" t="s">
        <v>94</v>
      </c>
      <c r="C338" s="48" t="s">
        <v>387</v>
      </c>
      <c r="D338" s="50" t="s">
        <v>813</v>
      </c>
      <c r="E338" s="53" t="s">
        <v>43</v>
      </c>
      <c r="F338" s="53" t="s">
        <v>219</v>
      </c>
      <c r="G338" s="46" t="s">
        <v>881</v>
      </c>
      <c r="H338" s="61">
        <v>7060</v>
      </c>
      <c r="I338" s="49">
        <v>2016</v>
      </c>
      <c r="K338" s="81"/>
    </row>
    <row r="339" spans="1:11" ht="28.5" x14ac:dyDescent="0.2">
      <c r="A339" s="48" t="s">
        <v>204</v>
      </c>
      <c r="B339" s="48" t="s">
        <v>94</v>
      </c>
      <c r="C339" s="48" t="s">
        <v>387</v>
      </c>
      <c r="D339" s="50" t="s">
        <v>649</v>
      </c>
      <c r="E339" s="53" t="s">
        <v>43</v>
      </c>
      <c r="F339" s="48" t="s">
        <v>141</v>
      </c>
      <c r="G339" s="46" t="s">
        <v>745</v>
      </c>
      <c r="H339" s="81">
        <v>8934</v>
      </c>
      <c r="I339" s="49">
        <v>2016</v>
      </c>
      <c r="K339" s="48"/>
    </row>
    <row r="340" spans="1:11" ht="28.5" x14ac:dyDescent="0.2">
      <c r="A340" s="48" t="s">
        <v>204</v>
      </c>
      <c r="B340" s="48" t="s">
        <v>94</v>
      </c>
      <c r="C340" s="48" t="s">
        <v>387</v>
      </c>
      <c r="D340" s="50" t="s">
        <v>814</v>
      </c>
      <c r="E340" s="53" t="s">
        <v>43</v>
      </c>
      <c r="F340" s="53" t="s">
        <v>219</v>
      </c>
      <c r="G340" s="46" t="s">
        <v>882</v>
      </c>
      <c r="H340" s="61">
        <v>12589</v>
      </c>
      <c r="I340" s="49">
        <v>2016</v>
      </c>
      <c r="K340" s="81"/>
    </row>
    <row r="341" spans="1:11" ht="28.5" x14ac:dyDescent="0.2">
      <c r="A341" s="48" t="s">
        <v>204</v>
      </c>
      <c r="B341" s="48" t="s">
        <v>94</v>
      </c>
      <c r="C341" s="48" t="s">
        <v>387</v>
      </c>
      <c r="D341" s="50" t="s">
        <v>650</v>
      </c>
      <c r="E341" s="53" t="s">
        <v>43</v>
      </c>
      <c r="F341" s="48" t="s">
        <v>141</v>
      </c>
      <c r="G341" s="46" t="s">
        <v>746</v>
      </c>
      <c r="H341" s="81">
        <v>5965</v>
      </c>
      <c r="I341" s="49">
        <v>2016</v>
      </c>
      <c r="K341" s="48"/>
    </row>
    <row r="342" spans="1:11" ht="28.5" x14ac:dyDescent="0.2">
      <c r="A342" s="48" t="s">
        <v>204</v>
      </c>
      <c r="B342" s="48" t="s">
        <v>94</v>
      </c>
      <c r="C342" s="48" t="s">
        <v>387</v>
      </c>
      <c r="D342" s="50" t="s">
        <v>815</v>
      </c>
      <c r="E342" s="53" t="s">
        <v>43</v>
      </c>
      <c r="F342" s="53" t="s">
        <v>219</v>
      </c>
      <c r="G342" s="46" t="s">
        <v>883</v>
      </c>
      <c r="H342" s="61">
        <v>7367</v>
      </c>
      <c r="I342" s="49">
        <v>2016</v>
      </c>
      <c r="K342" s="81"/>
    </row>
    <row r="343" spans="1:11" ht="28.5" x14ac:dyDescent="0.2">
      <c r="A343" s="48" t="s">
        <v>204</v>
      </c>
      <c r="B343" s="48" t="s">
        <v>94</v>
      </c>
      <c r="C343" s="48" t="s">
        <v>387</v>
      </c>
      <c r="D343" s="50" t="s">
        <v>651</v>
      </c>
      <c r="E343" s="53" t="s">
        <v>43</v>
      </c>
      <c r="F343" s="48" t="s">
        <v>141</v>
      </c>
      <c r="G343" s="46" t="s">
        <v>747</v>
      </c>
      <c r="H343" s="81">
        <v>9840</v>
      </c>
      <c r="I343" s="49">
        <v>2016</v>
      </c>
      <c r="K343" s="48"/>
    </row>
    <row r="344" spans="1:11" ht="28.5" x14ac:dyDescent="0.2">
      <c r="A344" s="48" t="s">
        <v>204</v>
      </c>
      <c r="B344" s="48" t="s">
        <v>94</v>
      </c>
      <c r="C344" s="48" t="s">
        <v>387</v>
      </c>
      <c r="D344" s="50" t="s">
        <v>816</v>
      </c>
      <c r="E344" s="53" t="s">
        <v>43</v>
      </c>
      <c r="F344" s="53" t="s">
        <v>219</v>
      </c>
      <c r="G344" s="46" t="s">
        <v>884</v>
      </c>
      <c r="H344" s="61">
        <v>13111</v>
      </c>
      <c r="I344" s="49">
        <v>2016</v>
      </c>
      <c r="K344" s="81"/>
    </row>
    <row r="345" spans="1:11" ht="28.5" x14ac:dyDescent="0.2">
      <c r="A345" s="48" t="s">
        <v>204</v>
      </c>
      <c r="B345" s="48" t="s">
        <v>94</v>
      </c>
      <c r="C345" s="48" t="s">
        <v>387</v>
      </c>
      <c r="D345" s="50" t="s">
        <v>652</v>
      </c>
      <c r="E345" s="53" t="s">
        <v>43</v>
      </c>
      <c r="F345" s="48" t="s">
        <v>141</v>
      </c>
      <c r="G345" s="46" t="s">
        <v>748</v>
      </c>
      <c r="H345" s="81">
        <v>6226</v>
      </c>
      <c r="I345" s="49">
        <v>2016</v>
      </c>
      <c r="K345" s="48"/>
    </row>
    <row r="346" spans="1:11" ht="28.5" x14ac:dyDescent="0.2">
      <c r="A346" s="48" t="s">
        <v>204</v>
      </c>
      <c r="B346" s="48" t="s">
        <v>94</v>
      </c>
      <c r="C346" s="48" t="s">
        <v>387</v>
      </c>
      <c r="D346" s="50" t="s">
        <v>817</v>
      </c>
      <c r="E346" s="53" t="s">
        <v>43</v>
      </c>
      <c r="F346" s="53" t="s">
        <v>219</v>
      </c>
      <c r="G346" s="46" t="s">
        <v>885</v>
      </c>
      <c r="H346" s="61">
        <v>7626</v>
      </c>
      <c r="I346" s="49">
        <v>2016</v>
      </c>
      <c r="K346" s="81"/>
    </row>
    <row r="347" spans="1:11" ht="28.5" x14ac:dyDescent="0.2">
      <c r="A347" s="48" t="s">
        <v>204</v>
      </c>
      <c r="B347" s="48" t="s">
        <v>94</v>
      </c>
      <c r="C347" s="48" t="s">
        <v>387</v>
      </c>
      <c r="D347" s="50" t="s">
        <v>653</v>
      </c>
      <c r="E347" s="53" t="s">
        <v>43</v>
      </c>
      <c r="F347" s="48" t="s">
        <v>141</v>
      </c>
      <c r="G347" s="46" t="s">
        <v>749</v>
      </c>
      <c r="H347" s="81">
        <v>9334</v>
      </c>
      <c r="I347" s="49">
        <v>2017</v>
      </c>
      <c r="K347" s="48"/>
    </row>
    <row r="348" spans="1:11" ht="28.5" x14ac:dyDescent="0.2">
      <c r="A348" s="48" t="s">
        <v>204</v>
      </c>
      <c r="B348" s="48" t="s">
        <v>94</v>
      </c>
      <c r="C348" s="48" t="s">
        <v>387</v>
      </c>
      <c r="D348" s="50" t="s">
        <v>818</v>
      </c>
      <c r="E348" s="53" t="s">
        <v>43</v>
      </c>
      <c r="F348" s="53" t="s">
        <v>219</v>
      </c>
      <c r="G348" s="46" t="s">
        <v>886</v>
      </c>
      <c r="H348" s="61">
        <v>12223</v>
      </c>
      <c r="I348" s="49">
        <v>2017</v>
      </c>
      <c r="K348" s="81"/>
    </row>
    <row r="349" spans="1:11" ht="28.5" x14ac:dyDescent="0.2">
      <c r="A349" s="48" t="s">
        <v>204</v>
      </c>
      <c r="B349" s="48" t="s">
        <v>94</v>
      </c>
      <c r="C349" s="48" t="s">
        <v>387</v>
      </c>
      <c r="D349" s="50" t="s">
        <v>654</v>
      </c>
      <c r="E349" s="53" t="s">
        <v>43</v>
      </c>
      <c r="F349" s="48" t="s">
        <v>141</v>
      </c>
      <c r="G349" s="46" t="s">
        <v>750</v>
      </c>
      <c r="H349" s="81">
        <v>6722</v>
      </c>
      <c r="I349" s="49">
        <v>2017</v>
      </c>
      <c r="K349" s="48"/>
    </row>
    <row r="350" spans="1:11" ht="28.5" x14ac:dyDescent="0.2">
      <c r="A350" s="48" t="s">
        <v>204</v>
      </c>
      <c r="B350" s="48" t="s">
        <v>94</v>
      </c>
      <c r="C350" s="48" t="s">
        <v>387</v>
      </c>
      <c r="D350" s="50" t="s">
        <v>819</v>
      </c>
      <c r="E350" s="53" t="s">
        <v>43</v>
      </c>
      <c r="F350" s="53" t="s">
        <v>219</v>
      </c>
      <c r="G350" s="46" t="s">
        <v>887</v>
      </c>
      <c r="H350" s="61">
        <v>8185</v>
      </c>
      <c r="I350" s="49">
        <v>2017</v>
      </c>
      <c r="K350" s="81"/>
    </row>
    <row r="351" spans="1:11" ht="28.5" x14ac:dyDescent="0.2">
      <c r="A351" s="48" t="s">
        <v>204</v>
      </c>
      <c r="B351" s="48" t="s">
        <v>94</v>
      </c>
      <c r="C351" s="48" t="s">
        <v>387</v>
      </c>
      <c r="D351" s="50" t="s">
        <v>655</v>
      </c>
      <c r="E351" s="53" t="s">
        <v>43</v>
      </c>
      <c r="F351" s="48" t="s">
        <v>141</v>
      </c>
      <c r="G351" s="46" t="s">
        <v>751</v>
      </c>
      <c r="H351" s="81">
        <v>10170</v>
      </c>
      <c r="I351" s="49">
        <v>2017</v>
      </c>
      <c r="K351" s="48"/>
    </row>
    <row r="352" spans="1:11" ht="28.5" x14ac:dyDescent="0.2">
      <c r="A352" s="48" t="s">
        <v>204</v>
      </c>
      <c r="B352" s="48" t="s">
        <v>94</v>
      </c>
      <c r="C352" s="48" t="s">
        <v>387</v>
      </c>
      <c r="D352" s="50" t="s">
        <v>820</v>
      </c>
      <c r="E352" s="53" t="s">
        <v>43</v>
      </c>
      <c r="F352" s="53" t="s">
        <v>219</v>
      </c>
      <c r="G352" s="46" t="s">
        <v>888</v>
      </c>
      <c r="H352" s="61">
        <v>13092</v>
      </c>
      <c r="I352" s="49">
        <v>2017</v>
      </c>
      <c r="K352" s="81"/>
    </row>
    <row r="353" spans="1:11" ht="28.5" x14ac:dyDescent="0.2">
      <c r="A353" s="48" t="s">
        <v>204</v>
      </c>
      <c r="B353" s="48" t="s">
        <v>94</v>
      </c>
      <c r="C353" s="48" t="s">
        <v>387</v>
      </c>
      <c r="D353" s="50" t="s">
        <v>656</v>
      </c>
      <c r="E353" s="53" t="s">
        <v>43</v>
      </c>
      <c r="F353" s="48" t="s">
        <v>141</v>
      </c>
      <c r="G353" s="46" t="s">
        <v>752</v>
      </c>
      <c r="H353" s="81">
        <v>7465</v>
      </c>
      <c r="I353" s="49">
        <v>2017</v>
      </c>
      <c r="K353" s="48"/>
    </row>
    <row r="354" spans="1:11" ht="28.5" x14ac:dyDescent="0.2">
      <c r="A354" s="48" t="s">
        <v>204</v>
      </c>
      <c r="B354" s="48" t="s">
        <v>94</v>
      </c>
      <c r="C354" s="48" t="s">
        <v>387</v>
      </c>
      <c r="D354" s="50" t="s">
        <v>821</v>
      </c>
      <c r="E354" s="53" t="s">
        <v>43</v>
      </c>
      <c r="F354" s="53" t="s">
        <v>219</v>
      </c>
      <c r="G354" s="46" t="s">
        <v>889</v>
      </c>
      <c r="H354" s="61">
        <v>8934</v>
      </c>
      <c r="I354" s="49">
        <v>2017</v>
      </c>
      <c r="K354" s="81"/>
    </row>
    <row r="355" spans="1:11" ht="28.5" x14ac:dyDescent="0.2">
      <c r="A355" s="48" t="s">
        <v>204</v>
      </c>
      <c r="B355" s="48" t="s">
        <v>94</v>
      </c>
      <c r="C355" s="48" t="s">
        <v>387</v>
      </c>
      <c r="D355" s="50" t="s">
        <v>657</v>
      </c>
      <c r="E355" s="53" t="s">
        <v>43</v>
      </c>
      <c r="F355" s="48" t="s">
        <v>141</v>
      </c>
      <c r="G355" s="46" t="s">
        <v>753</v>
      </c>
      <c r="H355" s="81">
        <v>10502</v>
      </c>
      <c r="I355" s="49">
        <v>2017</v>
      </c>
      <c r="K355" s="48"/>
    </row>
    <row r="356" spans="1:11" ht="28.5" x14ac:dyDescent="0.2">
      <c r="A356" s="48" t="s">
        <v>204</v>
      </c>
      <c r="B356" s="48" t="s">
        <v>94</v>
      </c>
      <c r="C356" s="48" t="s">
        <v>387</v>
      </c>
      <c r="D356" s="50" t="s">
        <v>822</v>
      </c>
      <c r="E356" s="53" t="s">
        <v>43</v>
      </c>
      <c r="F356" s="53" t="s">
        <v>219</v>
      </c>
      <c r="G356" s="46" t="s">
        <v>890</v>
      </c>
      <c r="H356" s="61">
        <v>13734</v>
      </c>
      <c r="I356" s="49">
        <v>2017</v>
      </c>
      <c r="K356" s="81"/>
    </row>
    <row r="357" spans="1:11" ht="28.5" x14ac:dyDescent="0.2">
      <c r="A357" s="48" t="s">
        <v>204</v>
      </c>
      <c r="B357" s="48" t="s">
        <v>94</v>
      </c>
      <c r="C357" s="48" t="s">
        <v>387</v>
      </c>
      <c r="D357" s="50" t="s">
        <v>658</v>
      </c>
      <c r="E357" s="53" t="s">
        <v>43</v>
      </c>
      <c r="F357" s="48" t="s">
        <v>141</v>
      </c>
      <c r="G357" s="46" t="s">
        <v>754</v>
      </c>
      <c r="H357" s="81">
        <v>9368</v>
      </c>
      <c r="I357" s="49">
        <v>2017</v>
      </c>
      <c r="K357" s="48"/>
    </row>
    <row r="358" spans="1:11" ht="28.5" x14ac:dyDescent="0.2">
      <c r="A358" s="48" t="s">
        <v>204</v>
      </c>
      <c r="B358" s="48" t="s">
        <v>94</v>
      </c>
      <c r="C358" s="48" t="s">
        <v>387</v>
      </c>
      <c r="D358" s="50" t="s">
        <v>823</v>
      </c>
      <c r="E358" s="53" t="s">
        <v>43</v>
      </c>
      <c r="F358" s="53" t="s">
        <v>219</v>
      </c>
      <c r="G358" s="46" t="s">
        <v>891</v>
      </c>
      <c r="H358" s="61">
        <v>11988</v>
      </c>
      <c r="I358" s="49">
        <v>2017</v>
      </c>
      <c r="K358" s="81"/>
    </row>
    <row r="359" spans="1:11" ht="28.5" x14ac:dyDescent="0.2">
      <c r="A359" s="48" t="s">
        <v>204</v>
      </c>
      <c r="B359" s="48" t="s">
        <v>94</v>
      </c>
      <c r="C359" s="48" t="s">
        <v>387</v>
      </c>
      <c r="D359" s="50" t="s">
        <v>659</v>
      </c>
      <c r="E359" s="53" t="s">
        <v>43</v>
      </c>
      <c r="F359" s="48" t="s">
        <v>141</v>
      </c>
      <c r="G359" s="46" t="s">
        <v>755</v>
      </c>
      <c r="H359" s="81">
        <v>10515</v>
      </c>
      <c r="I359" s="49">
        <v>2017</v>
      </c>
      <c r="K359" s="48"/>
    </row>
    <row r="360" spans="1:11" ht="28.5" x14ac:dyDescent="0.2">
      <c r="A360" s="48" t="s">
        <v>204</v>
      </c>
      <c r="B360" s="48" t="s">
        <v>94</v>
      </c>
      <c r="C360" s="48" t="s">
        <v>387</v>
      </c>
      <c r="D360" s="50" t="s">
        <v>824</v>
      </c>
      <c r="E360" s="53" t="s">
        <v>43</v>
      </c>
      <c r="F360" s="53" t="s">
        <v>219</v>
      </c>
      <c r="G360" s="46" t="s">
        <v>892</v>
      </c>
      <c r="H360" s="61">
        <v>14048</v>
      </c>
      <c r="I360" s="49">
        <v>2017</v>
      </c>
      <c r="K360" s="81"/>
    </row>
    <row r="361" spans="1:11" ht="28.5" x14ac:dyDescent="0.2">
      <c r="A361" s="48" t="s">
        <v>204</v>
      </c>
      <c r="B361" s="48" t="s">
        <v>94</v>
      </c>
      <c r="C361" s="48" t="s">
        <v>387</v>
      </c>
      <c r="D361" s="50" t="s">
        <v>660</v>
      </c>
      <c r="E361" s="53" t="s">
        <v>43</v>
      </c>
      <c r="F361" s="48" t="s">
        <v>141</v>
      </c>
      <c r="G361" s="46" t="s">
        <v>756</v>
      </c>
      <c r="H361" s="81">
        <v>7808</v>
      </c>
      <c r="I361" s="49">
        <v>2017</v>
      </c>
      <c r="K361" s="48"/>
    </row>
    <row r="362" spans="1:11" ht="28.5" x14ac:dyDescent="0.2">
      <c r="A362" s="48" t="s">
        <v>204</v>
      </c>
      <c r="B362" s="48" t="s">
        <v>94</v>
      </c>
      <c r="C362" s="48" t="s">
        <v>387</v>
      </c>
      <c r="D362" s="50" t="s">
        <v>825</v>
      </c>
      <c r="E362" s="53" t="s">
        <v>43</v>
      </c>
      <c r="F362" s="53" t="s">
        <v>219</v>
      </c>
      <c r="G362" s="46" t="s">
        <v>893</v>
      </c>
      <c r="H362" s="61">
        <v>9604</v>
      </c>
      <c r="I362" s="49">
        <v>2017</v>
      </c>
      <c r="K362" s="81"/>
    </row>
    <row r="363" spans="1:11" ht="28.5" x14ac:dyDescent="0.2">
      <c r="A363" s="48" t="s">
        <v>204</v>
      </c>
      <c r="B363" s="48" t="s">
        <v>94</v>
      </c>
      <c r="C363" s="48" t="s">
        <v>387</v>
      </c>
      <c r="D363" s="50" t="s">
        <v>661</v>
      </c>
      <c r="E363" s="53" t="s">
        <v>43</v>
      </c>
      <c r="F363" s="48" t="s">
        <v>141</v>
      </c>
      <c r="G363" s="46" t="s">
        <v>757</v>
      </c>
      <c r="H363" s="81">
        <v>9724</v>
      </c>
      <c r="I363" s="49">
        <v>2018</v>
      </c>
      <c r="K363" s="48"/>
    </row>
    <row r="364" spans="1:11" ht="28.5" x14ac:dyDescent="0.2">
      <c r="A364" s="48" t="s">
        <v>204</v>
      </c>
      <c r="B364" s="48" t="s">
        <v>94</v>
      </c>
      <c r="C364" s="48" t="s">
        <v>387</v>
      </c>
      <c r="D364" s="50" t="s">
        <v>826</v>
      </c>
      <c r="E364" s="53" t="s">
        <v>43</v>
      </c>
      <c r="F364" s="53" t="s">
        <v>219</v>
      </c>
      <c r="G364" s="46" t="s">
        <v>894</v>
      </c>
      <c r="H364" s="61">
        <v>12733</v>
      </c>
      <c r="I364" s="49">
        <v>2018</v>
      </c>
      <c r="K364" s="81"/>
    </row>
    <row r="365" spans="1:11" ht="28.5" x14ac:dyDescent="0.2">
      <c r="A365" s="48" t="s">
        <v>204</v>
      </c>
      <c r="B365" s="48" t="s">
        <v>94</v>
      </c>
      <c r="C365" s="48" t="s">
        <v>387</v>
      </c>
      <c r="D365" s="50" t="s">
        <v>662</v>
      </c>
      <c r="E365" s="53" t="s">
        <v>43</v>
      </c>
      <c r="F365" s="48" t="s">
        <v>141</v>
      </c>
      <c r="G365" s="46" t="s">
        <v>758</v>
      </c>
      <c r="H365" s="81">
        <v>6970</v>
      </c>
      <c r="I365" s="49">
        <v>2018</v>
      </c>
      <c r="K365" s="48"/>
    </row>
    <row r="366" spans="1:11" ht="28.5" x14ac:dyDescent="0.2">
      <c r="A366" s="48" t="s">
        <v>204</v>
      </c>
      <c r="B366" s="48" t="s">
        <v>94</v>
      </c>
      <c r="C366" s="48" t="s">
        <v>387</v>
      </c>
      <c r="D366" s="50" t="s">
        <v>827</v>
      </c>
      <c r="E366" s="53" t="s">
        <v>43</v>
      </c>
      <c r="F366" s="53" t="s">
        <v>219</v>
      </c>
      <c r="G366" s="46" t="s">
        <v>895</v>
      </c>
      <c r="H366" s="61">
        <v>9265</v>
      </c>
      <c r="I366" s="49">
        <v>2018</v>
      </c>
      <c r="K366" s="81"/>
    </row>
    <row r="367" spans="1:11" ht="28.5" x14ac:dyDescent="0.2">
      <c r="A367" s="48" t="s">
        <v>204</v>
      </c>
      <c r="B367" s="48" t="s">
        <v>94</v>
      </c>
      <c r="C367" s="48" t="s">
        <v>387</v>
      </c>
      <c r="D367" s="50" t="s">
        <v>663</v>
      </c>
      <c r="E367" s="53" t="s">
        <v>43</v>
      </c>
      <c r="F367" s="48" t="s">
        <v>141</v>
      </c>
      <c r="G367" s="46" t="s">
        <v>759</v>
      </c>
      <c r="H367" s="81">
        <v>10296</v>
      </c>
      <c r="I367" s="49">
        <v>2018</v>
      </c>
      <c r="K367" s="48"/>
    </row>
    <row r="368" spans="1:11" ht="28.5" x14ac:dyDescent="0.2">
      <c r="A368" s="48" t="s">
        <v>204</v>
      </c>
      <c r="B368" s="48" t="s">
        <v>94</v>
      </c>
      <c r="C368" s="48" t="s">
        <v>387</v>
      </c>
      <c r="D368" s="50" t="s">
        <v>828</v>
      </c>
      <c r="E368" s="53" t="s">
        <v>43</v>
      </c>
      <c r="F368" s="53" t="s">
        <v>219</v>
      </c>
      <c r="G368" s="46" t="s">
        <v>896</v>
      </c>
      <c r="H368" s="61">
        <v>13439</v>
      </c>
      <c r="I368" s="49">
        <v>2018</v>
      </c>
      <c r="K368" s="81"/>
    </row>
    <row r="369" spans="1:11" ht="28.5" x14ac:dyDescent="0.2">
      <c r="A369" s="48" t="s">
        <v>204</v>
      </c>
      <c r="B369" s="48" t="s">
        <v>94</v>
      </c>
      <c r="C369" s="48" t="s">
        <v>387</v>
      </c>
      <c r="D369" s="50" t="s">
        <v>664</v>
      </c>
      <c r="E369" s="53" t="s">
        <v>43</v>
      </c>
      <c r="F369" s="48" t="s">
        <v>141</v>
      </c>
      <c r="G369" s="46" t="s">
        <v>760</v>
      </c>
      <c r="H369" s="81">
        <v>7357</v>
      </c>
      <c r="I369" s="49">
        <v>2018</v>
      </c>
      <c r="K369" s="48"/>
    </row>
    <row r="370" spans="1:11" ht="28.5" x14ac:dyDescent="0.2">
      <c r="A370" s="48" t="s">
        <v>204</v>
      </c>
      <c r="B370" s="48" t="s">
        <v>94</v>
      </c>
      <c r="C370" s="48" t="s">
        <v>387</v>
      </c>
      <c r="D370" s="50" t="s">
        <v>829</v>
      </c>
      <c r="E370" s="53" t="s">
        <v>43</v>
      </c>
      <c r="F370" s="53" t="s">
        <v>219</v>
      </c>
      <c r="G370" s="46" t="s">
        <v>897</v>
      </c>
      <c r="H370" s="61">
        <v>9859</v>
      </c>
      <c r="I370" s="49">
        <v>2018</v>
      </c>
      <c r="K370" s="81"/>
    </row>
    <row r="371" spans="1:11" ht="28.5" x14ac:dyDescent="0.2">
      <c r="A371" s="48" t="s">
        <v>204</v>
      </c>
      <c r="B371" s="48" t="s">
        <v>94</v>
      </c>
      <c r="C371" s="48" t="s">
        <v>387</v>
      </c>
      <c r="D371" s="50" t="s">
        <v>665</v>
      </c>
      <c r="E371" s="53" t="s">
        <v>43</v>
      </c>
      <c r="F371" s="48" t="s">
        <v>141</v>
      </c>
      <c r="G371" s="46" t="s">
        <v>761</v>
      </c>
      <c r="H371" s="81">
        <v>10441</v>
      </c>
      <c r="I371" s="49">
        <v>2018</v>
      </c>
      <c r="K371" s="48"/>
    </row>
    <row r="372" spans="1:11" ht="28.5" x14ac:dyDescent="0.2">
      <c r="A372" s="48" t="s">
        <v>204</v>
      </c>
      <c r="B372" s="48" t="s">
        <v>94</v>
      </c>
      <c r="C372" s="48" t="s">
        <v>387</v>
      </c>
      <c r="D372" s="50" t="s">
        <v>830</v>
      </c>
      <c r="E372" s="53" t="s">
        <v>43</v>
      </c>
      <c r="F372" s="53" t="s">
        <v>219</v>
      </c>
      <c r="G372" s="46" t="s">
        <v>898</v>
      </c>
      <c r="H372" s="61">
        <v>14399</v>
      </c>
      <c r="I372" s="49">
        <v>2018</v>
      </c>
      <c r="K372" s="81"/>
    </row>
    <row r="373" spans="1:11" ht="28.5" x14ac:dyDescent="0.2">
      <c r="A373" s="48" t="s">
        <v>204</v>
      </c>
      <c r="B373" s="48" t="s">
        <v>94</v>
      </c>
      <c r="C373" s="48" t="s">
        <v>387</v>
      </c>
      <c r="D373" s="50" t="s">
        <v>666</v>
      </c>
      <c r="E373" s="53" t="s">
        <v>43</v>
      </c>
      <c r="F373" s="48" t="s">
        <v>141</v>
      </c>
      <c r="G373" s="46" t="s">
        <v>762</v>
      </c>
      <c r="H373" s="81">
        <v>7675</v>
      </c>
      <c r="I373" s="49">
        <v>2018</v>
      </c>
      <c r="K373" s="48"/>
    </row>
    <row r="374" spans="1:11" ht="28.5" x14ac:dyDescent="0.2">
      <c r="A374" s="48" t="s">
        <v>204</v>
      </c>
      <c r="B374" s="48" t="s">
        <v>94</v>
      </c>
      <c r="C374" s="48" t="s">
        <v>387</v>
      </c>
      <c r="D374" s="50" t="s">
        <v>831</v>
      </c>
      <c r="E374" s="53" t="s">
        <v>43</v>
      </c>
      <c r="F374" s="53" t="s">
        <v>219</v>
      </c>
      <c r="G374" s="46" t="s">
        <v>899</v>
      </c>
      <c r="H374" s="61">
        <v>9914</v>
      </c>
      <c r="I374" s="49">
        <v>2018</v>
      </c>
      <c r="K374" s="81"/>
    </row>
    <row r="375" spans="1:11" ht="28.5" x14ac:dyDescent="0.2">
      <c r="A375" s="48" t="s">
        <v>204</v>
      </c>
      <c r="B375" s="48" t="s">
        <v>94</v>
      </c>
      <c r="C375" s="48" t="s">
        <v>387</v>
      </c>
      <c r="D375" s="50" t="s">
        <v>667</v>
      </c>
      <c r="E375" s="53" t="s">
        <v>43</v>
      </c>
      <c r="F375" s="48" t="s">
        <v>141</v>
      </c>
      <c r="G375" s="46" t="s">
        <v>763</v>
      </c>
      <c r="H375" s="81">
        <v>10191</v>
      </c>
      <c r="I375" s="49">
        <v>2018</v>
      </c>
      <c r="K375" s="48"/>
    </row>
    <row r="376" spans="1:11" ht="28.5" x14ac:dyDescent="0.2">
      <c r="A376" s="48" t="s">
        <v>204</v>
      </c>
      <c r="B376" s="48" t="s">
        <v>94</v>
      </c>
      <c r="C376" s="48" t="s">
        <v>387</v>
      </c>
      <c r="D376" s="50" t="s">
        <v>832</v>
      </c>
      <c r="E376" s="53" t="s">
        <v>43</v>
      </c>
      <c r="F376" s="53" t="s">
        <v>219</v>
      </c>
      <c r="G376" s="46" t="s">
        <v>900</v>
      </c>
      <c r="H376" s="61">
        <v>13578</v>
      </c>
      <c r="I376" s="49">
        <v>2018</v>
      </c>
      <c r="K376" s="81"/>
    </row>
    <row r="377" spans="1:11" ht="28.5" x14ac:dyDescent="0.2">
      <c r="A377" s="48" t="s">
        <v>204</v>
      </c>
      <c r="B377" s="48" t="s">
        <v>94</v>
      </c>
      <c r="C377" s="48" t="s">
        <v>387</v>
      </c>
      <c r="D377" s="50" t="s">
        <v>668</v>
      </c>
      <c r="E377" s="53" t="s">
        <v>43</v>
      </c>
      <c r="F377" s="48" t="s">
        <v>141</v>
      </c>
      <c r="G377" s="46" t="s">
        <v>764</v>
      </c>
      <c r="H377" s="81">
        <v>6961</v>
      </c>
      <c r="I377" s="49">
        <v>2018</v>
      </c>
      <c r="K377" s="48"/>
    </row>
    <row r="378" spans="1:11" ht="28.5" x14ac:dyDescent="0.2">
      <c r="A378" s="48" t="s">
        <v>204</v>
      </c>
      <c r="B378" s="48" t="s">
        <v>94</v>
      </c>
      <c r="C378" s="48" t="s">
        <v>387</v>
      </c>
      <c r="D378" s="50" t="s">
        <v>833</v>
      </c>
      <c r="E378" s="53" t="s">
        <v>43</v>
      </c>
      <c r="F378" s="53" t="s">
        <v>219</v>
      </c>
      <c r="G378" s="46" t="s">
        <v>901</v>
      </c>
      <c r="H378" s="61">
        <v>8810</v>
      </c>
      <c r="I378" s="49">
        <v>2018</v>
      </c>
      <c r="K378" s="81"/>
    </row>
    <row r="379" spans="1:11" ht="28.5" x14ac:dyDescent="0.2">
      <c r="A379" s="48" t="s">
        <v>204</v>
      </c>
      <c r="B379" s="48" t="s">
        <v>94</v>
      </c>
      <c r="C379" s="48" t="s">
        <v>387</v>
      </c>
      <c r="D379" s="50" t="s">
        <v>669</v>
      </c>
      <c r="E379" s="53" t="s">
        <v>43</v>
      </c>
      <c r="F379" s="48" t="s">
        <v>141</v>
      </c>
      <c r="G379" s="46" t="s">
        <v>765</v>
      </c>
      <c r="H379" s="81">
        <v>9562</v>
      </c>
      <c r="I379" s="49">
        <v>2019</v>
      </c>
      <c r="K379" s="67"/>
    </row>
    <row r="380" spans="1:11" ht="28.5" x14ac:dyDescent="0.2">
      <c r="A380" s="48" t="s">
        <v>204</v>
      </c>
      <c r="B380" s="48" t="s">
        <v>94</v>
      </c>
      <c r="C380" s="48" t="s">
        <v>387</v>
      </c>
      <c r="D380" s="50" t="s">
        <v>834</v>
      </c>
      <c r="E380" s="53" t="s">
        <v>43</v>
      </c>
      <c r="F380" s="53" t="s">
        <v>219</v>
      </c>
      <c r="G380" s="46" t="s">
        <v>902</v>
      </c>
      <c r="H380" s="61">
        <v>13005</v>
      </c>
      <c r="I380" s="49">
        <v>2019</v>
      </c>
      <c r="K380" s="81"/>
    </row>
    <row r="381" spans="1:11" ht="28.5" x14ac:dyDescent="0.2">
      <c r="A381" s="48" t="s">
        <v>204</v>
      </c>
      <c r="B381" s="48" t="s">
        <v>94</v>
      </c>
      <c r="C381" s="48" t="s">
        <v>387</v>
      </c>
      <c r="D381" s="50" t="s">
        <v>670</v>
      </c>
      <c r="E381" s="53" t="s">
        <v>43</v>
      </c>
      <c r="F381" s="48" t="s">
        <v>141</v>
      </c>
      <c r="G381" s="46" t="s">
        <v>766</v>
      </c>
      <c r="H381" s="81">
        <v>6710</v>
      </c>
      <c r="I381" s="49">
        <v>2019</v>
      </c>
      <c r="K381" s="67"/>
    </row>
    <row r="382" spans="1:11" ht="28.5" x14ac:dyDescent="0.2">
      <c r="A382" s="48" t="s">
        <v>204</v>
      </c>
      <c r="B382" s="48" t="s">
        <v>94</v>
      </c>
      <c r="C382" s="48" t="s">
        <v>387</v>
      </c>
      <c r="D382" s="50" t="s">
        <v>835</v>
      </c>
      <c r="E382" s="53" t="s">
        <v>43</v>
      </c>
      <c r="F382" s="53" t="s">
        <v>219</v>
      </c>
      <c r="G382" s="46" t="s">
        <v>903</v>
      </c>
      <c r="H382" s="61">
        <v>7800</v>
      </c>
      <c r="I382" s="49">
        <v>2019</v>
      </c>
      <c r="K382" s="81"/>
    </row>
    <row r="383" spans="1:11" ht="28.5" x14ac:dyDescent="0.2">
      <c r="A383" s="48" t="s">
        <v>204</v>
      </c>
      <c r="B383" s="48" t="s">
        <v>94</v>
      </c>
      <c r="C383" s="48" t="s">
        <v>387</v>
      </c>
      <c r="D383" s="50" t="s">
        <v>671</v>
      </c>
      <c r="E383" s="53" t="s">
        <v>43</v>
      </c>
      <c r="F383" s="48" t="s">
        <v>141</v>
      </c>
      <c r="G383" s="46" t="s">
        <v>767</v>
      </c>
      <c r="H383" s="81">
        <v>10156</v>
      </c>
      <c r="I383" s="49">
        <v>2019</v>
      </c>
      <c r="K383" s="67"/>
    </row>
    <row r="384" spans="1:11" ht="28.5" x14ac:dyDescent="0.2">
      <c r="A384" s="48" t="s">
        <v>204</v>
      </c>
      <c r="B384" s="48" t="s">
        <v>94</v>
      </c>
      <c r="C384" s="48" t="s">
        <v>387</v>
      </c>
      <c r="D384" s="50" t="s">
        <v>836</v>
      </c>
      <c r="E384" s="53" t="s">
        <v>43</v>
      </c>
      <c r="F384" s="53" t="s">
        <v>219</v>
      </c>
      <c r="G384" s="46" t="s">
        <v>904</v>
      </c>
      <c r="H384" s="61">
        <v>13535</v>
      </c>
      <c r="I384" s="49">
        <v>2019</v>
      </c>
      <c r="K384" s="81"/>
    </row>
    <row r="385" spans="1:11" ht="28.5" x14ac:dyDescent="0.2">
      <c r="A385" s="48" t="s">
        <v>204</v>
      </c>
      <c r="B385" s="48" t="s">
        <v>94</v>
      </c>
      <c r="C385" s="48" t="s">
        <v>387</v>
      </c>
      <c r="D385" s="50" t="s">
        <v>672</v>
      </c>
      <c r="E385" s="53" t="s">
        <v>43</v>
      </c>
      <c r="F385" s="48" t="s">
        <v>141</v>
      </c>
      <c r="G385" s="46" t="s">
        <v>768</v>
      </c>
      <c r="H385" s="81">
        <v>7017</v>
      </c>
      <c r="I385" s="49">
        <v>2019</v>
      </c>
      <c r="K385" s="67"/>
    </row>
    <row r="386" spans="1:11" ht="28.5" x14ac:dyDescent="0.2">
      <c r="A386" s="48" t="s">
        <v>204</v>
      </c>
      <c r="B386" s="48" t="s">
        <v>94</v>
      </c>
      <c r="C386" s="48" t="s">
        <v>387</v>
      </c>
      <c r="D386" s="50" t="s">
        <v>837</v>
      </c>
      <c r="E386" s="53" t="s">
        <v>43</v>
      </c>
      <c r="F386" s="53" t="s">
        <v>219</v>
      </c>
      <c r="G386" s="46" t="s">
        <v>905</v>
      </c>
      <c r="H386" s="61">
        <v>8354</v>
      </c>
      <c r="I386" s="49">
        <v>2019</v>
      </c>
      <c r="K386" s="81"/>
    </row>
    <row r="387" spans="1:11" ht="28.5" x14ac:dyDescent="0.2">
      <c r="A387" s="48" t="s">
        <v>204</v>
      </c>
      <c r="B387" s="48" t="s">
        <v>94</v>
      </c>
      <c r="C387" s="48" t="s">
        <v>387</v>
      </c>
      <c r="D387" s="50" t="s">
        <v>673</v>
      </c>
      <c r="E387" s="53" t="s">
        <v>43</v>
      </c>
      <c r="F387" s="48" t="s">
        <v>141</v>
      </c>
      <c r="G387" s="46" t="s">
        <v>769</v>
      </c>
      <c r="H387" s="81">
        <v>9642</v>
      </c>
      <c r="I387" s="49">
        <v>2019</v>
      </c>
      <c r="K387" s="67"/>
    </row>
    <row r="388" spans="1:11" ht="28.5" x14ac:dyDescent="0.2">
      <c r="A388" s="48" t="s">
        <v>204</v>
      </c>
      <c r="B388" s="48" t="s">
        <v>94</v>
      </c>
      <c r="C388" s="48" t="s">
        <v>387</v>
      </c>
      <c r="D388" s="50" t="s">
        <v>838</v>
      </c>
      <c r="E388" s="53" t="s">
        <v>43</v>
      </c>
      <c r="F388" s="53" t="s">
        <v>219</v>
      </c>
      <c r="G388" s="46" t="s">
        <v>906</v>
      </c>
      <c r="H388" s="61">
        <v>12445</v>
      </c>
      <c r="I388" s="49">
        <v>2019</v>
      </c>
      <c r="K388" s="81"/>
    </row>
    <row r="389" spans="1:11" ht="28.5" x14ac:dyDescent="0.2">
      <c r="A389" s="48" t="s">
        <v>204</v>
      </c>
      <c r="B389" s="48" t="s">
        <v>94</v>
      </c>
      <c r="C389" s="48" t="s">
        <v>387</v>
      </c>
      <c r="D389" s="50" t="s">
        <v>674</v>
      </c>
      <c r="E389" s="53" t="s">
        <v>43</v>
      </c>
      <c r="F389" s="48" t="s">
        <v>141</v>
      </c>
      <c r="G389" s="46" t="s">
        <v>770</v>
      </c>
      <c r="H389" s="81">
        <v>8355</v>
      </c>
      <c r="I389" s="49">
        <v>2019</v>
      </c>
      <c r="K389" s="67"/>
    </row>
    <row r="390" spans="1:11" ht="28.5" x14ac:dyDescent="0.2">
      <c r="A390" s="48" t="s">
        <v>204</v>
      </c>
      <c r="B390" s="48" t="s">
        <v>94</v>
      </c>
      <c r="C390" s="48" t="s">
        <v>387</v>
      </c>
      <c r="D390" s="50" t="s">
        <v>839</v>
      </c>
      <c r="E390" s="53" t="s">
        <v>43</v>
      </c>
      <c r="F390" s="53" t="s">
        <v>219</v>
      </c>
      <c r="G390" s="46" t="s">
        <v>907</v>
      </c>
      <c r="H390" s="61">
        <v>10268</v>
      </c>
      <c r="I390" s="49">
        <v>2019</v>
      </c>
      <c r="K390" s="81"/>
    </row>
    <row r="391" spans="1:11" ht="28.5" x14ac:dyDescent="0.2">
      <c r="A391" s="48" t="s">
        <v>204</v>
      </c>
      <c r="B391" s="48" t="s">
        <v>94</v>
      </c>
      <c r="C391" s="48" t="s">
        <v>387</v>
      </c>
      <c r="D391" s="50" t="s">
        <v>675</v>
      </c>
      <c r="E391" s="53" t="s">
        <v>43</v>
      </c>
      <c r="F391" s="48" t="s">
        <v>141</v>
      </c>
      <c r="G391" s="46" t="s">
        <v>771</v>
      </c>
      <c r="H391" s="81">
        <v>10119</v>
      </c>
      <c r="I391" s="49">
        <v>2019</v>
      </c>
      <c r="K391" s="67"/>
    </row>
    <row r="392" spans="1:11" ht="28.5" x14ac:dyDescent="0.2">
      <c r="A392" s="48" t="s">
        <v>204</v>
      </c>
      <c r="B392" s="48" t="s">
        <v>94</v>
      </c>
      <c r="C392" s="48" t="s">
        <v>387</v>
      </c>
      <c r="D392" s="50" t="s">
        <v>840</v>
      </c>
      <c r="E392" s="53" t="s">
        <v>43</v>
      </c>
      <c r="F392" s="53" t="s">
        <v>219</v>
      </c>
      <c r="G392" s="46" t="s">
        <v>908</v>
      </c>
      <c r="H392" s="61">
        <v>13567</v>
      </c>
      <c r="I392" s="49">
        <v>2019</v>
      </c>
      <c r="K392" s="81"/>
    </row>
    <row r="393" spans="1:11" ht="28.5" x14ac:dyDescent="0.2">
      <c r="A393" s="48" t="s">
        <v>204</v>
      </c>
      <c r="B393" s="48" t="s">
        <v>94</v>
      </c>
      <c r="C393" s="48" t="s">
        <v>387</v>
      </c>
      <c r="D393" s="50" t="s">
        <v>676</v>
      </c>
      <c r="E393" s="53" t="s">
        <v>43</v>
      </c>
      <c r="F393" s="48" t="s">
        <v>141</v>
      </c>
      <c r="G393" s="46" t="s">
        <v>772</v>
      </c>
      <c r="H393" s="81">
        <v>8438</v>
      </c>
      <c r="I393" s="49">
        <v>2019</v>
      </c>
      <c r="K393" s="67"/>
    </row>
    <row r="394" spans="1:11" ht="28.5" x14ac:dyDescent="0.2">
      <c r="A394" s="48" t="s">
        <v>204</v>
      </c>
      <c r="B394" s="48" t="s">
        <v>94</v>
      </c>
      <c r="C394" s="48" t="s">
        <v>387</v>
      </c>
      <c r="D394" s="50" t="s">
        <v>841</v>
      </c>
      <c r="E394" s="53" t="s">
        <v>43</v>
      </c>
      <c r="F394" s="53" t="s">
        <v>219</v>
      </c>
      <c r="G394" s="46" t="s">
        <v>909</v>
      </c>
      <c r="H394" s="61">
        <v>10900</v>
      </c>
      <c r="I394" s="49">
        <v>2019</v>
      </c>
      <c r="K394" s="81"/>
    </row>
    <row r="395" spans="1:11" x14ac:dyDescent="0.2">
      <c r="A395" s="48" t="s">
        <v>204</v>
      </c>
      <c r="B395" s="48" t="s">
        <v>94</v>
      </c>
      <c r="C395" s="48" t="s">
        <v>387</v>
      </c>
      <c r="D395" s="50" t="s">
        <v>685</v>
      </c>
      <c r="E395" s="53" t="s">
        <v>43</v>
      </c>
      <c r="F395" s="48" t="s">
        <v>141</v>
      </c>
      <c r="G395" s="46" t="s">
        <v>781</v>
      </c>
      <c r="H395" s="81">
        <v>9392</v>
      </c>
      <c r="I395" s="49">
        <v>2020</v>
      </c>
      <c r="K395" s="67"/>
    </row>
    <row r="396" spans="1:11" x14ac:dyDescent="0.2">
      <c r="A396" s="48" t="s">
        <v>204</v>
      </c>
      <c r="B396" s="48" t="s">
        <v>94</v>
      </c>
      <c r="C396" s="48" t="s">
        <v>387</v>
      </c>
      <c r="D396" s="50" t="s">
        <v>850</v>
      </c>
      <c r="E396" s="53" t="s">
        <v>43</v>
      </c>
      <c r="F396" s="53" t="s">
        <v>219</v>
      </c>
      <c r="G396" s="46" t="s">
        <v>918</v>
      </c>
      <c r="H396" s="61">
        <v>11554</v>
      </c>
      <c r="I396" s="49">
        <v>2020</v>
      </c>
      <c r="K396" s="81"/>
    </row>
    <row r="397" spans="1:11" ht="28.5" x14ac:dyDescent="0.2">
      <c r="A397" s="48" t="s">
        <v>204</v>
      </c>
      <c r="B397" s="48" t="s">
        <v>94</v>
      </c>
      <c r="C397" s="48" t="s">
        <v>387</v>
      </c>
      <c r="D397" s="50" t="s">
        <v>686</v>
      </c>
      <c r="E397" s="53" t="s">
        <v>43</v>
      </c>
      <c r="F397" s="48" t="s">
        <v>141</v>
      </c>
      <c r="G397" s="46" t="s">
        <v>782</v>
      </c>
      <c r="H397" s="81">
        <v>6915</v>
      </c>
      <c r="I397" s="49">
        <v>2020</v>
      </c>
      <c r="K397" s="67"/>
    </row>
    <row r="398" spans="1:11" ht="28.5" x14ac:dyDescent="0.2">
      <c r="A398" s="48" t="s">
        <v>204</v>
      </c>
      <c r="B398" s="48" t="s">
        <v>94</v>
      </c>
      <c r="C398" s="48" t="s">
        <v>387</v>
      </c>
      <c r="D398" s="50" t="s">
        <v>851</v>
      </c>
      <c r="E398" s="53" t="s">
        <v>43</v>
      </c>
      <c r="F398" s="53" t="s">
        <v>219</v>
      </c>
      <c r="G398" s="46" t="s">
        <v>919</v>
      </c>
      <c r="H398" s="61">
        <v>9428</v>
      </c>
      <c r="I398" s="49">
        <v>2020</v>
      </c>
      <c r="K398" s="81"/>
    </row>
    <row r="399" spans="1:11" ht="28.5" x14ac:dyDescent="0.2">
      <c r="A399" s="48" t="s">
        <v>204</v>
      </c>
      <c r="B399" s="48" t="s">
        <v>94</v>
      </c>
      <c r="C399" s="48" t="s">
        <v>387</v>
      </c>
      <c r="D399" s="50" t="s">
        <v>687</v>
      </c>
      <c r="E399" s="53" t="s">
        <v>43</v>
      </c>
      <c r="F399" s="48" t="s">
        <v>141</v>
      </c>
      <c r="G399" s="46" t="s">
        <v>783</v>
      </c>
      <c r="H399" s="81">
        <v>11002</v>
      </c>
      <c r="I399" s="49">
        <v>2020</v>
      </c>
      <c r="K399" s="67"/>
    </row>
    <row r="400" spans="1:11" ht="42.75" x14ac:dyDescent="0.2">
      <c r="A400" s="48" t="s">
        <v>204</v>
      </c>
      <c r="B400" s="48" t="s">
        <v>94</v>
      </c>
      <c r="C400" s="48" t="s">
        <v>387</v>
      </c>
      <c r="D400" s="50" t="s">
        <v>852</v>
      </c>
      <c r="E400" s="53" t="s">
        <v>43</v>
      </c>
      <c r="F400" s="53" t="s">
        <v>219</v>
      </c>
      <c r="G400" s="46" t="s">
        <v>920</v>
      </c>
      <c r="H400" s="61">
        <v>14424</v>
      </c>
      <c r="I400" s="49">
        <v>2020</v>
      </c>
      <c r="K400" s="81"/>
    </row>
    <row r="401" spans="1:11" ht="28.5" x14ac:dyDescent="0.2">
      <c r="A401" s="48" t="s">
        <v>204</v>
      </c>
      <c r="B401" s="48" t="s">
        <v>94</v>
      </c>
      <c r="C401" s="48" t="s">
        <v>387</v>
      </c>
      <c r="D401" s="50" t="s">
        <v>677</v>
      </c>
      <c r="E401" s="53" t="s">
        <v>43</v>
      </c>
      <c r="F401" s="48" t="s">
        <v>141</v>
      </c>
      <c r="G401" s="46" t="s">
        <v>773</v>
      </c>
      <c r="H401" s="81">
        <v>10223</v>
      </c>
      <c r="I401" s="49">
        <v>2020</v>
      </c>
      <c r="K401" s="67"/>
    </row>
    <row r="402" spans="1:11" ht="28.5" x14ac:dyDescent="0.2">
      <c r="A402" s="48" t="s">
        <v>204</v>
      </c>
      <c r="B402" s="48" t="s">
        <v>94</v>
      </c>
      <c r="C402" s="48" t="s">
        <v>387</v>
      </c>
      <c r="D402" s="50" t="s">
        <v>842</v>
      </c>
      <c r="E402" s="53" t="s">
        <v>43</v>
      </c>
      <c r="F402" s="53" t="s">
        <v>219</v>
      </c>
      <c r="G402" s="46" t="s">
        <v>910</v>
      </c>
      <c r="H402" s="61">
        <v>13152</v>
      </c>
      <c r="I402" s="49">
        <v>2020</v>
      </c>
      <c r="K402" s="81"/>
    </row>
    <row r="403" spans="1:11" ht="28.5" x14ac:dyDescent="0.2">
      <c r="A403" s="48" t="s">
        <v>204</v>
      </c>
      <c r="B403" s="48" t="s">
        <v>94</v>
      </c>
      <c r="C403" s="48" t="s">
        <v>387</v>
      </c>
      <c r="D403" s="50" t="s">
        <v>678</v>
      </c>
      <c r="E403" s="53" t="s">
        <v>43</v>
      </c>
      <c r="F403" s="48" t="s">
        <v>141</v>
      </c>
      <c r="G403" s="46" t="s">
        <v>774</v>
      </c>
      <c r="H403" s="81">
        <v>8295</v>
      </c>
      <c r="I403" s="49">
        <v>2020</v>
      </c>
      <c r="K403" s="67"/>
    </row>
    <row r="404" spans="1:11" ht="28.5" x14ac:dyDescent="0.2">
      <c r="A404" s="48" t="s">
        <v>204</v>
      </c>
      <c r="B404" s="48" t="s">
        <v>94</v>
      </c>
      <c r="C404" s="48" t="s">
        <v>387</v>
      </c>
      <c r="D404" s="50" t="s">
        <v>843</v>
      </c>
      <c r="E404" s="53" t="s">
        <v>43</v>
      </c>
      <c r="F404" s="53" t="s">
        <v>219</v>
      </c>
      <c r="G404" s="46" t="s">
        <v>911</v>
      </c>
      <c r="H404" s="61">
        <v>10357</v>
      </c>
      <c r="I404" s="49">
        <v>2020</v>
      </c>
      <c r="K404" s="81"/>
    </row>
    <row r="405" spans="1:11" ht="28.5" x14ac:dyDescent="0.2">
      <c r="A405" s="48" t="s">
        <v>204</v>
      </c>
      <c r="B405" s="48" t="s">
        <v>94</v>
      </c>
      <c r="C405" s="48" t="s">
        <v>387</v>
      </c>
      <c r="D405" s="50" t="s">
        <v>679</v>
      </c>
      <c r="E405" s="53" t="s">
        <v>43</v>
      </c>
      <c r="F405" s="48" t="s">
        <v>141</v>
      </c>
      <c r="G405" s="46" t="s">
        <v>775</v>
      </c>
      <c r="H405" s="81">
        <v>11677</v>
      </c>
      <c r="I405" s="49">
        <v>2020</v>
      </c>
      <c r="K405" s="67"/>
    </row>
    <row r="406" spans="1:11" ht="28.5" x14ac:dyDescent="0.2">
      <c r="A406" s="48" t="s">
        <v>204</v>
      </c>
      <c r="B406" s="48" t="s">
        <v>94</v>
      </c>
      <c r="C406" s="48" t="s">
        <v>387</v>
      </c>
      <c r="D406" s="50" t="s">
        <v>844</v>
      </c>
      <c r="E406" s="53" t="s">
        <v>43</v>
      </c>
      <c r="F406" s="53" t="s">
        <v>219</v>
      </c>
      <c r="G406" s="46" t="s">
        <v>912</v>
      </c>
      <c r="H406" s="61">
        <v>15534</v>
      </c>
      <c r="I406" s="49">
        <v>2020</v>
      </c>
      <c r="K406" s="81"/>
    </row>
    <row r="407" spans="1:11" ht="28.5" x14ac:dyDescent="0.2">
      <c r="A407" s="48" t="s">
        <v>204</v>
      </c>
      <c r="B407" s="48" t="s">
        <v>94</v>
      </c>
      <c r="C407" s="48" t="s">
        <v>387</v>
      </c>
      <c r="D407" s="50" t="s">
        <v>680</v>
      </c>
      <c r="E407" s="53" t="s">
        <v>43</v>
      </c>
      <c r="F407" s="48" t="s">
        <v>141</v>
      </c>
      <c r="G407" s="46" t="s">
        <v>776</v>
      </c>
      <c r="H407" s="81">
        <v>7305</v>
      </c>
      <c r="I407" s="49">
        <v>2020</v>
      </c>
      <c r="K407" s="67"/>
    </row>
    <row r="408" spans="1:11" ht="28.5" x14ac:dyDescent="0.2">
      <c r="A408" s="48" t="s">
        <v>204</v>
      </c>
      <c r="B408" s="48" t="s">
        <v>94</v>
      </c>
      <c r="C408" s="48" t="s">
        <v>387</v>
      </c>
      <c r="D408" s="50" t="s">
        <v>845</v>
      </c>
      <c r="E408" s="53" t="s">
        <v>43</v>
      </c>
      <c r="F408" s="53" t="s">
        <v>219</v>
      </c>
      <c r="G408" s="46" t="s">
        <v>913</v>
      </c>
      <c r="H408" s="61">
        <v>8723</v>
      </c>
      <c r="I408" s="49">
        <v>2020</v>
      </c>
      <c r="K408" s="81"/>
    </row>
    <row r="409" spans="1:11" ht="28.5" x14ac:dyDescent="0.2">
      <c r="A409" s="48" t="s">
        <v>204</v>
      </c>
      <c r="B409" s="48" t="s">
        <v>94</v>
      </c>
      <c r="C409" s="48" t="s">
        <v>387</v>
      </c>
      <c r="D409" s="50" t="s">
        <v>681</v>
      </c>
      <c r="E409" s="53" t="s">
        <v>43</v>
      </c>
      <c r="F409" s="48" t="s">
        <v>141</v>
      </c>
      <c r="G409" s="46" t="s">
        <v>777</v>
      </c>
      <c r="H409" s="81">
        <v>12360</v>
      </c>
      <c r="I409" s="49">
        <v>2020</v>
      </c>
      <c r="K409" s="67"/>
    </row>
    <row r="410" spans="1:11" ht="28.5" x14ac:dyDescent="0.2">
      <c r="A410" s="48" t="s">
        <v>204</v>
      </c>
      <c r="B410" s="48" t="s">
        <v>94</v>
      </c>
      <c r="C410" s="48" t="s">
        <v>387</v>
      </c>
      <c r="D410" s="50" t="s">
        <v>846</v>
      </c>
      <c r="E410" s="53" t="s">
        <v>43</v>
      </c>
      <c r="F410" s="53" t="s">
        <v>219</v>
      </c>
      <c r="G410" s="46" t="s">
        <v>914</v>
      </c>
      <c r="H410" s="61">
        <v>16236</v>
      </c>
      <c r="I410" s="49">
        <v>2020</v>
      </c>
      <c r="K410" s="81"/>
    </row>
    <row r="411" spans="1:11" ht="28.5" x14ac:dyDescent="0.2">
      <c r="A411" s="48" t="s">
        <v>204</v>
      </c>
      <c r="B411" s="48" t="s">
        <v>94</v>
      </c>
      <c r="C411" s="48" t="s">
        <v>387</v>
      </c>
      <c r="D411" s="50" t="s">
        <v>682</v>
      </c>
      <c r="E411" s="53" t="s">
        <v>43</v>
      </c>
      <c r="F411" s="48" t="s">
        <v>141</v>
      </c>
      <c r="G411" s="46" t="s">
        <v>778</v>
      </c>
      <c r="H411" s="81">
        <v>7266</v>
      </c>
      <c r="I411" s="49">
        <v>2020</v>
      </c>
      <c r="K411" s="67"/>
    </row>
    <row r="412" spans="1:11" ht="28.5" x14ac:dyDescent="0.2">
      <c r="A412" s="48" t="s">
        <v>204</v>
      </c>
      <c r="B412" s="48" t="s">
        <v>94</v>
      </c>
      <c r="C412" s="48" t="s">
        <v>387</v>
      </c>
      <c r="D412" s="50" t="s">
        <v>847</v>
      </c>
      <c r="E412" s="53" t="s">
        <v>43</v>
      </c>
      <c r="F412" s="53" t="s">
        <v>219</v>
      </c>
      <c r="G412" s="46" t="s">
        <v>915</v>
      </c>
      <c r="H412" s="61">
        <v>9309</v>
      </c>
      <c r="I412" s="49">
        <v>2020</v>
      </c>
      <c r="K412" s="81"/>
    </row>
    <row r="413" spans="1:11" ht="28.5" x14ac:dyDescent="0.2">
      <c r="A413" s="48" t="s">
        <v>204</v>
      </c>
      <c r="B413" s="48" t="s">
        <v>94</v>
      </c>
      <c r="C413" s="48" t="s">
        <v>387</v>
      </c>
      <c r="D413" s="50" t="s">
        <v>683</v>
      </c>
      <c r="E413" s="53" t="s">
        <v>43</v>
      </c>
      <c r="F413" s="48" t="s">
        <v>141</v>
      </c>
      <c r="G413" s="46" t="s">
        <v>779</v>
      </c>
      <c r="H413" s="81">
        <v>13636</v>
      </c>
      <c r="I413" s="49">
        <v>2020</v>
      </c>
      <c r="K413" s="67"/>
    </row>
    <row r="414" spans="1:11" ht="28.5" x14ac:dyDescent="0.2">
      <c r="A414" s="48" t="s">
        <v>204</v>
      </c>
      <c r="B414" s="48" t="s">
        <v>94</v>
      </c>
      <c r="C414" s="48" t="s">
        <v>387</v>
      </c>
      <c r="D414" s="50" t="s">
        <v>848</v>
      </c>
      <c r="E414" s="53" t="s">
        <v>43</v>
      </c>
      <c r="F414" s="53" t="s">
        <v>219</v>
      </c>
      <c r="G414" s="46" t="s">
        <v>916</v>
      </c>
      <c r="H414" s="61">
        <v>18220</v>
      </c>
      <c r="I414" s="49">
        <v>2020</v>
      </c>
      <c r="K414" s="81"/>
    </row>
    <row r="415" spans="1:11" ht="28.5" x14ac:dyDescent="0.2">
      <c r="A415" s="48" t="s">
        <v>204</v>
      </c>
      <c r="B415" s="48" t="s">
        <v>94</v>
      </c>
      <c r="C415" s="48" t="s">
        <v>387</v>
      </c>
      <c r="D415" s="50" t="s">
        <v>684</v>
      </c>
      <c r="E415" s="53" t="s">
        <v>43</v>
      </c>
      <c r="F415" s="48" t="s">
        <v>141</v>
      </c>
      <c r="G415" s="46" t="s">
        <v>780</v>
      </c>
      <c r="H415" s="81">
        <v>7319</v>
      </c>
      <c r="I415" s="49">
        <v>2020</v>
      </c>
      <c r="K415" s="67"/>
    </row>
    <row r="416" spans="1:11" ht="28.5" x14ac:dyDescent="0.2">
      <c r="A416" s="48" t="s">
        <v>204</v>
      </c>
      <c r="B416" s="48" t="s">
        <v>94</v>
      </c>
      <c r="C416" s="48" t="s">
        <v>387</v>
      </c>
      <c r="D416" s="50" t="s">
        <v>849</v>
      </c>
      <c r="E416" s="53" t="s">
        <v>43</v>
      </c>
      <c r="F416" s="53" t="s">
        <v>219</v>
      </c>
      <c r="G416" s="46" t="s">
        <v>917</v>
      </c>
      <c r="H416" s="61">
        <v>9289</v>
      </c>
      <c r="I416" s="49">
        <v>2020</v>
      </c>
      <c r="K416" s="81"/>
    </row>
    <row r="417" spans="1:11" ht="28.5" x14ac:dyDescent="0.2">
      <c r="A417" s="48" t="s">
        <v>204</v>
      </c>
      <c r="B417" s="48" t="s">
        <v>94</v>
      </c>
      <c r="C417" s="48" t="s">
        <v>387</v>
      </c>
      <c r="D417" s="50" t="s">
        <v>688</v>
      </c>
      <c r="E417" s="53" t="s">
        <v>43</v>
      </c>
      <c r="F417" s="48" t="s">
        <v>141</v>
      </c>
      <c r="G417" s="46" t="s">
        <v>784</v>
      </c>
      <c r="H417" s="81">
        <v>13883</v>
      </c>
      <c r="I417" s="49">
        <v>2021</v>
      </c>
      <c r="K417" s="67"/>
    </row>
    <row r="418" spans="1:11" ht="28.5" x14ac:dyDescent="0.2">
      <c r="A418" s="48" t="s">
        <v>204</v>
      </c>
      <c r="B418" s="48" t="s">
        <v>94</v>
      </c>
      <c r="C418" s="48" t="s">
        <v>387</v>
      </c>
      <c r="D418" s="50" t="s">
        <v>853</v>
      </c>
      <c r="E418" s="53" t="s">
        <v>43</v>
      </c>
      <c r="F418" s="53" t="s">
        <v>219</v>
      </c>
      <c r="G418" s="46" t="s">
        <v>921</v>
      </c>
      <c r="H418" s="61">
        <v>19665</v>
      </c>
      <c r="I418" s="49">
        <v>2021</v>
      </c>
      <c r="K418" s="81"/>
    </row>
    <row r="419" spans="1:11" ht="28.5" x14ac:dyDescent="0.2">
      <c r="A419" s="48" t="s">
        <v>204</v>
      </c>
      <c r="B419" s="48" t="s">
        <v>94</v>
      </c>
      <c r="C419" s="48" t="s">
        <v>387</v>
      </c>
      <c r="D419" s="50" t="s">
        <v>689</v>
      </c>
      <c r="E419" s="53" t="s">
        <v>43</v>
      </c>
      <c r="F419" s="48" t="s">
        <v>141</v>
      </c>
      <c r="G419" s="46" t="s">
        <v>785</v>
      </c>
      <c r="H419" s="81">
        <v>5988</v>
      </c>
      <c r="I419" s="49">
        <v>2021</v>
      </c>
      <c r="K419" s="67"/>
    </row>
    <row r="420" spans="1:11" ht="28.5" x14ac:dyDescent="0.2">
      <c r="A420" s="48" t="s">
        <v>204</v>
      </c>
      <c r="B420" s="48" t="s">
        <v>94</v>
      </c>
      <c r="C420" s="48" t="s">
        <v>387</v>
      </c>
      <c r="D420" s="50" t="s">
        <v>854</v>
      </c>
      <c r="E420" s="53" t="s">
        <v>43</v>
      </c>
      <c r="F420" s="53" t="s">
        <v>219</v>
      </c>
      <c r="G420" s="46" t="s">
        <v>922</v>
      </c>
      <c r="H420" s="61">
        <v>8032</v>
      </c>
      <c r="I420" s="49">
        <v>2021</v>
      </c>
      <c r="K420" s="81"/>
    </row>
    <row r="421" spans="1:11" x14ac:dyDescent="0.2">
      <c r="A421" s="48" t="s">
        <v>204</v>
      </c>
      <c r="B421" s="48" t="s">
        <v>94</v>
      </c>
      <c r="C421" s="48" t="s">
        <v>387</v>
      </c>
      <c r="D421" s="50" t="s">
        <v>690</v>
      </c>
      <c r="E421" s="53" t="s">
        <v>43</v>
      </c>
      <c r="F421" s="48" t="s">
        <v>141</v>
      </c>
      <c r="G421" s="46" t="s">
        <v>786</v>
      </c>
      <c r="H421" s="81">
        <v>9784</v>
      </c>
      <c r="I421" s="49">
        <v>2021</v>
      </c>
      <c r="K421" s="67"/>
    </row>
    <row r="422" spans="1:11" ht="28.5" x14ac:dyDescent="0.2">
      <c r="A422" s="48" t="s">
        <v>204</v>
      </c>
      <c r="B422" s="48" t="s">
        <v>94</v>
      </c>
      <c r="C422" s="48" t="s">
        <v>387</v>
      </c>
      <c r="D422" s="50" t="s">
        <v>855</v>
      </c>
      <c r="E422" s="53" t="s">
        <v>43</v>
      </c>
      <c r="F422" s="53" t="s">
        <v>219</v>
      </c>
      <c r="G422" s="46" t="s">
        <v>923</v>
      </c>
      <c r="H422" s="61">
        <v>12281</v>
      </c>
      <c r="I422" s="49">
        <v>2021</v>
      </c>
      <c r="K422" s="81"/>
    </row>
    <row r="423" spans="1:11" x14ac:dyDescent="0.2">
      <c r="A423" s="48" t="s">
        <v>204</v>
      </c>
      <c r="B423" s="48" t="s">
        <v>95</v>
      </c>
      <c r="C423" s="48" t="s">
        <v>38</v>
      </c>
      <c r="D423" s="46" t="s">
        <v>365</v>
      </c>
      <c r="E423" s="53" t="s">
        <v>43</v>
      </c>
      <c r="F423" s="48" t="s">
        <v>240</v>
      </c>
      <c r="G423" s="46" t="s">
        <v>364</v>
      </c>
      <c r="H423" s="67">
        <v>39546</v>
      </c>
      <c r="I423" s="49">
        <v>2019</v>
      </c>
      <c r="K423" s="48"/>
    </row>
    <row r="424" spans="1:11" ht="28.5" x14ac:dyDescent="0.2">
      <c r="A424" s="46" t="s">
        <v>204</v>
      </c>
      <c r="B424" s="46" t="s">
        <v>95</v>
      </c>
      <c r="C424" s="46" t="s">
        <v>40</v>
      </c>
      <c r="D424" s="46" t="s">
        <v>291</v>
      </c>
      <c r="E424" s="52" t="s">
        <v>43</v>
      </c>
      <c r="F424" s="46" t="s">
        <v>219</v>
      </c>
      <c r="G424" s="46" t="s">
        <v>297</v>
      </c>
      <c r="H424" s="66">
        <v>59103</v>
      </c>
      <c r="I424" s="47">
        <v>2015</v>
      </c>
      <c r="J424" s="46" t="s">
        <v>241</v>
      </c>
      <c r="K424" s="48"/>
    </row>
    <row r="425" spans="1:11" ht="28.5" x14ac:dyDescent="0.2">
      <c r="A425" s="48" t="s">
        <v>204</v>
      </c>
      <c r="B425" s="48" t="s">
        <v>95</v>
      </c>
      <c r="C425" s="48" t="s">
        <v>40</v>
      </c>
      <c r="D425" s="46" t="s">
        <v>356</v>
      </c>
      <c r="E425" s="53" t="s">
        <v>43</v>
      </c>
      <c r="F425" s="48" t="s">
        <v>240</v>
      </c>
      <c r="G425" s="46" t="s">
        <v>352</v>
      </c>
      <c r="H425" s="67">
        <v>53432</v>
      </c>
      <c r="I425" s="49">
        <v>2014</v>
      </c>
      <c r="K425" s="67"/>
    </row>
    <row r="426" spans="1:11" ht="28.5" x14ac:dyDescent="0.2">
      <c r="A426" s="46" t="s">
        <v>204</v>
      </c>
      <c r="B426" s="46" t="s">
        <v>95</v>
      </c>
      <c r="C426" s="46" t="s">
        <v>40</v>
      </c>
      <c r="D426" s="46" t="s">
        <v>292</v>
      </c>
      <c r="E426" s="52" t="s">
        <v>43</v>
      </c>
      <c r="F426" s="46" t="s">
        <v>219</v>
      </c>
      <c r="G426" s="46" t="s">
        <v>298</v>
      </c>
      <c r="H426" s="66">
        <v>63812</v>
      </c>
      <c r="I426" s="47">
        <v>2016</v>
      </c>
      <c r="J426" s="46" t="s">
        <v>241</v>
      </c>
      <c r="K426" s="48"/>
    </row>
    <row r="427" spans="1:11" ht="28.5" x14ac:dyDescent="0.2">
      <c r="A427" s="48" t="s">
        <v>204</v>
      </c>
      <c r="B427" s="48" t="s">
        <v>95</v>
      </c>
      <c r="C427" s="48" t="s">
        <v>40</v>
      </c>
      <c r="D427" s="46" t="s">
        <v>357</v>
      </c>
      <c r="E427" s="53" t="s">
        <v>43</v>
      </c>
      <c r="F427" s="48" t="s">
        <v>240</v>
      </c>
      <c r="G427" s="46" t="s">
        <v>353</v>
      </c>
      <c r="H427" s="67">
        <v>75538</v>
      </c>
      <c r="I427" s="49">
        <v>2015</v>
      </c>
      <c r="K427" s="67"/>
    </row>
    <row r="428" spans="1:11" ht="28.5" x14ac:dyDescent="0.2">
      <c r="A428" s="46" t="s">
        <v>204</v>
      </c>
      <c r="B428" s="46" t="s">
        <v>95</v>
      </c>
      <c r="C428" s="46" t="s">
        <v>40</v>
      </c>
      <c r="D428" s="46" t="s">
        <v>293</v>
      </c>
      <c r="E428" s="52" t="s">
        <v>43</v>
      </c>
      <c r="F428" s="46" t="s">
        <v>219</v>
      </c>
      <c r="G428" s="46" t="s">
        <v>299</v>
      </c>
      <c r="H428" s="66">
        <v>64554</v>
      </c>
      <c r="I428" s="47">
        <v>2017</v>
      </c>
      <c r="J428" s="46" t="s">
        <v>241</v>
      </c>
      <c r="K428" s="48"/>
    </row>
    <row r="429" spans="1:11" ht="28.5" x14ac:dyDescent="0.2">
      <c r="A429" s="48" t="s">
        <v>204</v>
      </c>
      <c r="B429" s="48" t="s">
        <v>95</v>
      </c>
      <c r="C429" s="48" t="s">
        <v>40</v>
      </c>
      <c r="D429" s="46" t="s">
        <v>358</v>
      </c>
      <c r="E429" s="53" t="s">
        <v>43</v>
      </c>
      <c r="F429" s="48" t="s">
        <v>240</v>
      </c>
      <c r="G429" s="46" t="s">
        <v>354</v>
      </c>
      <c r="H429" s="67">
        <v>76301</v>
      </c>
      <c r="I429" s="49">
        <v>2016</v>
      </c>
      <c r="K429" s="67"/>
    </row>
    <row r="430" spans="1:11" ht="28.5" x14ac:dyDescent="0.2">
      <c r="A430" s="46" t="s">
        <v>204</v>
      </c>
      <c r="B430" s="46" t="s">
        <v>95</v>
      </c>
      <c r="C430" s="46" t="s">
        <v>40</v>
      </c>
      <c r="D430" s="46" t="s">
        <v>474</v>
      </c>
      <c r="E430" s="52" t="s">
        <v>43</v>
      </c>
      <c r="F430" s="46" t="s">
        <v>219</v>
      </c>
      <c r="G430" s="46" t="s">
        <v>475</v>
      </c>
      <c r="H430" s="66">
        <v>12687</v>
      </c>
      <c r="I430" s="47">
        <v>2018</v>
      </c>
      <c r="J430" s="46" t="s">
        <v>241</v>
      </c>
      <c r="K430" s="48"/>
    </row>
    <row r="431" spans="1:11" ht="28.5" x14ac:dyDescent="0.2">
      <c r="A431" s="46" t="s">
        <v>204</v>
      </c>
      <c r="B431" s="46" t="s">
        <v>95</v>
      </c>
      <c r="C431" s="46" t="s">
        <v>40</v>
      </c>
      <c r="D431" s="46" t="s">
        <v>505</v>
      </c>
      <c r="E431" s="52" t="s">
        <v>43</v>
      </c>
      <c r="F431" s="53" t="s">
        <v>240</v>
      </c>
      <c r="G431" s="46" t="s">
        <v>496</v>
      </c>
      <c r="H431" s="67">
        <v>12268</v>
      </c>
      <c r="I431" s="49">
        <v>2018</v>
      </c>
      <c r="J431" s="46"/>
      <c r="K431" s="48"/>
    </row>
    <row r="432" spans="1:11" ht="28.5" x14ac:dyDescent="0.2">
      <c r="A432" s="46" t="s">
        <v>204</v>
      </c>
      <c r="B432" s="46" t="s">
        <v>95</v>
      </c>
      <c r="C432" s="46" t="s">
        <v>40</v>
      </c>
      <c r="D432" s="46" t="s">
        <v>477</v>
      </c>
      <c r="E432" s="52" t="s">
        <v>43</v>
      </c>
      <c r="F432" s="46" t="s">
        <v>219</v>
      </c>
      <c r="G432" s="46" t="s">
        <v>476</v>
      </c>
      <c r="H432" s="66">
        <v>13101</v>
      </c>
      <c r="I432" s="47">
        <v>2018</v>
      </c>
      <c r="J432" s="46" t="s">
        <v>241</v>
      </c>
      <c r="K432" s="48"/>
    </row>
    <row r="433" spans="1:11" ht="28.5" x14ac:dyDescent="0.2">
      <c r="A433" s="46" t="s">
        <v>204</v>
      </c>
      <c r="B433" s="46" t="s">
        <v>95</v>
      </c>
      <c r="C433" s="46" t="s">
        <v>40</v>
      </c>
      <c r="D433" s="46" t="s">
        <v>506</v>
      </c>
      <c r="E433" s="52" t="s">
        <v>43</v>
      </c>
      <c r="F433" s="53" t="s">
        <v>240</v>
      </c>
      <c r="G433" s="46" t="s">
        <v>499</v>
      </c>
      <c r="H433" s="66">
        <v>12840</v>
      </c>
      <c r="I433" s="49">
        <v>2018</v>
      </c>
      <c r="J433" s="46"/>
      <c r="K433" s="48"/>
    </row>
    <row r="434" spans="1:11" ht="28.5" x14ac:dyDescent="0.2">
      <c r="A434" s="46" t="s">
        <v>204</v>
      </c>
      <c r="B434" s="46" t="s">
        <v>95</v>
      </c>
      <c r="C434" s="46" t="s">
        <v>40</v>
      </c>
      <c r="D434" s="46" t="s">
        <v>479</v>
      </c>
      <c r="E434" s="52" t="s">
        <v>43</v>
      </c>
      <c r="F434" s="46" t="s">
        <v>219</v>
      </c>
      <c r="G434" s="46" t="s">
        <v>478</v>
      </c>
      <c r="H434" s="66">
        <v>13223</v>
      </c>
      <c r="I434" s="47">
        <v>2018</v>
      </c>
      <c r="J434" s="46" t="s">
        <v>241</v>
      </c>
      <c r="K434" s="48"/>
    </row>
    <row r="435" spans="1:11" ht="28.5" x14ac:dyDescent="0.2">
      <c r="A435" s="46" t="s">
        <v>204</v>
      </c>
      <c r="B435" s="46" t="s">
        <v>95</v>
      </c>
      <c r="C435" s="46" t="s">
        <v>40</v>
      </c>
      <c r="D435" s="46" t="s">
        <v>504</v>
      </c>
      <c r="E435" s="52" t="s">
        <v>43</v>
      </c>
      <c r="F435" s="53" t="s">
        <v>240</v>
      </c>
      <c r="G435" s="46" t="s">
        <v>500</v>
      </c>
      <c r="H435" s="66">
        <v>13076</v>
      </c>
      <c r="I435" s="49">
        <v>2018</v>
      </c>
      <c r="J435" s="46"/>
      <c r="K435" s="48"/>
    </row>
    <row r="436" spans="1:11" ht="28.5" x14ac:dyDescent="0.2">
      <c r="A436" s="46" t="s">
        <v>204</v>
      </c>
      <c r="B436" s="46" t="s">
        <v>95</v>
      </c>
      <c r="C436" s="46" t="s">
        <v>40</v>
      </c>
      <c r="D436" s="46" t="s">
        <v>480</v>
      </c>
      <c r="E436" s="52" t="s">
        <v>43</v>
      </c>
      <c r="F436" s="46" t="s">
        <v>219</v>
      </c>
      <c r="G436" s="46" t="s">
        <v>488</v>
      </c>
      <c r="H436" s="66">
        <v>16071</v>
      </c>
      <c r="I436" s="47">
        <v>2018</v>
      </c>
      <c r="J436" s="46" t="s">
        <v>241</v>
      </c>
      <c r="K436" s="48"/>
    </row>
    <row r="437" spans="1:11" ht="28.5" x14ac:dyDescent="0.2">
      <c r="A437" s="46" t="s">
        <v>204</v>
      </c>
      <c r="B437" s="46" t="s">
        <v>95</v>
      </c>
      <c r="C437" s="46" t="s">
        <v>40</v>
      </c>
      <c r="D437" s="46" t="s">
        <v>508</v>
      </c>
      <c r="E437" s="52" t="s">
        <v>43</v>
      </c>
      <c r="F437" s="53" t="s">
        <v>240</v>
      </c>
      <c r="G437" s="46" t="s">
        <v>507</v>
      </c>
      <c r="H437" s="66">
        <v>15531</v>
      </c>
      <c r="I437" s="49">
        <v>2018</v>
      </c>
      <c r="J437" s="46"/>
      <c r="K437" s="48"/>
    </row>
    <row r="438" spans="1:11" ht="28.5" x14ac:dyDescent="0.2">
      <c r="A438" s="46" t="s">
        <v>204</v>
      </c>
      <c r="B438" s="46" t="s">
        <v>95</v>
      </c>
      <c r="C438" s="46" t="s">
        <v>40</v>
      </c>
      <c r="D438" s="46" t="s">
        <v>294</v>
      </c>
      <c r="E438" s="52" t="s">
        <v>43</v>
      </c>
      <c r="F438" s="46" t="s">
        <v>219</v>
      </c>
      <c r="G438" s="46" t="s">
        <v>300</v>
      </c>
      <c r="H438" s="66">
        <v>62350</v>
      </c>
      <c r="I438" s="47">
        <v>2018</v>
      </c>
      <c r="J438" s="46" t="s">
        <v>241</v>
      </c>
      <c r="K438" s="48"/>
    </row>
    <row r="439" spans="1:11" ht="28.5" x14ac:dyDescent="0.2">
      <c r="A439" s="48" t="s">
        <v>204</v>
      </c>
      <c r="B439" s="48" t="s">
        <v>95</v>
      </c>
      <c r="C439" s="48" t="s">
        <v>40</v>
      </c>
      <c r="D439" s="46" t="s">
        <v>359</v>
      </c>
      <c r="E439" s="53" t="s">
        <v>43</v>
      </c>
      <c r="F439" s="48" t="s">
        <v>240</v>
      </c>
      <c r="G439" s="46" t="s">
        <v>355</v>
      </c>
      <c r="H439" s="67">
        <v>74556</v>
      </c>
      <c r="I439" s="49">
        <v>2017</v>
      </c>
      <c r="K439" s="67"/>
    </row>
    <row r="440" spans="1:11" ht="28.5" x14ac:dyDescent="0.2">
      <c r="A440" s="46" t="s">
        <v>204</v>
      </c>
      <c r="B440" s="46" t="s">
        <v>95</v>
      </c>
      <c r="C440" s="46" t="s">
        <v>40</v>
      </c>
      <c r="D440" s="46" t="s">
        <v>481</v>
      </c>
      <c r="E440" s="52" t="s">
        <v>43</v>
      </c>
      <c r="F440" s="46" t="s">
        <v>219</v>
      </c>
      <c r="G440" s="46" t="s">
        <v>482</v>
      </c>
      <c r="H440" s="66">
        <v>12442</v>
      </c>
      <c r="I440" s="47">
        <v>2019</v>
      </c>
      <c r="J440" s="46" t="s">
        <v>241</v>
      </c>
      <c r="K440" s="48"/>
    </row>
    <row r="441" spans="1:11" ht="28.5" x14ac:dyDescent="0.2">
      <c r="A441" s="46" t="s">
        <v>204</v>
      </c>
      <c r="B441" s="46" t="s">
        <v>95</v>
      </c>
      <c r="C441" s="46" t="s">
        <v>40</v>
      </c>
      <c r="D441" s="46" t="s">
        <v>512</v>
      </c>
      <c r="E441" s="52" t="s">
        <v>43</v>
      </c>
      <c r="F441" s="53" t="s">
        <v>240</v>
      </c>
      <c r="G441" s="46" t="s">
        <v>497</v>
      </c>
      <c r="H441" s="66">
        <v>12459</v>
      </c>
      <c r="I441" s="47">
        <v>2019</v>
      </c>
      <c r="J441" s="46"/>
      <c r="K441" s="48"/>
    </row>
    <row r="442" spans="1:11" ht="28.5" x14ac:dyDescent="0.2">
      <c r="A442" s="46" t="s">
        <v>204</v>
      </c>
      <c r="B442" s="46" t="s">
        <v>95</v>
      </c>
      <c r="C442" s="46" t="s">
        <v>40</v>
      </c>
      <c r="D442" s="46" t="s">
        <v>485</v>
      </c>
      <c r="E442" s="52" t="s">
        <v>43</v>
      </c>
      <c r="F442" s="46" t="s">
        <v>219</v>
      </c>
      <c r="G442" s="46" t="s">
        <v>483</v>
      </c>
      <c r="H442" s="66">
        <v>13252</v>
      </c>
      <c r="I442" s="47">
        <v>2019</v>
      </c>
      <c r="J442" s="46" t="s">
        <v>241</v>
      </c>
      <c r="K442" s="48"/>
    </row>
    <row r="443" spans="1:11" ht="28.5" x14ac:dyDescent="0.2">
      <c r="A443" s="46" t="s">
        <v>204</v>
      </c>
      <c r="B443" s="46" t="s">
        <v>95</v>
      </c>
      <c r="C443" s="46" t="s">
        <v>40</v>
      </c>
      <c r="D443" s="46" t="s">
        <v>513</v>
      </c>
      <c r="E443" s="52" t="s">
        <v>43</v>
      </c>
      <c r="F443" s="53" t="s">
        <v>240</v>
      </c>
      <c r="G443" s="46" t="s">
        <v>501</v>
      </c>
      <c r="H443" s="66">
        <v>13017</v>
      </c>
      <c r="I443" s="47">
        <v>2019</v>
      </c>
      <c r="J443" s="46"/>
      <c r="K443" s="48"/>
    </row>
    <row r="444" spans="1:11" ht="28.5" x14ac:dyDescent="0.2">
      <c r="A444" s="46" t="s">
        <v>204</v>
      </c>
      <c r="B444" s="46" t="s">
        <v>95</v>
      </c>
      <c r="C444" s="46" t="s">
        <v>40</v>
      </c>
      <c r="D444" s="46" t="s">
        <v>486</v>
      </c>
      <c r="E444" s="52" t="s">
        <v>43</v>
      </c>
      <c r="F444" s="46" t="s">
        <v>219</v>
      </c>
      <c r="G444" s="46" t="s">
        <v>484</v>
      </c>
      <c r="H444" s="66">
        <v>12640</v>
      </c>
      <c r="I444" s="47">
        <v>2019</v>
      </c>
      <c r="J444" s="46" t="s">
        <v>241</v>
      </c>
      <c r="K444" s="48"/>
    </row>
    <row r="445" spans="1:11" ht="28.5" x14ac:dyDescent="0.2">
      <c r="A445" s="46" t="s">
        <v>204</v>
      </c>
      <c r="B445" s="46" t="s">
        <v>95</v>
      </c>
      <c r="C445" s="46" t="s">
        <v>40</v>
      </c>
      <c r="D445" s="46" t="s">
        <v>514</v>
      </c>
      <c r="E445" s="52" t="s">
        <v>43</v>
      </c>
      <c r="F445" s="53" t="s">
        <v>240</v>
      </c>
      <c r="G445" s="46" t="s">
        <v>502</v>
      </c>
      <c r="H445" s="66">
        <v>12111</v>
      </c>
      <c r="I445" s="47">
        <v>2019</v>
      </c>
      <c r="J445" s="46"/>
      <c r="K445" s="48"/>
    </row>
    <row r="446" spans="1:11" ht="28.5" x14ac:dyDescent="0.2">
      <c r="A446" s="46" t="s">
        <v>204</v>
      </c>
      <c r="B446" s="46" t="s">
        <v>95</v>
      </c>
      <c r="C446" s="46" t="s">
        <v>40</v>
      </c>
      <c r="D446" s="46" t="s">
        <v>487</v>
      </c>
      <c r="E446" s="52" t="s">
        <v>43</v>
      </c>
      <c r="F446" s="46" t="s">
        <v>219</v>
      </c>
      <c r="G446" s="46" t="s">
        <v>489</v>
      </c>
      <c r="H446" s="66">
        <v>15565</v>
      </c>
      <c r="I446" s="47">
        <v>2019</v>
      </c>
      <c r="J446" s="46" t="s">
        <v>241</v>
      </c>
      <c r="K446" s="48"/>
    </row>
    <row r="447" spans="1:11" ht="28.5" x14ac:dyDescent="0.2">
      <c r="A447" s="46" t="s">
        <v>204</v>
      </c>
      <c r="B447" s="46" t="s">
        <v>95</v>
      </c>
      <c r="C447" s="46" t="s">
        <v>40</v>
      </c>
      <c r="D447" s="46" t="s">
        <v>515</v>
      </c>
      <c r="E447" s="52" t="s">
        <v>43</v>
      </c>
      <c r="F447" s="53" t="s">
        <v>240</v>
      </c>
      <c r="G447" s="46" t="s">
        <v>516</v>
      </c>
      <c r="H447" s="66">
        <v>15569</v>
      </c>
      <c r="I447" s="47">
        <v>2019</v>
      </c>
      <c r="J447" s="46"/>
      <c r="K447" s="48"/>
    </row>
    <row r="448" spans="1:11" ht="28.5" x14ac:dyDescent="0.2">
      <c r="A448" s="46" t="s">
        <v>204</v>
      </c>
      <c r="B448" s="46" t="s">
        <v>95</v>
      </c>
      <c r="C448" s="46" t="s">
        <v>40</v>
      </c>
      <c r="D448" s="46" t="s">
        <v>490</v>
      </c>
      <c r="E448" s="52" t="s">
        <v>43</v>
      </c>
      <c r="F448" s="46" t="s">
        <v>219</v>
      </c>
      <c r="G448" s="46" t="s">
        <v>493</v>
      </c>
      <c r="H448" s="66">
        <v>1962</v>
      </c>
      <c r="I448" s="47">
        <v>2020</v>
      </c>
      <c r="J448" s="46" t="s">
        <v>241</v>
      </c>
      <c r="K448" s="48"/>
    </row>
    <row r="449" spans="1:11" ht="28.5" x14ac:dyDescent="0.2">
      <c r="A449" s="46" t="s">
        <v>204</v>
      </c>
      <c r="B449" s="46" t="s">
        <v>95</v>
      </c>
      <c r="C449" s="46" t="s">
        <v>40</v>
      </c>
      <c r="D449" s="46" t="s">
        <v>511</v>
      </c>
      <c r="E449" s="52" t="s">
        <v>43</v>
      </c>
      <c r="F449" s="53" t="s">
        <v>240</v>
      </c>
      <c r="G449" s="46" t="s">
        <v>498</v>
      </c>
      <c r="H449" s="66">
        <v>3632</v>
      </c>
      <c r="I449" s="47">
        <v>2020</v>
      </c>
      <c r="J449" s="46"/>
      <c r="K449" s="48"/>
    </row>
    <row r="450" spans="1:11" ht="28.5" x14ac:dyDescent="0.2">
      <c r="A450" s="46" t="s">
        <v>204</v>
      </c>
      <c r="B450" s="46" t="s">
        <v>95</v>
      </c>
      <c r="C450" s="46" t="s">
        <v>40</v>
      </c>
      <c r="D450" s="46" t="s">
        <v>491</v>
      </c>
      <c r="E450" s="52" t="s">
        <v>43</v>
      </c>
      <c r="F450" s="46" t="s">
        <v>219</v>
      </c>
      <c r="G450" s="46" t="s">
        <v>494</v>
      </c>
      <c r="H450" s="66">
        <v>3629</v>
      </c>
      <c r="I450" s="47">
        <v>2020</v>
      </c>
      <c r="J450" s="46" t="s">
        <v>241</v>
      </c>
      <c r="K450" s="48"/>
    </row>
    <row r="451" spans="1:11" ht="28.5" x14ac:dyDescent="0.2">
      <c r="A451" s="46" t="s">
        <v>204</v>
      </c>
      <c r="B451" s="46" t="s">
        <v>95</v>
      </c>
      <c r="C451" s="46" t="s">
        <v>40</v>
      </c>
      <c r="D451" s="46" t="s">
        <v>510</v>
      </c>
      <c r="E451" s="52" t="s">
        <v>43</v>
      </c>
      <c r="F451" s="53" t="s">
        <v>240</v>
      </c>
      <c r="G451" s="46" t="s">
        <v>503</v>
      </c>
      <c r="H451" s="66">
        <v>4957</v>
      </c>
      <c r="I451" s="47">
        <v>2020</v>
      </c>
      <c r="J451" s="46"/>
      <c r="K451" s="48"/>
    </row>
    <row r="452" spans="1:11" ht="28.5" x14ac:dyDescent="0.2">
      <c r="A452" s="46" t="s">
        <v>204</v>
      </c>
      <c r="B452" s="46" t="s">
        <v>95</v>
      </c>
      <c r="C452" s="46" t="s">
        <v>40</v>
      </c>
      <c r="D452" s="46" t="s">
        <v>492</v>
      </c>
      <c r="E452" s="52" t="s">
        <v>43</v>
      </c>
      <c r="F452" s="46" t="s">
        <v>219</v>
      </c>
      <c r="G452" s="46" t="s">
        <v>495</v>
      </c>
      <c r="H452" s="66">
        <v>6301</v>
      </c>
      <c r="I452" s="47">
        <v>2020</v>
      </c>
      <c r="J452" s="46" t="s">
        <v>241</v>
      </c>
      <c r="K452" s="48"/>
    </row>
    <row r="453" spans="1:11" ht="28.5" x14ac:dyDescent="0.2">
      <c r="A453" s="46" t="s">
        <v>204</v>
      </c>
      <c r="B453" s="46" t="s">
        <v>95</v>
      </c>
      <c r="C453" s="46" t="s">
        <v>40</v>
      </c>
      <c r="D453" s="46" t="s">
        <v>509</v>
      </c>
      <c r="E453" s="52" t="s">
        <v>43</v>
      </c>
      <c r="F453" s="53" t="s">
        <v>240</v>
      </c>
      <c r="G453" s="46" t="s">
        <v>517</v>
      </c>
      <c r="H453" s="66">
        <v>5469</v>
      </c>
      <c r="I453" s="47">
        <v>2020</v>
      </c>
      <c r="J453" s="46"/>
      <c r="K453" s="48"/>
    </row>
    <row r="454" spans="1:11" ht="28.5" x14ac:dyDescent="0.2">
      <c r="A454" s="46" t="s">
        <v>204</v>
      </c>
      <c r="B454" s="46" t="s">
        <v>95</v>
      </c>
      <c r="C454" s="46" t="s">
        <v>40</v>
      </c>
      <c r="D454" s="46" t="s">
        <v>295</v>
      </c>
      <c r="E454" s="52" t="s">
        <v>43</v>
      </c>
      <c r="F454" s="46" t="s">
        <v>219</v>
      </c>
      <c r="G454" s="46" t="s">
        <v>296</v>
      </c>
      <c r="H454" s="66">
        <v>3489</v>
      </c>
      <c r="I454" s="47">
        <v>2020</v>
      </c>
      <c r="J454" s="46" t="s">
        <v>241</v>
      </c>
      <c r="K454" s="48"/>
    </row>
    <row r="455" spans="1:11" x14ac:dyDescent="0.2">
      <c r="A455" s="46" t="s">
        <v>204</v>
      </c>
      <c r="B455" s="46" t="s">
        <v>94</v>
      </c>
      <c r="C455" s="46" t="s">
        <v>42</v>
      </c>
      <c r="D455" s="46" t="s">
        <v>452</v>
      </c>
      <c r="E455" s="52" t="s">
        <v>43</v>
      </c>
      <c r="F455" s="46" t="s">
        <v>219</v>
      </c>
      <c r="G455" s="46" t="s">
        <v>453</v>
      </c>
      <c r="H455" s="66">
        <v>2630</v>
      </c>
      <c r="I455" s="47">
        <v>2020</v>
      </c>
      <c r="J455" s="46"/>
      <c r="K455" s="48"/>
    </row>
    <row r="456" spans="1:11" ht="28.5" x14ac:dyDescent="0.2">
      <c r="A456" s="46" t="s">
        <v>204</v>
      </c>
      <c r="B456" s="46" t="s">
        <v>94</v>
      </c>
      <c r="C456" s="46" t="s">
        <v>42</v>
      </c>
      <c r="D456" s="46" t="s">
        <v>451</v>
      </c>
      <c r="E456" s="52" t="s">
        <v>43</v>
      </c>
      <c r="F456" s="46" t="s">
        <v>219</v>
      </c>
      <c r="G456" s="46" t="s">
        <v>394</v>
      </c>
      <c r="H456" s="66">
        <v>3454</v>
      </c>
      <c r="I456" s="47">
        <v>2021</v>
      </c>
      <c r="J456" s="46"/>
      <c r="K456" s="48"/>
    </row>
    <row r="457" spans="1:11" ht="28.5" x14ac:dyDescent="0.2">
      <c r="A457" s="48" t="s">
        <v>204</v>
      </c>
      <c r="B457" s="48" t="s">
        <v>95</v>
      </c>
      <c r="C457" s="48" t="s">
        <v>31</v>
      </c>
      <c r="D457" s="46" t="s">
        <v>1174</v>
      </c>
      <c r="E457" s="80" t="s">
        <v>43</v>
      </c>
      <c r="F457" s="53" t="s">
        <v>219</v>
      </c>
      <c r="G457" s="46" t="s">
        <v>1182</v>
      </c>
      <c r="H457" s="67">
        <v>59397</v>
      </c>
      <c r="I457" s="49">
        <v>2021</v>
      </c>
      <c r="K457" s="81"/>
    </row>
    <row r="458" spans="1:11" ht="28.5" x14ac:dyDescent="0.2">
      <c r="A458" s="48" t="s">
        <v>204</v>
      </c>
      <c r="B458" s="48" t="s">
        <v>95</v>
      </c>
      <c r="C458" s="48" t="s">
        <v>31</v>
      </c>
      <c r="D458" s="46" t="s">
        <v>1183</v>
      </c>
      <c r="E458" s="80" t="s">
        <v>43</v>
      </c>
      <c r="F458" s="53" t="s">
        <v>219</v>
      </c>
      <c r="G458" s="46" t="s">
        <v>1184</v>
      </c>
      <c r="H458" s="67">
        <v>61066</v>
      </c>
      <c r="I458" s="49">
        <v>2022</v>
      </c>
      <c r="K458" s="81"/>
    </row>
    <row r="459" spans="1:11" ht="28.5" x14ac:dyDescent="0.2">
      <c r="A459" s="46" t="s">
        <v>204</v>
      </c>
      <c r="B459" s="46" t="s">
        <v>94</v>
      </c>
      <c r="C459" s="46" t="s">
        <v>29</v>
      </c>
      <c r="D459" s="46" t="s">
        <v>1486</v>
      </c>
      <c r="E459" s="52" t="s">
        <v>43</v>
      </c>
      <c r="F459" s="46" t="s">
        <v>141</v>
      </c>
      <c r="G459" s="46" t="s">
        <v>169</v>
      </c>
      <c r="H459" s="66">
        <v>74407</v>
      </c>
      <c r="I459" s="47">
        <v>2014</v>
      </c>
      <c r="J459" s="86" t="s">
        <v>1484</v>
      </c>
      <c r="K459" s="48"/>
    </row>
    <row r="460" spans="1:11" ht="28.5" x14ac:dyDescent="0.2">
      <c r="A460" s="46" t="s">
        <v>204</v>
      </c>
      <c r="B460" s="46" t="s">
        <v>94</v>
      </c>
      <c r="C460" s="46" t="s">
        <v>29</v>
      </c>
      <c r="D460" s="46" t="s">
        <v>1487</v>
      </c>
      <c r="E460" s="52" t="s">
        <v>43</v>
      </c>
      <c r="F460" s="46" t="s">
        <v>141</v>
      </c>
      <c r="G460" s="46" t="s">
        <v>170</v>
      </c>
      <c r="H460" s="66">
        <v>25447</v>
      </c>
      <c r="I460" s="47">
        <v>2015</v>
      </c>
      <c r="J460" s="86" t="s">
        <v>1484</v>
      </c>
      <c r="K460" s="48"/>
    </row>
    <row r="461" spans="1:11" ht="28.5" x14ac:dyDescent="0.2">
      <c r="A461" s="46" t="s">
        <v>204</v>
      </c>
      <c r="B461" s="46" t="s">
        <v>94</v>
      </c>
      <c r="C461" s="46" t="s">
        <v>29</v>
      </c>
      <c r="D461" s="46" t="s">
        <v>1488</v>
      </c>
      <c r="E461" s="52" t="s">
        <v>43</v>
      </c>
      <c r="F461" s="46" t="s">
        <v>141</v>
      </c>
      <c r="G461" s="46" t="s">
        <v>170</v>
      </c>
      <c r="H461" s="66">
        <v>48480</v>
      </c>
      <c r="I461" s="47">
        <v>2016</v>
      </c>
      <c r="J461" s="86" t="s">
        <v>1484</v>
      </c>
      <c r="K461" s="48"/>
    </row>
    <row r="462" spans="1:11" ht="28.5" x14ac:dyDescent="0.2">
      <c r="A462" s="46" t="s">
        <v>204</v>
      </c>
      <c r="B462" s="46" t="s">
        <v>94</v>
      </c>
      <c r="C462" s="46" t="s">
        <v>29</v>
      </c>
      <c r="D462" s="46" t="s">
        <v>1489</v>
      </c>
      <c r="E462" s="52" t="s">
        <v>43</v>
      </c>
      <c r="F462" s="46" t="s">
        <v>141</v>
      </c>
      <c r="G462" s="46" t="s">
        <v>171</v>
      </c>
      <c r="H462" s="66">
        <v>46240</v>
      </c>
      <c r="I462" s="47">
        <v>2017</v>
      </c>
      <c r="J462" s="86" t="s">
        <v>1484</v>
      </c>
      <c r="K462" s="48"/>
    </row>
    <row r="463" spans="1:11" ht="28.5" x14ac:dyDescent="0.2">
      <c r="A463" s="46" t="s">
        <v>204</v>
      </c>
      <c r="B463" s="46" t="s">
        <v>94</v>
      </c>
      <c r="C463" s="46" t="s">
        <v>29</v>
      </c>
      <c r="D463" s="46" t="s">
        <v>1490</v>
      </c>
      <c r="E463" s="52" t="s">
        <v>43</v>
      </c>
      <c r="F463" s="46" t="s">
        <v>141</v>
      </c>
      <c r="G463" s="46" t="s">
        <v>171</v>
      </c>
      <c r="H463" s="66">
        <v>7452</v>
      </c>
      <c r="I463" s="47">
        <v>2018</v>
      </c>
      <c r="J463" s="86" t="s">
        <v>1484</v>
      </c>
      <c r="K463" s="48"/>
    </row>
    <row r="464" spans="1:11" ht="28.5" x14ac:dyDescent="0.2">
      <c r="A464" s="48" t="s">
        <v>204</v>
      </c>
      <c r="B464" s="48" t="s">
        <v>95</v>
      </c>
      <c r="C464" s="48" t="s">
        <v>40</v>
      </c>
      <c r="D464" s="46" t="s">
        <v>361</v>
      </c>
      <c r="E464" s="53" t="s">
        <v>43</v>
      </c>
      <c r="F464" s="48" t="s">
        <v>240</v>
      </c>
      <c r="G464" s="46" t="s">
        <v>360</v>
      </c>
      <c r="H464" s="67">
        <v>3316</v>
      </c>
      <c r="I464" s="49">
        <v>2020</v>
      </c>
      <c r="K464" s="67"/>
    </row>
    <row r="465" spans="1:11" x14ac:dyDescent="0.2">
      <c r="A465" s="48" t="s">
        <v>204</v>
      </c>
      <c r="B465" s="48" t="s">
        <v>94</v>
      </c>
      <c r="C465" s="48" t="s">
        <v>36</v>
      </c>
      <c r="D465" s="46" t="s">
        <v>1224</v>
      </c>
      <c r="E465" s="80" t="s">
        <v>115</v>
      </c>
      <c r="F465" s="53" t="s">
        <v>141</v>
      </c>
      <c r="G465" s="46" t="s">
        <v>1223</v>
      </c>
      <c r="H465" s="67">
        <v>5206</v>
      </c>
      <c r="I465" s="49">
        <v>2020</v>
      </c>
      <c r="K465" s="81"/>
    </row>
    <row r="466" spans="1:11" x14ac:dyDescent="0.2">
      <c r="A466" s="48" t="s">
        <v>204</v>
      </c>
      <c r="B466" s="48" t="s">
        <v>94</v>
      </c>
      <c r="C466" s="48" t="s">
        <v>36</v>
      </c>
      <c r="D466" s="46" t="s">
        <v>1225</v>
      </c>
      <c r="E466" s="80" t="s">
        <v>115</v>
      </c>
      <c r="F466" s="53" t="s">
        <v>141</v>
      </c>
      <c r="G466" s="46" t="s">
        <v>1226</v>
      </c>
      <c r="H466" s="67">
        <v>5172</v>
      </c>
      <c r="I466" s="49">
        <v>2020</v>
      </c>
      <c r="K466" s="81"/>
    </row>
    <row r="467" spans="1:11" x14ac:dyDescent="0.2">
      <c r="A467" s="48" t="s">
        <v>204</v>
      </c>
      <c r="B467" s="48" t="s">
        <v>94</v>
      </c>
      <c r="C467" s="48" t="s">
        <v>36</v>
      </c>
      <c r="D467" s="46" t="s">
        <v>1227</v>
      </c>
      <c r="E467" s="80" t="s">
        <v>115</v>
      </c>
      <c r="F467" s="53" t="s">
        <v>141</v>
      </c>
      <c r="G467" s="46" t="s">
        <v>1228</v>
      </c>
      <c r="H467" s="67">
        <v>5284</v>
      </c>
      <c r="I467" s="49">
        <v>2020</v>
      </c>
      <c r="K467" s="81"/>
    </row>
    <row r="468" spans="1:11" x14ac:dyDescent="0.2">
      <c r="A468" s="48" t="s">
        <v>204</v>
      </c>
      <c r="B468" s="48" t="s">
        <v>94</v>
      </c>
      <c r="C468" s="48" t="s">
        <v>36</v>
      </c>
      <c r="D468" s="46" t="s">
        <v>1229</v>
      </c>
      <c r="E468" s="80" t="s">
        <v>115</v>
      </c>
      <c r="F468" s="53" t="s">
        <v>141</v>
      </c>
      <c r="G468" s="46" t="s">
        <v>1230</v>
      </c>
      <c r="H468" s="67">
        <v>5464</v>
      </c>
      <c r="I468" s="49">
        <v>2019</v>
      </c>
      <c r="K468" s="81"/>
    </row>
    <row r="469" spans="1:11" x14ac:dyDescent="0.2">
      <c r="A469" s="48" t="s">
        <v>204</v>
      </c>
      <c r="B469" s="48" t="s">
        <v>94</v>
      </c>
      <c r="C469" s="48" t="s">
        <v>36</v>
      </c>
      <c r="D469" s="46" t="s">
        <v>1231</v>
      </c>
      <c r="E469" s="80" t="s">
        <v>115</v>
      </c>
      <c r="F469" s="53" t="s">
        <v>141</v>
      </c>
      <c r="G469" s="46" t="s">
        <v>1232</v>
      </c>
      <c r="H469" s="67">
        <v>3231</v>
      </c>
      <c r="I469" s="49">
        <v>2015</v>
      </c>
      <c r="K469" s="81"/>
    </row>
    <row r="470" spans="1:11" x14ac:dyDescent="0.2">
      <c r="A470" s="48" t="s">
        <v>204</v>
      </c>
      <c r="B470" s="48" t="s">
        <v>94</v>
      </c>
      <c r="C470" s="48" t="s">
        <v>36</v>
      </c>
      <c r="D470" s="46" t="s">
        <v>1233</v>
      </c>
      <c r="E470" s="80" t="s">
        <v>115</v>
      </c>
      <c r="F470" s="53" t="s">
        <v>141</v>
      </c>
      <c r="G470" s="46" t="s">
        <v>1234</v>
      </c>
      <c r="H470" s="67">
        <v>4004</v>
      </c>
      <c r="I470" s="49">
        <v>2017</v>
      </c>
      <c r="K470" s="81"/>
    </row>
    <row r="471" spans="1:11" x14ac:dyDescent="0.2">
      <c r="A471" s="48" t="s">
        <v>204</v>
      </c>
      <c r="B471" s="48" t="s">
        <v>94</v>
      </c>
      <c r="C471" s="48" t="s">
        <v>36</v>
      </c>
      <c r="D471" s="46" t="s">
        <v>1235</v>
      </c>
      <c r="E471" s="80" t="s">
        <v>115</v>
      </c>
      <c r="F471" s="53" t="s">
        <v>141</v>
      </c>
      <c r="G471" s="46" t="s">
        <v>1236</v>
      </c>
      <c r="H471" s="67">
        <v>4487</v>
      </c>
      <c r="I471" s="49">
        <v>2020</v>
      </c>
      <c r="K471" s="81"/>
    </row>
    <row r="472" spans="1:11" x14ac:dyDescent="0.2">
      <c r="A472" s="48" t="s">
        <v>204</v>
      </c>
      <c r="B472" s="48" t="s">
        <v>94</v>
      </c>
      <c r="C472" s="48" t="s">
        <v>36</v>
      </c>
      <c r="D472" s="46" t="s">
        <v>1237</v>
      </c>
      <c r="E472" s="80" t="s">
        <v>115</v>
      </c>
      <c r="F472" s="53" t="s">
        <v>141</v>
      </c>
      <c r="G472" s="46" t="s">
        <v>1238</v>
      </c>
      <c r="H472" s="67">
        <v>4399</v>
      </c>
      <c r="I472" s="49">
        <v>2019</v>
      </c>
      <c r="K472" s="81"/>
    </row>
    <row r="473" spans="1:11" x14ac:dyDescent="0.2">
      <c r="A473" s="48" t="s">
        <v>204</v>
      </c>
      <c r="B473" s="48" t="s">
        <v>94</v>
      </c>
      <c r="C473" s="48" t="s">
        <v>36</v>
      </c>
      <c r="D473" s="46" t="s">
        <v>1239</v>
      </c>
      <c r="E473" s="80" t="s">
        <v>115</v>
      </c>
      <c r="F473" s="53" t="s">
        <v>141</v>
      </c>
      <c r="G473" s="46" t="s">
        <v>1240</v>
      </c>
      <c r="H473" s="67">
        <v>4006</v>
      </c>
      <c r="I473" s="49">
        <v>2018</v>
      </c>
      <c r="K473" s="81"/>
    </row>
    <row r="474" spans="1:11" x14ac:dyDescent="0.2">
      <c r="A474" s="48" t="s">
        <v>204</v>
      </c>
      <c r="B474" s="48" t="s">
        <v>94</v>
      </c>
      <c r="C474" s="48" t="s">
        <v>36</v>
      </c>
      <c r="D474" s="46" t="s">
        <v>1241</v>
      </c>
      <c r="E474" s="80" t="s">
        <v>115</v>
      </c>
      <c r="F474" s="53" t="s">
        <v>141</v>
      </c>
      <c r="G474" s="46" t="s">
        <v>1242</v>
      </c>
      <c r="H474" s="67">
        <v>3204</v>
      </c>
      <c r="I474" s="49">
        <v>2015</v>
      </c>
      <c r="K474" s="81"/>
    </row>
    <row r="475" spans="1:11" x14ac:dyDescent="0.2">
      <c r="A475" s="48" t="s">
        <v>204</v>
      </c>
      <c r="B475" s="48" t="s">
        <v>94</v>
      </c>
      <c r="C475" s="48" t="s">
        <v>36</v>
      </c>
      <c r="D475" s="46" t="s">
        <v>1243</v>
      </c>
      <c r="E475" s="80" t="s">
        <v>115</v>
      </c>
      <c r="F475" s="53" t="s">
        <v>141</v>
      </c>
      <c r="G475" s="46" t="s">
        <v>1244</v>
      </c>
      <c r="H475" s="67">
        <v>2685</v>
      </c>
      <c r="I475" s="49">
        <v>2015</v>
      </c>
      <c r="K475" s="81"/>
    </row>
    <row r="476" spans="1:11" x14ac:dyDescent="0.2">
      <c r="A476" s="48" t="s">
        <v>204</v>
      </c>
      <c r="B476" s="48" t="s">
        <v>94</v>
      </c>
      <c r="C476" s="48" t="s">
        <v>36</v>
      </c>
      <c r="D476" s="46" t="s">
        <v>1245</v>
      </c>
      <c r="E476" s="80" t="s">
        <v>115</v>
      </c>
      <c r="F476" s="53" t="s">
        <v>141</v>
      </c>
      <c r="G476" s="46" t="s">
        <v>1246</v>
      </c>
      <c r="H476" s="67">
        <v>5170</v>
      </c>
      <c r="I476" s="49">
        <v>2018</v>
      </c>
      <c r="K476" s="81"/>
    </row>
    <row r="477" spans="1:11" x14ac:dyDescent="0.2">
      <c r="A477" s="48" t="s">
        <v>204</v>
      </c>
      <c r="B477" s="48" t="s">
        <v>94</v>
      </c>
      <c r="C477" s="48" t="s">
        <v>39</v>
      </c>
      <c r="D477" s="50" t="s">
        <v>1247</v>
      </c>
      <c r="E477" s="53" t="s">
        <v>43</v>
      </c>
      <c r="F477" s="48" t="s">
        <v>141</v>
      </c>
      <c r="G477" s="46" t="s">
        <v>1248</v>
      </c>
      <c r="H477" s="81">
        <v>31437</v>
      </c>
      <c r="I477" s="49">
        <v>2021</v>
      </c>
      <c r="K477" s="81"/>
    </row>
    <row r="478" spans="1:11" x14ac:dyDescent="0.2">
      <c r="A478" s="48" t="s">
        <v>204</v>
      </c>
      <c r="B478" s="48" t="s">
        <v>94</v>
      </c>
      <c r="C478" s="48" t="s">
        <v>39</v>
      </c>
      <c r="D478" s="50" t="s">
        <v>1250</v>
      </c>
      <c r="E478" s="53" t="s">
        <v>43</v>
      </c>
      <c r="F478" s="48" t="s">
        <v>141</v>
      </c>
      <c r="G478" s="46" t="s">
        <v>1249</v>
      </c>
      <c r="H478" s="81">
        <v>10231</v>
      </c>
      <c r="I478" s="49">
        <v>2021</v>
      </c>
      <c r="K478" s="81"/>
    </row>
    <row r="479" spans="1:11" x14ac:dyDescent="0.2">
      <c r="A479" s="48" t="s">
        <v>204</v>
      </c>
      <c r="B479" s="48" t="s">
        <v>94</v>
      </c>
      <c r="C479" s="48" t="s">
        <v>39</v>
      </c>
      <c r="D479" s="50" t="s">
        <v>1252</v>
      </c>
      <c r="E479" s="53" t="s">
        <v>43</v>
      </c>
      <c r="F479" s="48" t="s">
        <v>141</v>
      </c>
      <c r="G479" s="46" t="s">
        <v>1251</v>
      </c>
      <c r="H479" s="67">
        <v>20044</v>
      </c>
      <c r="I479" s="49">
        <v>2022</v>
      </c>
      <c r="K479" s="81"/>
    </row>
    <row r="480" spans="1:11" x14ac:dyDescent="0.2">
      <c r="A480" s="48" t="s">
        <v>204</v>
      </c>
      <c r="B480" s="48" t="s">
        <v>94</v>
      </c>
      <c r="C480" s="48" t="s">
        <v>39</v>
      </c>
      <c r="D480" s="50" t="s">
        <v>1261</v>
      </c>
      <c r="E480" s="53" t="s">
        <v>43</v>
      </c>
      <c r="F480" s="48" t="s">
        <v>141</v>
      </c>
      <c r="G480" s="46" t="s">
        <v>1253</v>
      </c>
      <c r="H480" s="67">
        <v>14580</v>
      </c>
      <c r="I480" s="49">
        <v>2021</v>
      </c>
      <c r="K480" s="81"/>
    </row>
    <row r="481" spans="1:11" x14ac:dyDescent="0.2">
      <c r="A481" s="48" t="s">
        <v>204</v>
      </c>
      <c r="B481" s="48" t="s">
        <v>94</v>
      </c>
      <c r="C481" s="48" t="s">
        <v>39</v>
      </c>
      <c r="D481" s="50" t="s">
        <v>1262</v>
      </c>
      <c r="E481" s="53" t="s">
        <v>43</v>
      </c>
      <c r="F481" s="48" t="s">
        <v>141</v>
      </c>
      <c r="G481" s="46" t="s">
        <v>1254</v>
      </c>
      <c r="H481" s="67">
        <v>15082</v>
      </c>
      <c r="I481" s="49">
        <v>2022</v>
      </c>
      <c r="K481" s="81"/>
    </row>
    <row r="482" spans="1:11" x14ac:dyDescent="0.2">
      <c r="A482" s="48" t="s">
        <v>204</v>
      </c>
      <c r="B482" s="48" t="s">
        <v>94</v>
      </c>
      <c r="C482" s="48" t="s">
        <v>39</v>
      </c>
      <c r="D482" s="50" t="s">
        <v>1263</v>
      </c>
      <c r="E482" s="53" t="s">
        <v>43</v>
      </c>
      <c r="F482" s="48" t="s">
        <v>141</v>
      </c>
      <c r="G482" s="46" t="s">
        <v>1255</v>
      </c>
      <c r="H482" s="67">
        <v>14217</v>
      </c>
      <c r="I482" s="49">
        <v>2021</v>
      </c>
      <c r="K482" s="81"/>
    </row>
    <row r="483" spans="1:11" ht="28.5" x14ac:dyDescent="0.2">
      <c r="A483" s="48" t="s">
        <v>204</v>
      </c>
      <c r="B483" s="48" t="s">
        <v>94</v>
      </c>
      <c r="C483" s="48" t="s">
        <v>39</v>
      </c>
      <c r="D483" s="50" t="s">
        <v>1264</v>
      </c>
      <c r="E483" s="53" t="s">
        <v>43</v>
      </c>
      <c r="F483" s="48" t="s">
        <v>141</v>
      </c>
      <c r="G483" s="46" t="s">
        <v>1256</v>
      </c>
      <c r="H483" s="67">
        <v>14995</v>
      </c>
      <c r="I483" s="49">
        <v>2021</v>
      </c>
      <c r="K483" s="81"/>
    </row>
    <row r="484" spans="1:11" x14ac:dyDescent="0.2">
      <c r="A484" s="48" t="s">
        <v>204</v>
      </c>
      <c r="B484" s="48" t="s">
        <v>94</v>
      </c>
      <c r="C484" s="48" t="s">
        <v>29</v>
      </c>
      <c r="D484" s="46" t="s">
        <v>1275</v>
      </c>
      <c r="E484" s="80" t="s">
        <v>43</v>
      </c>
      <c r="F484" s="53" t="s">
        <v>141</v>
      </c>
      <c r="G484" s="46" t="s">
        <v>1276</v>
      </c>
      <c r="H484" s="67">
        <v>43319</v>
      </c>
      <c r="I484" s="49">
        <v>2022</v>
      </c>
      <c r="K484" s="81"/>
    </row>
    <row r="485" spans="1:11" ht="28.5" x14ac:dyDescent="0.2">
      <c r="A485" s="48" t="s">
        <v>204</v>
      </c>
      <c r="B485" s="48" t="s">
        <v>94</v>
      </c>
      <c r="C485" s="48" t="s">
        <v>29</v>
      </c>
      <c r="D485" s="46" t="s">
        <v>1277</v>
      </c>
      <c r="E485" s="80" t="s">
        <v>43</v>
      </c>
      <c r="F485" s="53" t="s">
        <v>141</v>
      </c>
      <c r="G485" s="46" t="s">
        <v>1278</v>
      </c>
      <c r="H485" s="67">
        <v>28244</v>
      </c>
      <c r="I485" s="49">
        <v>2021</v>
      </c>
      <c r="K485" s="81"/>
    </row>
    <row r="486" spans="1:11" ht="28.5" x14ac:dyDescent="0.2">
      <c r="A486" s="48" t="s">
        <v>204</v>
      </c>
      <c r="B486" s="48" t="s">
        <v>94</v>
      </c>
      <c r="C486" s="48" t="s">
        <v>29</v>
      </c>
      <c r="D486" s="46" t="s">
        <v>1279</v>
      </c>
      <c r="E486" s="80" t="s">
        <v>43</v>
      </c>
      <c r="F486" s="53" t="s">
        <v>141</v>
      </c>
      <c r="G486" s="46" t="s">
        <v>1280</v>
      </c>
      <c r="H486" s="67">
        <v>20890</v>
      </c>
      <c r="I486" s="49">
        <v>2021</v>
      </c>
      <c r="K486" s="81"/>
    </row>
    <row r="487" spans="1:11" x14ac:dyDescent="0.2">
      <c r="A487" s="48" t="s">
        <v>204</v>
      </c>
      <c r="B487" s="48" t="s">
        <v>94</v>
      </c>
      <c r="C487" s="48" t="s">
        <v>29</v>
      </c>
      <c r="D487" s="46" t="s">
        <v>1282</v>
      </c>
      <c r="E487" s="80" t="s">
        <v>43</v>
      </c>
      <c r="F487" s="53" t="s">
        <v>141</v>
      </c>
      <c r="G487" s="46" t="s">
        <v>1281</v>
      </c>
      <c r="H487" s="67">
        <v>15383</v>
      </c>
      <c r="I487" s="49">
        <v>2021</v>
      </c>
      <c r="K487" s="81"/>
    </row>
    <row r="488" spans="1:11" ht="28.5" x14ac:dyDescent="0.2">
      <c r="A488" s="48" t="s">
        <v>204</v>
      </c>
      <c r="B488" s="48" t="s">
        <v>94</v>
      </c>
      <c r="C488" s="48" t="s">
        <v>29</v>
      </c>
      <c r="D488" s="46" t="s">
        <v>1283</v>
      </c>
      <c r="E488" s="80" t="s">
        <v>43</v>
      </c>
      <c r="F488" s="53" t="s">
        <v>141</v>
      </c>
      <c r="G488" s="46" t="s">
        <v>1284</v>
      </c>
      <c r="H488" s="67">
        <v>13960</v>
      </c>
      <c r="I488" s="49">
        <v>2021</v>
      </c>
      <c r="K488" s="81"/>
    </row>
    <row r="489" spans="1:11" x14ac:dyDescent="0.2">
      <c r="A489" s="48" t="s">
        <v>204</v>
      </c>
      <c r="B489" s="48" t="s">
        <v>94</v>
      </c>
      <c r="C489" s="48" t="s">
        <v>29</v>
      </c>
      <c r="D489" s="46" t="s">
        <v>1285</v>
      </c>
      <c r="E489" s="80" t="s">
        <v>43</v>
      </c>
      <c r="F489" s="53" t="s">
        <v>141</v>
      </c>
      <c r="G489" s="46" t="s">
        <v>1286</v>
      </c>
      <c r="H489" s="67">
        <v>12750</v>
      </c>
      <c r="I489" s="49">
        <v>2021</v>
      </c>
      <c r="K489" s="81"/>
    </row>
    <row r="490" spans="1:11" ht="28.5" x14ac:dyDescent="0.2">
      <c r="A490" s="48" t="s">
        <v>204</v>
      </c>
      <c r="B490" s="48" t="s">
        <v>94</v>
      </c>
      <c r="C490" s="48" t="s">
        <v>29</v>
      </c>
      <c r="D490" s="46" t="s">
        <v>1287</v>
      </c>
      <c r="E490" s="80" t="s">
        <v>43</v>
      </c>
      <c r="F490" s="53" t="s">
        <v>141</v>
      </c>
      <c r="G490" s="46" t="s">
        <v>1288</v>
      </c>
      <c r="H490" s="67">
        <v>147613</v>
      </c>
      <c r="I490" s="49">
        <v>2020</v>
      </c>
      <c r="K490" s="81"/>
    </row>
    <row r="491" spans="1:11" ht="28.5" x14ac:dyDescent="0.2">
      <c r="A491" s="48" t="s">
        <v>204</v>
      </c>
      <c r="B491" s="48" t="s">
        <v>95</v>
      </c>
      <c r="C491" s="48" t="s">
        <v>38</v>
      </c>
      <c r="D491" s="48" t="s">
        <v>589</v>
      </c>
      <c r="E491" s="53" t="s">
        <v>43</v>
      </c>
      <c r="F491" s="48" t="s">
        <v>240</v>
      </c>
      <c r="G491" s="46" t="s">
        <v>588</v>
      </c>
      <c r="H491" s="67">
        <v>5187</v>
      </c>
      <c r="I491" s="49">
        <v>2020</v>
      </c>
      <c r="K491" s="48"/>
    </row>
    <row r="492" spans="1:11" ht="28.5" x14ac:dyDescent="0.2">
      <c r="A492" s="48" t="s">
        <v>204</v>
      </c>
      <c r="B492" s="48" t="s">
        <v>94</v>
      </c>
      <c r="C492" s="48" t="s">
        <v>91</v>
      </c>
      <c r="D492" s="46" t="s">
        <v>1307</v>
      </c>
      <c r="E492" s="80" t="s">
        <v>43</v>
      </c>
      <c r="F492" s="53" t="s">
        <v>141</v>
      </c>
      <c r="G492" s="46" t="s">
        <v>1306</v>
      </c>
      <c r="H492" s="67">
        <v>6160</v>
      </c>
      <c r="I492" s="49">
        <v>2022</v>
      </c>
      <c r="K492" s="81"/>
    </row>
    <row r="493" spans="1:11" ht="28.5" x14ac:dyDescent="0.2">
      <c r="A493" s="48" t="s">
        <v>204</v>
      </c>
      <c r="B493" s="48" t="s">
        <v>94</v>
      </c>
      <c r="C493" s="48" t="s">
        <v>91</v>
      </c>
      <c r="D493" s="46" t="s">
        <v>1308</v>
      </c>
      <c r="E493" s="80" t="s">
        <v>43</v>
      </c>
      <c r="F493" s="53" t="s">
        <v>141</v>
      </c>
      <c r="G493" s="46" t="s">
        <v>1309</v>
      </c>
      <c r="H493" s="67">
        <v>3727</v>
      </c>
      <c r="I493" s="49">
        <v>2022</v>
      </c>
      <c r="K493" s="81"/>
    </row>
    <row r="494" spans="1:11" ht="42.75" x14ac:dyDescent="0.2">
      <c r="A494" s="48" t="s">
        <v>204</v>
      </c>
      <c r="B494" s="48" t="s">
        <v>94</v>
      </c>
      <c r="C494" s="48" t="s">
        <v>91</v>
      </c>
      <c r="D494" s="46" t="s">
        <v>1310</v>
      </c>
      <c r="E494" s="80" t="s">
        <v>43</v>
      </c>
      <c r="F494" s="53" t="s">
        <v>141</v>
      </c>
      <c r="G494" s="46" t="s">
        <v>1311</v>
      </c>
      <c r="H494" s="67">
        <v>6763</v>
      </c>
      <c r="I494" s="49">
        <v>2022</v>
      </c>
      <c r="K494" s="81"/>
    </row>
    <row r="495" spans="1:11" ht="42.75" x14ac:dyDescent="0.2">
      <c r="A495" s="48" t="s">
        <v>204</v>
      </c>
      <c r="B495" s="48" t="s">
        <v>94</v>
      </c>
      <c r="C495" s="48" t="s">
        <v>91</v>
      </c>
      <c r="D495" s="46" t="s">
        <v>1313</v>
      </c>
      <c r="E495" s="80" t="s">
        <v>43</v>
      </c>
      <c r="F495" s="53" t="s">
        <v>141</v>
      </c>
      <c r="G495" s="46" t="s">
        <v>1312</v>
      </c>
      <c r="H495" s="67">
        <v>4470</v>
      </c>
      <c r="I495" s="49">
        <v>2022</v>
      </c>
      <c r="K495" s="81"/>
    </row>
    <row r="496" spans="1:11" ht="28.5" x14ac:dyDescent="0.2">
      <c r="A496" s="48" t="s">
        <v>204</v>
      </c>
      <c r="B496" s="48" t="s">
        <v>94</v>
      </c>
      <c r="C496" s="48" t="s">
        <v>91</v>
      </c>
      <c r="D496" s="46" t="s">
        <v>1314</v>
      </c>
      <c r="E496" s="80" t="s">
        <v>43</v>
      </c>
      <c r="F496" s="53" t="s">
        <v>141</v>
      </c>
      <c r="G496" s="46" t="s">
        <v>1315</v>
      </c>
      <c r="H496" s="67">
        <v>4873</v>
      </c>
      <c r="I496" s="49">
        <v>2021</v>
      </c>
      <c r="K496" s="81"/>
    </row>
    <row r="497" spans="1:11" ht="28.5" x14ac:dyDescent="0.2">
      <c r="A497" s="48" t="s">
        <v>204</v>
      </c>
      <c r="B497" s="48" t="s">
        <v>94</v>
      </c>
      <c r="C497" s="48" t="s">
        <v>91</v>
      </c>
      <c r="D497" s="46" t="s">
        <v>1317</v>
      </c>
      <c r="E497" s="80" t="s">
        <v>43</v>
      </c>
      <c r="F497" s="53" t="s">
        <v>141</v>
      </c>
      <c r="G497" s="46" t="s">
        <v>1316</v>
      </c>
      <c r="H497" s="67">
        <v>3953</v>
      </c>
      <c r="I497" s="49">
        <v>2021</v>
      </c>
      <c r="K497" s="81"/>
    </row>
    <row r="498" spans="1:11" ht="28.5" x14ac:dyDescent="0.2">
      <c r="A498" s="48" t="s">
        <v>204</v>
      </c>
      <c r="B498" s="48" t="s">
        <v>94</v>
      </c>
      <c r="C498" s="48" t="s">
        <v>91</v>
      </c>
      <c r="D498" s="46" t="s">
        <v>1319</v>
      </c>
      <c r="E498" s="80" t="s">
        <v>43</v>
      </c>
      <c r="F498" s="53" t="s">
        <v>141</v>
      </c>
      <c r="G498" s="46" t="s">
        <v>1318</v>
      </c>
      <c r="H498" s="67">
        <v>4628</v>
      </c>
      <c r="I498" s="49">
        <v>2021</v>
      </c>
      <c r="K498" s="81"/>
    </row>
    <row r="499" spans="1:11" ht="42.75" x14ac:dyDescent="0.2">
      <c r="A499" s="48" t="s">
        <v>204</v>
      </c>
      <c r="B499" s="48" t="s">
        <v>94</v>
      </c>
      <c r="C499" s="48" t="s">
        <v>91</v>
      </c>
      <c r="D499" s="46" t="s">
        <v>1320</v>
      </c>
      <c r="E499" s="80" t="s">
        <v>43</v>
      </c>
      <c r="F499" s="53" t="s">
        <v>141</v>
      </c>
      <c r="G499" s="46" t="s">
        <v>1321</v>
      </c>
      <c r="H499" s="67">
        <v>6161</v>
      </c>
      <c r="I499" s="49">
        <v>2021</v>
      </c>
      <c r="K499" s="81"/>
    </row>
    <row r="500" spans="1:11" ht="42.75" x14ac:dyDescent="0.2">
      <c r="A500" s="48" t="s">
        <v>204</v>
      </c>
      <c r="B500" s="48" t="s">
        <v>94</v>
      </c>
      <c r="C500" s="48" t="s">
        <v>91</v>
      </c>
      <c r="D500" s="46" t="s">
        <v>1322</v>
      </c>
      <c r="E500" s="80" t="s">
        <v>43</v>
      </c>
      <c r="F500" s="53" t="s">
        <v>141</v>
      </c>
      <c r="G500" s="46" t="s">
        <v>1323</v>
      </c>
      <c r="H500" s="67">
        <v>5085</v>
      </c>
      <c r="I500" s="49">
        <v>2020</v>
      </c>
      <c r="K500" s="81"/>
    </row>
    <row r="501" spans="1:11" ht="28.5" x14ac:dyDescent="0.2">
      <c r="A501" s="48" t="s">
        <v>204</v>
      </c>
      <c r="B501" s="48" t="s">
        <v>94</v>
      </c>
      <c r="C501" s="48" t="s">
        <v>91</v>
      </c>
      <c r="D501" s="46" t="s">
        <v>1324</v>
      </c>
      <c r="E501" s="80" t="s">
        <v>43</v>
      </c>
      <c r="F501" s="53" t="s">
        <v>141</v>
      </c>
      <c r="G501" s="46" t="s">
        <v>1325</v>
      </c>
      <c r="H501" s="67">
        <v>4235</v>
      </c>
      <c r="I501" s="49">
        <v>2020</v>
      </c>
      <c r="K501" s="81"/>
    </row>
    <row r="502" spans="1:11" ht="28.5" x14ac:dyDescent="0.2">
      <c r="A502" s="48" t="s">
        <v>204</v>
      </c>
      <c r="B502" s="48" t="s">
        <v>94</v>
      </c>
      <c r="C502" s="48" t="s">
        <v>91</v>
      </c>
      <c r="D502" s="46" t="s">
        <v>1326</v>
      </c>
      <c r="E502" s="80" t="s">
        <v>43</v>
      </c>
      <c r="F502" s="53" t="s">
        <v>141</v>
      </c>
      <c r="G502" s="46" t="s">
        <v>1327</v>
      </c>
      <c r="H502" s="67">
        <v>3451</v>
      </c>
      <c r="I502" s="49">
        <v>2020</v>
      </c>
      <c r="K502" s="81"/>
    </row>
    <row r="503" spans="1:11" ht="28.5" x14ac:dyDescent="0.2">
      <c r="A503" s="48" t="s">
        <v>204</v>
      </c>
      <c r="B503" s="48" t="s">
        <v>94</v>
      </c>
      <c r="C503" s="48" t="s">
        <v>91</v>
      </c>
      <c r="D503" s="46" t="s">
        <v>1328</v>
      </c>
      <c r="E503" s="80" t="s">
        <v>43</v>
      </c>
      <c r="F503" s="53" t="s">
        <v>141</v>
      </c>
      <c r="G503" s="46" t="s">
        <v>1329</v>
      </c>
      <c r="H503" s="67">
        <v>4819</v>
      </c>
      <c r="I503" s="49">
        <v>2020</v>
      </c>
      <c r="K503" s="81"/>
    </row>
    <row r="504" spans="1:11" ht="42.75" x14ac:dyDescent="0.2">
      <c r="A504" s="48" t="s">
        <v>204</v>
      </c>
      <c r="B504" s="48" t="s">
        <v>94</v>
      </c>
      <c r="C504" s="48" t="s">
        <v>91</v>
      </c>
      <c r="D504" s="46" t="s">
        <v>1330</v>
      </c>
      <c r="E504" s="80" t="s">
        <v>43</v>
      </c>
      <c r="F504" s="53" t="s">
        <v>141</v>
      </c>
      <c r="G504" s="46" t="s">
        <v>1331</v>
      </c>
      <c r="H504" s="67">
        <v>5173</v>
      </c>
      <c r="I504" s="49">
        <v>2020</v>
      </c>
      <c r="K504" s="81"/>
    </row>
    <row r="505" spans="1:11" ht="28.5" x14ac:dyDescent="0.2">
      <c r="A505" s="48" t="s">
        <v>204</v>
      </c>
      <c r="B505" s="48" t="s">
        <v>94</v>
      </c>
      <c r="C505" s="48" t="s">
        <v>91</v>
      </c>
      <c r="D505" s="46" t="s">
        <v>1332</v>
      </c>
      <c r="E505" s="80" t="s">
        <v>43</v>
      </c>
      <c r="F505" s="53" t="s">
        <v>141</v>
      </c>
      <c r="G505" s="46" t="s">
        <v>1333</v>
      </c>
      <c r="H505" s="67">
        <v>3384</v>
      </c>
      <c r="I505" s="49">
        <v>2017</v>
      </c>
      <c r="K505" s="81"/>
    </row>
    <row r="506" spans="1:11" ht="42.75" x14ac:dyDescent="0.2">
      <c r="A506" s="48" t="s">
        <v>204</v>
      </c>
      <c r="B506" s="48" t="s">
        <v>94</v>
      </c>
      <c r="C506" s="48" t="s">
        <v>91</v>
      </c>
      <c r="D506" s="46" t="s">
        <v>1335</v>
      </c>
      <c r="E506" s="80" t="s">
        <v>43</v>
      </c>
      <c r="F506" s="53" t="s">
        <v>141</v>
      </c>
      <c r="G506" s="46" t="s">
        <v>1334</v>
      </c>
      <c r="H506" s="67">
        <v>4416</v>
      </c>
      <c r="I506" s="49">
        <v>2019</v>
      </c>
      <c r="K506" s="81"/>
    </row>
    <row r="507" spans="1:11" ht="28.5" x14ac:dyDescent="0.2">
      <c r="A507" s="48" t="s">
        <v>204</v>
      </c>
      <c r="B507" s="48" t="s">
        <v>94</v>
      </c>
      <c r="C507" s="48" t="s">
        <v>91</v>
      </c>
      <c r="D507" s="46" t="s">
        <v>1337</v>
      </c>
      <c r="E507" s="80" t="s">
        <v>43</v>
      </c>
      <c r="F507" s="53" t="s">
        <v>141</v>
      </c>
      <c r="G507" s="46" t="s">
        <v>1336</v>
      </c>
      <c r="H507" s="67">
        <v>3865</v>
      </c>
      <c r="I507" s="49">
        <v>2019</v>
      </c>
      <c r="K507" s="81"/>
    </row>
    <row r="508" spans="1:11" ht="28.5" x14ac:dyDescent="0.2">
      <c r="A508" s="48" t="s">
        <v>204</v>
      </c>
      <c r="B508" s="48" t="s">
        <v>94</v>
      </c>
      <c r="C508" s="48" t="s">
        <v>91</v>
      </c>
      <c r="D508" s="46" t="s">
        <v>1339</v>
      </c>
      <c r="E508" s="80" t="s">
        <v>43</v>
      </c>
      <c r="F508" s="53" t="s">
        <v>141</v>
      </c>
      <c r="G508" s="46" t="s">
        <v>1338</v>
      </c>
      <c r="H508" s="67">
        <v>4105</v>
      </c>
      <c r="I508" s="49">
        <v>2019</v>
      </c>
      <c r="K508" s="81"/>
    </row>
    <row r="509" spans="1:11" ht="42.75" x14ac:dyDescent="0.2">
      <c r="A509" s="48" t="s">
        <v>204</v>
      </c>
      <c r="B509" s="48" t="s">
        <v>94</v>
      </c>
      <c r="C509" s="48" t="s">
        <v>91</v>
      </c>
      <c r="D509" s="46" t="s">
        <v>1340</v>
      </c>
      <c r="E509" s="80" t="s">
        <v>43</v>
      </c>
      <c r="F509" s="53" t="s">
        <v>141</v>
      </c>
      <c r="G509" s="46" t="s">
        <v>1341</v>
      </c>
      <c r="H509" s="67">
        <v>5145</v>
      </c>
      <c r="I509" s="49">
        <v>2019</v>
      </c>
      <c r="K509" s="81"/>
    </row>
    <row r="510" spans="1:11" ht="42.75" x14ac:dyDescent="0.2">
      <c r="A510" s="48" t="s">
        <v>204</v>
      </c>
      <c r="B510" s="48" t="s">
        <v>94</v>
      </c>
      <c r="C510" s="48" t="s">
        <v>91</v>
      </c>
      <c r="D510" s="46" t="s">
        <v>1343</v>
      </c>
      <c r="E510" s="80" t="s">
        <v>43</v>
      </c>
      <c r="F510" s="53" t="s">
        <v>141</v>
      </c>
      <c r="G510" s="46" t="s">
        <v>1342</v>
      </c>
      <c r="H510" s="67">
        <v>4218</v>
      </c>
      <c r="I510" s="49">
        <v>2018</v>
      </c>
      <c r="K510" s="81"/>
    </row>
    <row r="511" spans="1:11" ht="57" x14ac:dyDescent="0.2">
      <c r="A511" s="48" t="s">
        <v>204</v>
      </c>
      <c r="B511" s="48" t="s">
        <v>94</v>
      </c>
      <c r="C511" s="48" t="s">
        <v>91</v>
      </c>
      <c r="D511" s="46" t="s">
        <v>1345</v>
      </c>
      <c r="E511" s="80" t="s">
        <v>43</v>
      </c>
      <c r="F511" s="53" t="s">
        <v>141</v>
      </c>
      <c r="G511" s="46" t="s">
        <v>1344</v>
      </c>
      <c r="H511" s="67">
        <v>3574</v>
      </c>
      <c r="I511" s="49">
        <v>2018</v>
      </c>
      <c r="K511" s="81"/>
    </row>
    <row r="512" spans="1:11" ht="28.5" x14ac:dyDescent="0.2">
      <c r="A512" s="48" t="s">
        <v>204</v>
      </c>
      <c r="B512" s="48" t="s">
        <v>94</v>
      </c>
      <c r="C512" s="48" t="s">
        <v>91</v>
      </c>
      <c r="D512" s="46" t="s">
        <v>1346</v>
      </c>
      <c r="E512" s="80" t="s">
        <v>43</v>
      </c>
      <c r="F512" s="53" t="s">
        <v>141</v>
      </c>
      <c r="G512" s="46" t="s">
        <v>1347</v>
      </c>
      <c r="H512" s="67">
        <v>3122</v>
      </c>
      <c r="I512" s="49">
        <v>2018</v>
      </c>
      <c r="K512" s="81"/>
    </row>
    <row r="513" spans="1:11" ht="42.75" x14ac:dyDescent="0.2">
      <c r="A513" s="48" t="s">
        <v>204</v>
      </c>
      <c r="B513" s="48" t="s">
        <v>94</v>
      </c>
      <c r="C513" s="48" t="s">
        <v>91</v>
      </c>
      <c r="D513" s="46" t="s">
        <v>1348</v>
      </c>
      <c r="E513" s="80" t="s">
        <v>43</v>
      </c>
      <c r="F513" s="53" t="s">
        <v>141</v>
      </c>
      <c r="G513" s="46" t="s">
        <v>1349</v>
      </c>
      <c r="H513" s="67">
        <v>5100</v>
      </c>
      <c r="I513" s="49">
        <v>2018</v>
      </c>
      <c r="K513" s="81"/>
    </row>
    <row r="514" spans="1:11" ht="42.75" x14ac:dyDescent="0.2">
      <c r="A514" s="48" t="s">
        <v>204</v>
      </c>
      <c r="B514" s="48" t="s">
        <v>94</v>
      </c>
      <c r="C514" s="48" t="s">
        <v>91</v>
      </c>
      <c r="D514" s="46" t="s">
        <v>1350</v>
      </c>
      <c r="E514" s="80" t="s">
        <v>43</v>
      </c>
      <c r="F514" s="53" t="s">
        <v>141</v>
      </c>
      <c r="G514" s="46" t="s">
        <v>1351</v>
      </c>
      <c r="H514" s="67">
        <v>4021</v>
      </c>
      <c r="I514" s="49">
        <v>2017</v>
      </c>
      <c r="K514" s="81"/>
    </row>
    <row r="515" spans="1:11" ht="28.5" x14ac:dyDescent="0.2">
      <c r="A515" s="48" t="s">
        <v>204</v>
      </c>
      <c r="B515" s="48" t="s">
        <v>94</v>
      </c>
      <c r="C515" s="48" t="s">
        <v>91</v>
      </c>
      <c r="D515" s="46" t="s">
        <v>1352</v>
      </c>
      <c r="E515" s="80" t="s">
        <v>43</v>
      </c>
      <c r="F515" s="53" t="s">
        <v>141</v>
      </c>
      <c r="G515" s="46" t="s">
        <v>1353</v>
      </c>
      <c r="H515" s="67">
        <v>2853</v>
      </c>
      <c r="I515" s="49">
        <v>2017</v>
      </c>
      <c r="K515" s="81"/>
    </row>
    <row r="516" spans="1:11" ht="28.5" x14ac:dyDescent="0.2">
      <c r="A516" s="48" t="s">
        <v>204</v>
      </c>
      <c r="B516" s="48" t="s">
        <v>95</v>
      </c>
      <c r="C516" s="48" t="s">
        <v>33</v>
      </c>
      <c r="D516" s="46" t="s">
        <v>1356</v>
      </c>
      <c r="E516" s="80" t="s">
        <v>43</v>
      </c>
      <c r="F516" s="53" t="s">
        <v>219</v>
      </c>
      <c r="G516" s="46" t="s">
        <v>1357</v>
      </c>
      <c r="H516" s="67">
        <v>6815</v>
      </c>
      <c r="I516" s="49">
        <v>2022</v>
      </c>
      <c r="K516" s="81"/>
    </row>
    <row r="517" spans="1:11" ht="42.75" x14ac:dyDescent="0.2">
      <c r="A517" s="48" t="s">
        <v>204</v>
      </c>
      <c r="B517" s="48" t="s">
        <v>95</v>
      </c>
      <c r="C517" s="48" t="s">
        <v>33</v>
      </c>
      <c r="D517" s="46" t="s">
        <v>1358</v>
      </c>
      <c r="E517" s="80" t="s">
        <v>43</v>
      </c>
      <c r="F517" s="53" t="s">
        <v>219</v>
      </c>
      <c r="G517" s="46" t="s">
        <v>1359</v>
      </c>
      <c r="H517" s="67">
        <v>11427</v>
      </c>
      <c r="I517" s="49">
        <v>2022</v>
      </c>
      <c r="K517" s="81"/>
    </row>
    <row r="518" spans="1:11" ht="28.5" x14ac:dyDescent="0.2">
      <c r="A518" s="48" t="s">
        <v>204</v>
      </c>
      <c r="B518" s="48" t="s">
        <v>94</v>
      </c>
      <c r="C518" s="48" t="s">
        <v>91</v>
      </c>
      <c r="D518" s="46" t="s">
        <v>1364</v>
      </c>
      <c r="E518" s="80" t="s">
        <v>43</v>
      </c>
      <c r="F518" s="53" t="s">
        <v>141</v>
      </c>
      <c r="G518" s="46" t="s">
        <v>1365</v>
      </c>
      <c r="H518" s="67">
        <v>3666</v>
      </c>
      <c r="I518" s="49">
        <v>2016</v>
      </c>
      <c r="K518" s="81"/>
    </row>
    <row r="519" spans="1:11" ht="28.5" x14ac:dyDescent="0.2">
      <c r="A519" s="48" t="s">
        <v>204</v>
      </c>
      <c r="B519" s="48" t="s">
        <v>94</v>
      </c>
      <c r="C519" s="48" t="s">
        <v>91</v>
      </c>
      <c r="D519" s="46" t="s">
        <v>1366</v>
      </c>
      <c r="E519" s="80" t="s">
        <v>43</v>
      </c>
      <c r="F519" s="53" t="s">
        <v>141</v>
      </c>
      <c r="G519" s="46" t="s">
        <v>1369</v>
      </c>
      <c r="H519" s="67">
        <v>2556</v>
      </c>
      <c r="I519" s="49">
        <v>2016</v>
      </c>
      <c r="K519" s="81"/>
    </row>
    <row r="520" spans="1:11" ht="42.75" x14ac:dyDescent="0.2">
      <c r="A520" s="48" t="s">
        <v>204</v>
      </c>
      <c r="B520" s="48" t="s">
        <v>94</v>
      </c>
      <c r="C520" s="48" t="s">
        <v>91</v>
      </c>
      <c r="D520" s="46" t="s">
        <v>1367</v>
      </c>
      <c r="E520" s="80" t="s">
        <v>43</v>
      </c>
      <c r="F520" s="53" t="s">
        <v>141</v>
      </c>
      <c r="G520" s="46" t="s">
        <v>1368</v>
      </c>
      <c r="H520" s="67">
        <v>3434</v>
      </c>
      <c r="I520" s="49">
        <v>2016</v>
      </c>
      <c r="K520" s="81"/>
    </row>
    <row r="521" spans="1:11" ht="28.5" x14ac:dyDescent="0.2">
      <c r="A521" s="46" t="s">
        <v>204</v>
      </c>
      <c r="B521" s="46" t="s">
        <v>94</v>
      </c>
      <c r="C521" s="46" t="s">
        <v>42</v>
      </c>
      <c r="D521" s="46" t="s">
        <v>1370</v>
      </c>
      <c r="E521" s="52" t="s">
        <v>43</v>
      </c>
      <c r="F521" s="46" t="s">
        <v>219</v>
      </c>
      <c r="G521" s="46" t="s">
        <v>1373</v>
      </c>
      <c r="H521" s="66">
        <v>3302</v>
      </c>
      <c r="I521" s="47">
        <v>2022</v>
      </c>
      <c r="K521" s="81"/>
    </row>
    <row r="522" spans="1:11" ht="28.5" x14ac:dyDescent="0.2">
      <c r="A522" s="46" t="s">
        <v>204</v>
      </c>
      <c r="B522" s="46" t="s">
        <v>94</v>
      </c>
      <c r="C522" s="46" t="s">
        <v>42</v>
      </c>
      <c r="D522" s="46" t="s">
        <v>1375</v>
      </c>
      <c r="E522" s="52" t="s">
        <v>43</v>
      </c>
      <c r="F522" s="46" t="s">
        <v>219</v>
      </c>
      <c r="G522" s="46" t="s">
        <v>1374</v>
      </c>
      <c r="H522" s="66">
        <v>3400</v>
      </c>
      <c r="I522" s="47">
        <v>2021</v>
      </c>
      <c r="K522" s="81"/>
    </row>
    <row r="523" spans="1:11" x14ac:dyDescent="0.2">
      <c r="A523" s="46" t="s">
        <v>204</v>
      </c>
      <c r="B523" s="46" t="s">
        <v>94</v>
      </c>
      <c r="C523" s="46" t="s">
        <v>42</v>
      </c>
      <c r="D523" s="46" t="s">
        <v>1377</v>
      </c>
      <c r="E523" s="52" t="s">
        <v>43</v>
      </c>
      <c r="F523" s="46" t="s">
        <v>219</v>
      </c>
      <c r="G523" s="46" t="s">
        <v>1376</v>
      </c>
      <c r="H523" s="66">
        <v>3271</v>
      </c>
      <c r="I523" s="47">
        <v>2020</v>
      </c>
      <c r="K523" s="81"/>
    </row>
    <row r="524" spans="1:11" ht="28.5" x14ac:dyDescent="0.2">
      <c r="A524" s="46" t="s">
        <v>204</v>
      </c>
      <c r="B524" s="46" t="s">
        <v>94</v>
      </c>
      <c r="C524" s="46" t="s">
        <v>42</v>
      </c>
      <c r="D524" s="46" t="s">
        <v>1379</v>
      </c>
      <c r="E524" s="52" t="s">
        <v>43</v>
      </c>
      <c r="F524" s="46" t="s">
        <v>219</v>
      </c>
      <c r="G524" s="46" t="s">
        <v>1378</v>
      </c>
      <c r="H524" s="66">
        <v>7568</v>
      </c>
      <c r="I524" s="47">
        <v>2015</v>
      </c>
      <c r="K524" s="81"/>
    </row>
    <row r="525" spans="1:11" ht="28.5" x14ac:dyDescent="0.2">
      <c r="A525" s="46" t="s">
        <v>204</v>
      </c>
      <c r="B525" s="46" t="s">
        <v>94</v>
      </c>
      <c r="C525" s="46" t="s">
        <v>42</v>
      </c>
      <c r="D525" s="46" t="s">
        <v>1381</v>
      </c>
      <c r="E525" s="52" t="s">
        <v>43</v>
      </c>
      <c r="F525" s="46" t="s">
        <v>219</v>
      </c>
      <c r="G525" s="46" t="s">
        <v>1380</v>
      </c>
      <c r="H525" s="66">
        <v>3259</v>
      </c>
      <c r="I525" s="47">
        <v>2021</v>
      </c>
      <c r="K525" s="81"/>
    </row>
    <row r="526" spans="1:11" ht="42.75" x14ac:dyDescent="0.2">
      <c r="A526" s="46" t="s">
        <v>204</v>
      </c>
      <c r="B526" s="46" t="s">
        <v>94</v>
      </c>
      <c r="C526" s="46" t="s">
        <v>42</v>
      </c>
      <c r="D526" s="46" t="s">
        <v>1383</v>
      </c>
      <c r="E526" s="52" t="s">
        <v>43</v>
      </c>
      <c r="F526" s="46" t="s">
        <v>219</v>
      </c>
      <c r="G526" s="46" t="s">
        <v>1382</v>
      </c>
      <c r="H526" s="66">
        <v>3383</v>
      </c>
      <c r="I526" s="47">
        <v>2022</v>
      </c>
      <c r="K526" s="81"/>
    </row>
    <row r="527" spans="1:11" ht="28.5" x14ac:dyDescent="0.2">
      <c r="A527" s="46" t="s">
        <v>204</v>
      </c>
      <c r="B527" s="46" t="s">
        <v>94</v>
      </c>
      <c r="C527" s="46" t="s">
        <v>42</v>
      </c>
      <c r="D527" s="46" t="s">
        <v>1385</v>
      </c>
      <c r="E527" s="52" t="s">
        <v>43</v>
      </c>
      <c r="F527" s="46" t="s">
        <v>219</v>
      </c>
      <c r="G527" s="46" t="s">
        <v>1384</v>
      </c>
      <c r="H527" s="66">
        <v>3351</v>
      </c>
      <c r="I527" s="47">
        <v>2022</v>
      </c>
      <c r="K527" s="81"/>
    </row>
    <row r="528" spans="1:11" ht="28.5" x14ac:dyDescent="0.2">
      <c r="A528" s="46" t="s">
        <v>204</v>
      </c>
      <c r="B528" s="46" t="s">
        <v>94</v>
      </c>
      <c r="C528" s="46" t="s">
        <v>42</v>
      </c>
      <c r="D528" s="46" t="s">
        <v>1387</v>
      </c>
      <c r="E528" s="52" t="s">
        <v>43</v>
      </c>
      <c r="F528" s="46" t="s">
        <v>219</v>
      </c>
      <c r="G528" s="46" t="s">
        <v>1386</v>
      </c>
      <c r="H528" s="66">
        <v>3508</v>
      </c>
      <c r="I528" s="47">
        <v>2021</v>
      </c>
      <c r="K528" s="81"/>
    </row>
    <row r="529" spans="1:11" ht="28.5" x14ac:dyDescent="0.2">
      <c r="A529" s="48" t="s">
        <v>204</v>
      </c>
      <c r="B529" s="48" t="s">
        <v>94</v>
      </c>
      <c r="C529" s="48" t="s">
        <v>387</v>
      </c>
      <c r="D529" s="46" t="s">
        <v>1389</v>
      </c>
      <c r="E529" s="80" t="s">
        <v>43</v>
      </c>
      <c r="F529" s="53" t="s">
        <v>219</v>
      </c>
      <c r="G529" s="46" t="s">
        <v>1388</v>
      </c>
      <c r="H529" s="67">
        <v>11579</v>
      </c>
      <c r="I529" s="49">
        <v>2022</v>
      </c>
      <c r="K529" s="81"/>
    </row>
    <row r="530" spans="1:11" ht="28.5" x14ac:dyDescent="0.2">
      <c r="A530" s="48" t="s">
        <v>204</v>
      </c>
      <c r="B530" s="48" t="s">
        <v>94</v>
      </c>
      <c r="C530" s="48" t="s">
        <v>387</v>
      </c>
      <c r="D530" s="46" t="s">
        <v>1390</v>
      </c>
      <c r="E530" s="80" t="s">
        <v>43</v>
      </c>
      <c r="F530" s="53" t="s">
        <v>219</v>
      </c>
      <c r="G530" s="46" t="s">
        <v>1391</v>
      </c>
      <c r="H530" s="67">
        <v>10848</v>
      </c>
      <c r="I530" s="49">
        <v>2022</v>
      </c>
      <c r="K530" s="81"/>
    </row>
    <row r="531" spans="1:11" ht="28.5" x14ac:dyDescent="0.2">
      <c r="A531" s="48" t="s">
        <v>204</v>
      </c>
      <c r="B531" s="48" t="s">
        <v>94</v>
      </c>
      <c r="C531" s="48" t="s">
        <v>387</v>
      </c>
      <c r="D531" s="46" t="s">
        <v>1392</v>
      </c>
      <c r="E531" s="80" t="s">
        <v>43</v>
      </c>
      <c r="F531" s="53" t="s">
        <v>219</v>
      </c>
      <c r="G531" s="46" t="s">
        <v>1395</v>
      </c>
      <c r="H531" s="67">
        <v>10441</v>
      </c>
      <c r="I531" s="49">
        <v>2021</v>
      </c>
      <c r="K531" s="81"/>
    </row>
    <row r="532" spans="1:11" ht="28.5" x14ac:dyDescent="0.2">
      <c r="A532" s="48" t="s">
        <v>204</v>
      </c>
      <c r="B532" s="48" t="s">
        <v>94</v>
      </c>
      <c r="C532" s="48" t="s">
        <v>387</v>
      </c>
      <c r="D532" s="46" t="s">
        <v>1393</v>
      </c>
      <c r="E532" s="80" t="s">
        <v>43</v>
      </c>
      <c r="F532" s="53" t="s">
        <v>219</v>
      </c>
      <c r="G532" s="46" t="s">
        <v>1396</v>
      </c>
      <c r="H532" s="67">
        <v>9753</v>
      </c>
      <c r="I532" s="49">
        <v>2021</v>
      </c>
      <c r="K532" s="81"/>
    </row>
    <row r="533" spans="1:11" ht="28.5" x14ac:dyDescent="0.2">
      <c r="A533" s="48" t="s">
        <v>204</v>
      </c>
      <c r="B533" s="48" t="s">
        <v>94</v>
      </c>
      <c r="C533" s="48" t="s">
        <v>387</v>
      </c>
      <c r="D533" s="46" t="s">
        <v>1394</v>
      </c>
      <c r="E533" s="80" t="s">
        <v>43</v>
      </c>
      <c r="F533" s="53" t="s">
        <v>219</v>
      </c>
      <c r="G533" s="46" t="s">
        <v>1397</v>
      </c>
      <c r="H533" s="67">
        <v>9494</v>
      </c>
      <c r="I533" s="49">
        <v>2021</v>
      </c>
      <c r="K533" s="81"/>
    </row>
    <row r="534" spans="1:11" ht="28.5" x14ac:dyDescent="0.2">
      <c r="A534" s="48" t="s">
        <v>204</v>
      </c>
      <c r="B534" s="48" t="s">
        <v>94</v>
      </c>
      <c r="C534" s="48" t="s">
        <v>387</v>
      </c>
      <c r="D534" s="46" t="s">
        <v>1399</v>
      </c>
      <c r="E534" s="80" t="s">
        <v>43</v>
      </c>
      <c r="F534" s="53" t="s">
        <v>219</v>
      </c>
      <c r="G534" s="46" t="s">
        <v>1398</v>
      </c>
      <c r="H534" s="67">
        <v>9878</v>
      </c>
      <c r="I534" s="49">
        <v>2021</v>
      </c>
      <c r="K534" s="81"/>
    </row>
    <row r="535" spans="1:11" ht="28.5" x14ac:dyDescent="0.2">
      <c r="A535" s="48" t="s">
        <v>204</v>
      </c>
      <c r="B535" s="48" t="s">
        <v>94</v>
      </c>
      <c r="C535" s="48" t="s">
        <v>387</v>
      </c>
      <c r="D535" s="46" t="s">
        <v>1406</v>
      </c>
      <c r="E535" s="80" t="s">
        <v>43</v>
      </c>
      <c r="F535" s="53" t="s">
        <v>219</v>
      </c>
      <c r="G535" s="46" t="s">
        <v>1400</v>
      </c>
      <c r="H535" s="67">
        <v>17943</v>
      </c>
      <c r="I535" s="49">
        <v>2022</v>
      </c>
      <c r="K535" s="81"/>
    </row>
    <row r="536" spans="1:11" ht="28.5" x14ac:dyDescent="0.2">
      <c r="A536" s="48" t="s">
        <v>204</v>
      </c>
      <c r="B536" s="48" t="s">
        <v>94</v>
      </c>
      <c r="C536" s="48" t="s">
        <v>387</v>
      </c>
      <c r="D536" s="46" t="s">
        <v>1407</v>
      </c>
      <c r="E536" s="80" t="s">
        <v>43</v>
      </c>
      <c r="F536" s="53" t="s">
        <v>219</v>
      </c>
      <c r="G536" s="46" t="s">
        <v>1401</v>
      </c>
      <c r="H536" s="67">
        <v>14067</v>
      </c>
      <c r="I536" s="49">
        <v>2022</v>
      </c>
      <c r="K536" s="81"/>
    </row>
    <row r="537" spans="1:11" ht="28.5" x14ac:dyDescent="0.2">
      <c r="A537" s="48" t="s">
        <v>204</v>
      </c>
      <c r="B537" s="48" t="s">
        <v>94</v>
      </c>
      <c r="C537" s="48" t="s">
        <v>387</v>
      </c>
      <c r="D537" s="46" t="s">
        <v>1408</v>
      </c>
      <c r="E537" s="80" t="s">
        <v>43</v>
      </c>
      <c r="F537" s="53" t="s">
        <v>219</v>
      </c>
      <c r="G537" s="46" t="s">
        <v>1402</v>
      </c>
      <c r="H537" s="67">
        <v>15639</v>
      </c>
      <c r="I537" s="49">
        <v>2021</v>
      </c>
      <c r="K537" s="81"/>
    </row>
    <row r="538" spans="1:11" ht="28.5" x14ac:dyDescent="0.2">
      <c r="A538" s="48" t="s">
        <v>204</v>
      </c>
      <c r="B538" s="48" t="s">
        <v>94</v>
      </c>
      <c r="C538" s="48" t="s">
        <v>387</v>
      </c>
      <c r="D538" s="46" t="s">
        <v>1409</v>
      </c>
      <c r="E538" s="80" t="s">
        <v>43</v>
      </c>
      <c r="F538" s="53" t="s">
        <v>219</v>
      </c>
      <c r="G538" s="46" t="s">
        <v>1403</v>
      </c>
      <c r="H538" s="67">
        <v>15573</v>
      </c>
      <c r="I538" s="49">
        <v>2021</v>
      </c>
      <c r="K538" s="81"/>
    </row>
    <row r="539" spans="1:11" ht="28.5" x14ac:dyDescent="0.2">
      <c r="A539" s="48" t="s">
        <v>204</v>
      </c>
      <c r="B539" s="48" t="s">
        <v>94</v>
      </c>
      <c r="C539" s="48" t="s">
        <v>387</v>
      </c>
      <c r="D539" s="46" t="s">
        <v>1410</v>
      </c>
      <c r="E539" s="80" t="s">
        <v>43</v>
      </c>
      <c r="F539" s="53" t="s">
        <v>219</v>
      </c>
      <c r="G539" s="46" t="s">
        <v>1404</v>
      </c>
      <c r="H539" s="67">
        <v>15469</v>
      </c>
      <c r="I539" s="49">
        <v>2021</v>
      </c>
      <c r="K539" s="81"/>
    </row>
    <row r="540" spans="1:11" ht="28.5" x14ac:dyDescent="0.2">
      <c r="A540" s="48" t="s">
        <v>204</v>
      </c>
      <c r="B540" s="48" t="s">
        <v>94</v>
      </c>
      <c r="C540" s="48" t="s">
        <v>387</v>
      </c>
      <c r="D540" s="46" t="s">
        <v>1411</v>
      </c>
      <c r="E540" s="80" t="s">
        <v>43</v>
      </c>
      <c r="F540" s="53" t="s">
        <v>219</v>
      </c>
      <c r="G540" s="46" t="s">
        <v>1405</v>
      </c>
      <c r="H540" s="67">
        <v>15695</v>
      </c>
      <c r="I540" s="49">
        <v>2021</v>
      </c>
      <c r="K540" s="81"/>
    </row>
    <row r="541" spans="1:11" ht="28.5" x14ac:dyDescent="0.2">
      <c r="A541" s="48" t="s">
        <v>204</v>
      </c>
      <c r="B541" s="48" t="s">
        <v>94</v>
      </c>
      <c r="C541" s="48" t="s">
        <v>387</v>
      </c>
      <c r="D541" s="46" t="s">
        <v>1412</v>
      </c>
      <c r="E541" s="80" t="s">
        <v>43</v>
      </c>
      <c r="F541" s="53" t="s">
        <v>141</v>
      </c>
      <c r="G541" s="46" t="s">
        <v>1424</v>
      </c>
      <c r="H541" s="67">
        <v>9627</v>
      </c>
      <c r="I541" s="49">
        <v>2022</v>
      </c>
      <c r="K541" s="81"/>
    </row>
    <row r="542" spans="1:11" ht="28.5" x14ac:dyDescent="0.2">
      <c r="A542" s="48" t="s">
        <v>204</v>
      </c>
      <c r="B542" s="48" t="s">
        <v>94</v>
      </c>
      <c r="C542" s="48" t="s">
        <v>387</v>
      </c>
      <c r="D542" s="46" t="s">
        <v>1413</v>
      </c>
      <c r="E542" s="80" t="s">
        <v>43</v>
      </c>
      <c r="F542" s="53" t="s">
        <v>141</v>
      </c>
      <c r="G542" s="46" t="s">
        <v>1425</v>
      </c>
      <c r="H542" s="67">
        <v>7535</v>
      </c>
      <c r="I542" s="49">
        <v>2022</v>
      </c>
      <c r="K542" s="81"/>
    </row>
    <row r="543" spans="1:11" ht="28.5" x14ac:dyDescent="0.2">
      <c r="A543" s="48" t="s">
        <v>204</v>
      </c>
      <c r="B543" s="48" t="s">
        <v>94</v>
      </c>
      <c r="C543" s="48" t="s">
        <v>387</v>
      </c>
      <c r="D543" s="46" t="s">
        <v>1414</v>
      </c>
      <c r="E543" s="80" t="s">
        <v>43</v>
      </c>
      <c r="F543" s="53" t="s">
        <v>141</v>
      </c>
      <c r="G543" s="46" t="s">
        <v>1427</v>
      </c>
      <c r="H543" s="67">
        <v>6740</v>
      </c>
      <c r="I543" s="49">
        <v>2021</v>
      </c>
      <c r="K543" s="81"/>
    </row>
    <row r="544" spans="1:11" ht="28.5" x14ac:dyDescent="0.2">
      <c r="A544" s="48" t="s">
        <v>204</v>
      </c>
      <c r="B544" s="48" t="s">
        <v>94</v>
      </c>
      <c r="C544" s="48" t="s">
        <v>387</v>
      </c>
      <c r="D544" s="46" t="s">
        <v>1415</v>
      </c>
      <c r="E544" s="80" t="s">
        <v>43</v>
      </c>
      <c r="F544" s="53" t="s">
        <v>141</v>
      </c>
      <c r="G544" s="46" t="s">
        <v>1428</v>
      </c>
      <c r="H544" s="67">
        <v>8142</v>
      </c>
      <c r="I544" s="49">
        <v>2021</v>
      </c>
      <c r="K544" s="81"/>
    </row>
    <row r="545" spans="1:11" ht="28.5" x14ac:dyDescent="0.2">
      <c r="A545" s="48" t="s">
        <v>204</v>
      </c>
      <c r="B545" s="48" t="s">
        <v>94</v>
      </c>
      <c r="C545" s="48" t="s">
        <v>387</v>
      </c>
      <c r="D545" s="46" t="s">
        <v>1416</v>
      </c>
      <c r="E545" s="80" t="s">
        <v>43</v>
      </c>
      <c r="F545" s="53" t="s">
        <v>141</v>
      </c>
      <c r="G545" s="46" t="s">
        <v>1429</v>
      </c>
      <c r="H545" s="67">
        <v>7129</v>
      </c>
      <c r="I545" s="49">
        <v>2021</v>
      </c>
      <c r="K545" s="81"/>
    </row>
    <row r="546" spans="1:11" ht="28.5" x14ac:dyDescent="0.2">
      <c r="A546" s="48" t="s">
        <v>204</v>
      </c>
      <c r="B546" s="48" t="s">
        <v>94</v>
      </c>
      <c r="C546" s="48" t="s">
        <v>387</v>
      </c>
      <c r="D546" s="46" t="s">
        <v>1417</v>
      </c>
      <c r="E546" s="80" t="s">
        <v>43</v>
      </c>
      <c r="F546" s="53" t="s">
        <v>141</v>
      </c>
      <c r="G546" s="46" t="s">
        <v>1426</v>
      </c>
      <c r="H546" s="67">
        <v>7638</v>
      </c>
      <c r="I546" s="49">
        <v>2021</v>
      </c>
      <c r="K546" s="81"/>
    </row>
    <row r="547" spans="1:11" ht="28.5" x14ac:dyDescent="0.2">
      <c r="A547" s="48" t="s">
        <v>204</v>
      </c>
      <c r="B547" s="48" t="s">
        <v>94</v>
      </c>
      <c r="C547" s="48" t="s">
        <v>387</v>
      </c>
      <c r="D547" s="46" t="s">
        <v>1418</v>
      </c>
      <c r="E547" s="80" t="s">
        <v>43</v>
      </c>
      <c r="F547" s="53" t="s">
        <v>141</v>
      </c>
      <c r="G547" s="46" t="s">
        <v>1430</v>
      </c>
      <c r="H547" s="67">
        <v>10872</v>
      </c>
      <c r="I547" s="49">
        <v>2022</v>
      </c>
      <c r="K547" s="81"/>
    </row>
    <row r="548" spans="1:11" ht="28.5" x14ac:dyDescent="0.2">
      <c r="A548" s="48" t="s">
        <v>204</v>
      </c>
      <c r="B548" s="48" t="s">
        <v>94</v>
      </c>
      <c r="C548" s="48" t="s">
        <v>387</v>
      </c>
      <c r="D548" s="46" t="s">
        <v>1419</v>
      </c>
      <c r="E548" s="80" t="s">
        <v>43</v>
      </c>
      <c r="F548" s="53" t="s">
        <v>141</v>
      </c>
      <c r="G548" s="46" t="s">
        <v>1431</v>
      </c>
      <c r="H548" s="67">
        <v>10447</v>
      </c>
      <c r="I548" s="49">
        <v>2022</v>
      </c>
      <c r="K548" s="81"/>
    </row>
    <row r="549" spans="1:11" ht="28.5" x14ac:dyDescent="0.2">
      <c r="A549" s="48" t="s">
        <v>204</v>
      </c>
      <c r="B549" s="48" t="s">
        <v>94</v>
      </c>
      <c r="C549" s="48" t="s">
        <v>387</v>
      </c>
      <c r="D549" s="46" t="s">
        <v>1420</v>
      </c>
      <c r="E549" s="80" t="s">
        <v>43</v>
      </c>
      <c r="F549" s="53" t="s">
        <v>141</v>
      </c>
      <c r="G549" s="46" t="s">
        <v>1432</v>
      </c>
      <c r="H549" s="67">
        <v>11699</v>
      </c>
      <c r="I549" s="49">
        <v>2021</v>
      </c>
      <c r="K549" s="81"/>
    </row>
    <row r="550" spans="1:11" ht="28.5" x14ac:dyDescent="0.2">
      <c r="A550" s="48" t="s">
        <v>204</v>
      </c>
      <c r="B550" s="48" t="s">
        <v>94</v>
      </c>
      <c r="C550" s="48" t="s">
        <v>387</v>
      </c>
      <c r="D550" s="46" t="s">
        <v>1421</v>
      </c>
      <c r="E550" s="80" t="s">
        <v>43</v>
      </c>
      <c r="F550" s="53" t="s">
        <v>141</v>
      </c>
      <c r="G550" s="46" t="s">
        <v>1433</v>
      </c>
      <c r="H550" s="67">
        <v>11904</v>
      </c>
      <c r="I550" s="49">
        <v>2021</v>
      </c>
      <c r="K550" s="81"/>
    </row>
    <row r="551" spans="1:11" ht="28.5" x14ac:dyDescent="0.2">
      <c r="A551" s="48" t="s">
        <v>204</v>
      </c>
      <c r="B551" s="48" t="s">
        <v>94</v>
      </c>
      <c r="C551" s="48" t="s">
        <v>387</v>
      </c>
      <c r="D551" s="46" t="s">
        <v>1422</v>
      </c>
      <c r="E551" s="80" t="s">
        <v>43</v>
      </c>
      <c r="F551" s="53" t="s">
        <v>141</v>
      </c>
      <c r="G551" s="46" t="s">
        <v>1434</v>
      </c>
      <c r="H551" s="67">
        <v>11659</v>
      </c>
      <c r="I551" s="49">
        <v>2021</v>
      </c>
      <c r="K551" s="81"/>
    </row>
    <row r="552" spans="1:11" ht="28.5" x14ac:dyDescent="0.2">
      <c r="A552" s="48" t="s">
        <v>204</v>
      </c>
      <c r="B552" s="48" t="s">
        <v>94</v>
      </c>
      <c r="C552" s="48" t="s">
        <v>387</v>
      </c>
      <c r="D552" s="46" t="s">
        <v>1423</v>
      </c>
      <c r="E552" s="80" t="s">
        <v>43</v>
      </c>
      <c r="F552" s="53" t="s">
        <v>141</v>
      </c>
      <c r="G552" s="46" t="s">
        <v>1435</v>
      </c>
      <c r="H552" s="67">
        <v>11638</v>
      </c>
      <c r="I552" s="49">
        <v>2021</v>
      </c>
      <c r="K552" s="81"/>
    </row>
    <row r="553" spans="1:11" x14ac:dyDescent="0.2">
      <c r="A553" s="48" t="s">
        <v>204</v>
      </c>
      <c r="B553" s="48" t="s">
        <v>95</v>
      </c>
      <c r="C553" s="48" t="s">
        <v>34</v>
      </c>
      <c r="D553" s="46" t="s">
        <v>1291</v>
      </c>
      <c r="E553" s="80" t="s">
        <v>43</v>
      </c>
      <c r="F553" s="53" t="s">
        <v>240</v>
      </c>
      <c r="G553" s="46" t="s">
        <v>1292</v>
      </c>
      <c r="H553" s="67">
        <v>60898</v>
      </c>
      <c r="I553" s="49">
        <v>2022</v>
      </c>
      <c r="K553" s="81"/>
    </row>
    <row r="554" spans="1:11" ht="28.5" x14ac:dyDescent="0.2">
      <c r="A554" s="48" t="s">
        <v>204</v>
      </c>
      <c r="B554" s="48" t="s">
        <v>95</v>
      </c>
      <c r="C554" s="48" t="s">
        <v>38</v>
      </c>
      <c r="D554" s="46" t="s">
        <v>1446</v>
      </c>
      <c r="E554" s="80" t="s">
        <v>43</v>
      </c>
      <c r="F554" s="53" t="s">
        <v>240</v>
      </c>
      <c r="G554" s="46" t="s">
        <v>1447</v>
      </c>
      <c r="H554" s="67">
        <v>5865</v>
      </c>
      <c r="I554" s="49">
        <v>2022</v>
      </c>
      <c r="K554" s="81"/>
    </row>
    <row r="555" spans="1:11" ht="28.5" x14ac:dyDescent="0.2">
      <c r="A555" s="46" t="s">
        <v>204</v>
      </c>
      <c r="B555" s="46" t="s">
        <v>95</v>
      </c>
      <c r="C555" s="46" t="s">
        <v>40</v>
      </c>
      <c r="D555" s="46" t="s">
        <v>1450</v>
      </c>
      <c r="E555" s="52" t="s">
        <v>43</v>
      </c>
      <c r="F555" s="53" t="s">
        <v>240</v>
      </c>
      <c r="G555" s="46" t="s">
        <v>1452</v>
      </c>
      <c r="H555" s="67">
        <v>5588</v>
      </c>
      <c r="I555" s="49">
        <v>2021</v>
      </c>
      <c r="K555" s="81"/>
    </row>
    <row r="556" spans="1:11" ht="28.5" x14ac:dyDescent="0.2">
      <c r="A556" s="46" t="s">
        <v>204</v>
      </c>
      <c r="B556" s="46" t="s">
        <v>95</v>
      </c>
      <c r="C556" s="46" t="s">
        <v>40</v>
      </c>
      <c r="D556" s="46" t="s">
        <v>1463</v>
      </c>
      <c r="E556" s="52" t="s">
        <v>43</v>
      </c>
      <c r="F556" s="53" t="s">
        <v>240</v>
      </c>
      <c r="G556" s="46" t="s">
        <v>1451</v>
      </c>
      <c r="H556" s="67">
        <v>2998</v>
      </c>
      <c r="I556" s="49">
        <v>2021</v>
      </c>
      <c r="K556" s="81"/>
    </row>
    <row r="557" spans="1:11" ht="28.5" x14ac:dyDescent="0.2">
      <c r="A557" s="46" t="s">
        <v>204</v>
      </c>
      <c r="B557" s="46" t="s">
        <v>95</v>
      </c>
      <c r="C557" s="46" t="s">
        <v>40</v>
      </c>
      <c r="D557" s="46" t="s">
        <v>1464</v>
      </c>
      <c r="E557" s="52" t="s">
        <v>43</v>
      </c>
      <c r="F557" s="53" t="s">
        <v>240</v>
      </c>
      <c r="G557" s="46" t="s">
        <v>1453</v>
      </c>
      <c r="H557" s="67">
        <v>3107</v>
      </c>
      <c r="I557" s="49">
        <v>2021</v>
      </c>
      <c r="K557" s="81"/>
    </row>
    <row r="558" spans="1:11" ht="28.5" x14ac:dyDescent="0.2">
      <c r="A558" s="46" t="s">
        <v>204</v>
      </c>
      <c r="B558" s="46" t="s">
        <v>95</v>
      </c>
      <c r="C558" s="46" t="s">
        <v>40</v>
      </c>
      <c r="D558" s="46" t="s">
        <v>1466</v>
      </c>
      <c r="E558" s="52" t="s">
        <v>43</v>
      </c>
      <c r="F558" s="53" t="s">
        <v>219</v>
      </c>
      <c r="G558" s="46" t="s">
        <v>1462</v>
      </c>
      <c r="H558" s="67">
        <v>6287</v>
      </c>
      <c r="I558" s="49">
        <v>2021</v>
      </c>
      <c r="K558" s="81"/>
    </row>
    <row r="559" spans="1:11" ht="28.5" x14ac:dyDescent="0.2">
      <c r="A559" s="46" t="s">
        <v>204</v>
      </c>
      <c r="B559" s="46" t="s">
        <v>95</v>
      </c>
      <c r="C559" s="46" t="s">
        <v>40</v>
      </c>
      <c r="D559" s="46" t="s">
        <v>1467</v>
      </c>
      <c r="E559" s="52" t="s">
        <v>43</v>
      </c>
      <c r="F559" s="53" t="s">
        <v>219</v>
      </c>
      <c r="G559" s="46" t="s">
        <v>1460</v>
      </c>
      <c r="H559" s="67">
        <v>3342</v>
      </c>
      <c r="I559" s="49">
        <v>2021</v>
      </c>
      <c r="K559" s="81"/>
    </row>
    <row r="560" spans="1:11" ht="28.5" x14ac:dyDescent="0.2">
      <c r="A560" s="46" t="s">
        <v>204</v>
      </c>
      <c r="B560" s="46" t="s">
        <v>95</v>
      </c>
      <c r="C560" s="46" t="s">
        <v>40</v>
      </c>
      <c r="D560" s="46" t="s">
        <v>1468</v>
      </c>
      <c r="E560" s="52" t="s">
        <v>43</v>
      </c>
      <c r="F560" s="53" t="s">
        <v>219</v>
      </c>
      <c r="G560" s="46" t="s">
        <v>1459</v>
      </c>
      <c r="H560" s="67">
        <v>3828</v>
      </c>
      <c r="I560" s="49">
        <v>2021</v>
      </c>
      <c r="K560" s="81"/>
    </row>
    <row r="561" spans="1:11" ht="28.5" x14ac:dyDescent="0.2">
      <c r="A561" s="46" t="s">
        <v>204</v>
      </c>
      <c r="B561" s="46" t="s">
        <v>95</v>
      </c>
      <c r="C561" s="46" t="s">
        <v>40</v>
      </c>
      <c r="D561" s="46" t="s">
        <v>1469</v>
      </c>
      <c r="E561" s="52" t="s">
        <v>43</v>
      </c>
      <c r="F561" s="53" t="s">
        <v>219</v>
      </c>
      <c r="G561" s="46" t="s">
        <v>1461</v>
      </c>
      <c r="H561" s="67">
        <v>2897</v>
      </c>
      <c r="I561" s="49">
        <v>2021</v>
      </c>
      <c r="K561" s="81"/>
    </row>
    <row r="562" spans="1:11" ht="28.5" x14ac:dyDescent="0.2">
      <c r="A562" s="46" t="s">
        <v>204</v>
      </c>
      <c r="B562" s="46" t="s">
        <v>95</v>
      </c>
      <c r="C562" s="46" t="s">
        <v>40</v>
      </c>
      <c r="D562" s="46" t="s">
        <v>1465</v>
      </c>
      <c r="E562" s="52" t="s">
        <v>43</v>
      </c>
      <c r="F562" s="53" t="s">
        <v>240</v>
      </c>
      <c r="G562" s="46" t="s">
        <v>1454</v>
      </c>
      <c r="H562" s="67">
        <v>2562</v>
      </c>
      <c r="I562" s="49">
        <v>2021</v>
      </c>
      <c r="K562" s="81"/>
    </row>
    <row r="563" spans="1:11" ht="28.5" x14ac:dyDescent="0.2">
      <c r="A563" s="46" t="s">
        <v>204</v>
      </c>
      <c r="B563" s="46" t="s">
        <v>95</v>
      </c>
      <c r="C563" s="46" t="s">
        <v>40</v>
      </c>
      <c r="D563" s="46" t="s">
        <v>1470</v>
      </c>
      <c r="E563" s="52" t="s">
        <v>43</v>
      </c>
      <c r="F563" s="53" t="s">
        <v>240</v>
      </c>
      <c r="G563" s="46" t="s">
        <v>1455</v>
      </c>
      <c r="H563" s="67">
        <v>2699</v>
      </c>
      <c r="I563" s="49">
        <v>2022</v>
      </c>
      <c r="K563" s="81"/>
    </row>
    <row r="564" spans="1:11" ht="28.5" x14ac:dyDescent="0.2">
      <c r="A564" s="46" t="s">
        <v>204</v>
      </c>
      <c r="B564" s="46" t="s">
        <v>95</v>
      </c>
      <c r="C564" s="46" t="s">
        <v>40</v>
      </c>
      <c r="D564" s="46" t="s">
        <v>1472</v>
      </c>
      <c r="E564" s="52" t="s">
        <v>43</v>
      </c>
      <c r="F564" s="53" t="s">
        <v>219</v>
      </c>
      <c r="G564" s="46" t="s">
        <v>1457</v>
      </c>
      <c r="H564" s="67">
        <v>3122</v>
      </c>
      <c r="I564" s="49">
        <v>2022</v>
      </c>
      <c r="K564" s="81"/>
    </row>
    <row r="565" spans="1:11" ht="28.5" x14ac:dyDescent="0.2">
      <c r="A565" s="46" t="s">
        <v>204</v>
      </c>
      <c r="B565" s="46" t="s">
        <v>95</v>
      </c>
      <c r="C565" s="46" t="s">
        <v>40</v>
      </c>
      <c r="D565" s="46" t="s">
        <v>1473</v>
      </c>
      <c r="E565" s="52" t="s">
        <v>43</v>
      </c>
      <c r="F565" s="53" t="s">
        <v>219</v>
      </c>
      <c r="G565" s="46" t="s">
        <v>1458</v>
      </c>
      <c r="H565" s="67">
        <v>3264</v>
      </c>
      <c r="I565" s="49">
        <v>2022</v>
      </c>
      <c r="K565" s="81"/>
    </row>
    <row r="566" spans="1:11" x14ac:dyDescent="0.2">
      <c r="A566" s="48" t="s">
        <v>204</v>
      </c>
      <c r="B566" s="48" t="s">
        <v>94</v>
      </c>
      <c r="C566" s="48" t="s">
        <v>39</v>
      </c>
      <c r="D566" s="50" t="s">
        <v>1480</v>
      </c>
      <c r="E566" s="53" t="s">
        <v>43</v>
      </c>
      <c r="F566" s="48" t="s">
        <v>141</v>
      </c>
      <c r="G566" s="46" t="s">
        <v>1481</v>
      </c>
      <c r="H566" s="81">
        <v>29844</v>
      </c>
      <c r="I566" s="49">
        <v>2022</v>
      </c>
      <c r="K566" s="81"/>
    </row>
    <row r="567" spans="1:11" ht="28.5" x14ac:dyDescent="0.2">
      <c r="A567" s="46" t="s">
        <v>205</v>
      </c>
      <c r="B567" s="46" t="s">
        <v>95</v>
      </c>
      <c r="C567" s="46" t="s">
        <v>31</v>
      </c>
      <c r="D567" s="46" t="s">
        <v>257</v>
      </c>
      <c r="E567" s="52" t="s">
        <v>43</v>
      </c>
      <c r="F567" s="46" t="s">
        <v>219</v>
      </c>
      <c r="G567" s="46" t="s">
        <v>1153</v>
      </c>
      <c r="H567" s="66">
        <v>24257</v>
      </c>
      <c r="I567" s="47">
        <v>2007</v>
      </c>
      <c r="J567" s="46"/>
      <c r="K567" s="48"/>
    </row>
    <row r="568" spans="1:11" ht="71.25" x14ac:dyDescent="0.2">
      <c r="A568" s="46" t="s">
        <v>205</v>
      </c>
      <c r="B568" s="46" t="s">
        <v>95</v>
      </c>
      <c r="C568" s="46" t="s">
        <v>31</v>
      </c>
      <c r="D568" s="46" t="s">
        <v>258</v>
      </c>
      <c r="E568" s="52" t="s">
        <v>43</v>
      </c>
      <c r="F568" s="46" t="s">
        <v>219</v>
      </c>
      <c r="G568" s="46" t="s">
        <v>259</v>
      </c>
      <c r="H568" s="66">
        <v>7907</v>
      </c>
      <c r="I568" s="47">
        <v>2007</v>
      </c>
      <c r="J568" s="46"/>
      <c r="K568" s="48"/>
    </row>
    <row r="569" spans="1:11" ht="28.5" x14ac:dyDescent="0.2">
      <c r="A569" s="46" t="s">
        <v>205</v>
      </c>
      <c r="B569" s="46" t="s">
        <v>95</v>
      </c>
      <c r="C569" s="46" t="s">
        <v>31</v>
      </c>
      <c r="D569" s="46" t="s">
        <v>254</v>
      </c>
      <c r="E569" s="52" t="s">
        <v>43</v>
      </c>
      <c r="F569" s="46" t="s">
        <v>219</v>
      </c>
      <c r="G569" s="46" t="s">
        <v>253</v>
      </c>
      <c r="H569" s="66">
        <v>1830</v>
      </c>
      <c r="I569" s="47">
        <v>2009</v>
      </c>
      <c r="J569" s="46"/>
      <c r="K569" s="48"/>
    </row>
    <row r="570" spans="1:11" ht="71.25" x14ac:dyDescent="0.2">
      <c r="A570" s="46" t="s">
        <v>205</v>
      </c>
      <c r="B570" s="46" t="s">
        <v>95</v>
      </c>
      <c r="C570" s="46" t="s">
        <v>31</v>
      </c>
      <c r="D570" s="46" t="s">
        <v>256</v>
      </c>
      <c r="E570" s="52" t="s">
        <v>43</v>
      </c>
      <c r="F570" s="46" t="s">
        <v>219</v>
      </c>
      <c r="G570" s="46" t="s">
        <v>255</v>
      </c>
      <c r="H570" s="66">
        <v>12348</v>
      </c>
      <c r="I570" s="47">
        <v>2009</v>
      </c>
      <c r="J570" s="46"/>
      <c r="K570" s="48"/>
    </row>
    <row r="571" spans="1:11" ht="28.5" x14ac:dyDescent="0.2">
      <c r="A571" s="46" t="s">
        <v>204</v>
      </c>
      <c r="B571" s="46" t="s">
        <v>95</v>
      </c>
      <c r="C571" s="46" t="s">
        <v>40</v>
      </c>
      <c r="D571" s="46" t="s">
        <v>1471</v>
      </c>
      <c r="E571" s="52" t="s">
        <v>43</v>
      </c>
      <c r="F571" s="53" t="s">
        <v>240</v>
      </c>
      <c r="G571" s="46" t="s">
        <v>1456</v>
      </c>
      <c r="H571" s="67">
        <v>2836</v>
      </c>
      <c r="I571" s="49">
        <v>2022</v>
      </c>
      <c r="K571" s="81"/>
    </row>
    <row r="572" spans="1:11" ht="71.25" x14ac:dyDescent="0.2">
      <c r="A572" s="46" t="s">
        <v>205</v>
      </c>
      <c r="B572" s="46" t="s">
        <v>95</v>
      </c>
      <c r="C572" s="46" t="s">
        <v>35</v>
      </c>
      <c r="D572" s="46" t="s">
        <v>413</v>
      </c>
      <c r="E572" s="52" t="s">
        <v>115</v>
      </c>
      <c r="F572" s="46" t="s">
        <v>141</v>
      </c>
      <c r="G572" s="46" t="s">
        <v>423</v>
      </c>
      <c r="H572" s="66">
        <v>105999</v>
      </c>
      <c r="I572" s="47">
        <v>2016</v>
      </c>
      <c r="J572" s="46"/>
      <c r="K572" s="48"/>
    </row>
    <row r="573" spans="1:11" ht="71.25" x14ac:dyDescent="0.2">
      <c r="A573" s="46" t="s">
        <v>205</v>
      </c>
      <c r="B573" s="46" t="s">
        <v>95</v>
      </c>
      <c r="C573" s="46" t="s">
        <v>35</v>
      </c>
      <c r="D573" s="46" t="s">
        <v>412</v>
      </c>
      <c r="E573" s="52" t="s">
        <v>115</v>
      </c>
      <c r="F573" s="46" t="s">
        <v>219</v>
      </c>
      <c r="G573" s="46" t="s">
        <v>422</v>
      </c>
      <c r="H573" s="66">
        <v>126612</v>
      </c>
      <c r="I573" s="47">
        <v>2016</v>
      </c>
      <c r="J573" s="46"/>
      <c r="K573" s="48"/>
    </row>
    <row r="574" spans="1:11" ht="71.25" x14ac:dyDescent="0.2">
      <c r="A574" s="48" t="s">
        <v>205</v>
      </c>
      <c r="B574" s="48" t="s">
        <v>95</v>
      </c>
      <c r="C574" s="48" t="s">
        <v>35</v>
      </c>
      <c r="D574" s="48" t="s">
        <v>414</v>
      </c>
      <c r="E574" s="53" t="s">
        <v>115</v>
      </c>
      <c r="F574" s="48" t="s">
        <v>240</v>
      </c>
      <c r="G574" s="46" t="s">
        <v>424</v>
      </c>
      <c r="H574" s="67">
        <v>164833</v>
      </c>
      <c r="I574" s="49">
        <v>2016</v>
      </c>
      <c r="K574" s="48"/>
    </row>
    <row r="575" spans="1:11" ht="99.75" x14ac:dyDescent="0.2">
      <c r="A575" s="48" t="s">
        <v>205</v>
      </c>
      <c r="B575" s="48" t="s">
        <v>116</v>
      </c>
      <c r="C575" s="48" t="s">
        <v>132</v>
      </c>
      <c r="D575" s="48" t="s">
        <v>395</v>
      </c>
      <c r="E575" s="53" t="s">
        <v>115</v>
      </c>
      <c r="F575" s="48" t="s">
        <v>141</v>
      </c>
      <c r="G575" s="46" t="s">
        <v>398</v>
      </c>
      <c r="H575" s="67">
        <v>68583</v>
      </c>
      <c r="I575" s="49">
        <v>2012</v>
      </c>
      <c r="J575" s="46" t="s">
        <v>1511</v>
      </c>
      <c r="K575" s="48"/>
    </row>
    <row r="576" spans="1:11" ht="128.25" x14ac:dyDescent="0.2">
      <c r="A576" s="46" t="s">
        <v>205</v>
      </c>
      <c r="B576" s="46" t="s">
        <v>116</v>
      </c>
      <c r="C576" s="46" t="s">
        <v>132</v>
      </c>
      <c r="D576" s="46" t="s">
        <v>396</v>
      </c>
      <c r="E576" s="52" t="s">
        <v>115</v>
      </c>
      <c r="F576" s="46" t="s">
        <v>219</v>
      </c>
      <c r="G576" s="46" t="s">
        <v>399</v>
      </c>
      <c r="H576" s="66">
        <v>83425</v>
      </c>
      <c r="I576" s="47">
        <v>2012</v>
      </c>
      <c r="J576" s="46"/>
      <c r="K576" s="48"/>
    </row>
    <row r="577" spans="1:11" ht="114" x14ac:dyDescent="0.2">
      <c r="A577" s="48" t="s">
        <v>205</v>
      </c>
      <c r="B577" s="48" t="s">
        <v>116</v>
      </c>
      <c r="C577" s="48" t="s">
        <v>132</v>
      </c>
      <c r="D577" s="46" t="s">
        <v>397</v>
      </c>
      <c r="E577" s="53" t="s">
        <v>115</v>
      </c>
      <c r="F577" s="48" t="s">
        <v>240</v>
      </c>
      <c r="G577" s="46" t="s">
        <v>400</v>
      </c>
      <c r="H577" s="67">
        <v>127797</v>
      </c>
      <c r="I577" s="49">
        <v>2012</v>
      </c>
      <c r="K577" s="48"/>
    </row>
    <row r="578" spans="1:11" ht="85.5" x14ac:dyDescent="0.2">
      <c r="A578" s="48" t="s">
        <v>205</v>
      </c>
      <c r="B578" s="48" t="s">
        <v>116</v>
      </c>
      <c r="C578" s="48" t="s">
        <v>132</v>
      </c>
      <c r="D578" s="48" t="s">
        <v>584</v>
      </c>
      <c r="E578" s="53" t="s">
        <v>115</v>
      </c>
      <c r="F578" s="48" t="s">
        <v>141</v>
      </c>
      <c r="G578" s="46" t="s">
        <v>582</v>
      </c>
      <c r="H578" s="67">
        <v>25622</v>
      </c>
      <c r="I578" s="49">
        <v>2016</v>
      </c>
      <c r="K578" s="48"/>
    </row>
    <row r="579" spans="1:11" ht="85.5" x14ac:dyDescent="0.2">
      <c r="A579" s="48" t="s">
        <v>205</v>
      </c>
      <c r="B579" s="48" t="s">
        <v>116</v>
      </c>
      <c r="C579" s="48" t="s">
        <v>132</v>
      </c>
      <c r="D579" s="48" t="s">
        <v>580</v>
      </c>
      <c r="E579" s="53" t="s">
        <v>115</v>
      </c>
      <c r="F579" s="48" t="s">
        <v>219</v>
      </c>
      <c r="G579" s="46" t="s">
        <v>579</v>
      </c>
      <c r="H579" s="67">
        <v>28074</v>
      </c>
      <c r="I579" s="49">
        <v>2016</v>
      </c>
      <c r="K579" s="48"/>
    </row>
    <row r="580" spans="1:11" ht="114" x14ac:dyDescent="0.2">
      <c r="A580" s="46" t="s">
        <v>205</v>
      </c>
      <c r="B580" s="46" t="s">
        <v>95</v>
      </c>
      <c r="C580" s="46" t="s">
        <v>33</v>
      </c>
      <c r="D580" s="46" t="s">
        <v>261</v>
      </c>
      <c r="E580" s="52" t="s">
        <v>43</v>
      </c>
      <c r="F580" s="46" t="s">
        <v>219</v>
      </c>
      <c r="G580" s="46" t="s">
        <v>260</v>
      </c>
      <c r="H580" s="66">
        <v>18294</v>
      </c>
      <c r="I580" s="47">
        <v>2002</v>
      </c>
      <c r="J580" s="46"/>
      <c r="K580" s="48"/>
    </row>
    <row r="581" spans="1:11" ht="71.25" x14ac:dyDescent="0.2">
      <c r="A581" s="46" t="s">
        <v>205</v>
      </c>
      <c r="B581" s="46" t="s">
        <v>95</v>
      </c>
      <c r="C581" s="46" t="s">
        <v>33</v>
      </c>
      <c r="D581" s="46" t="s">
        <v>430</v>
      </c>
      <c r="E581" s="52" t="s">
        <v>43</v>
      </c>
      <c r="F581" s="46" t="s">
        <v>219</v>
      </c>
      <c r="G581" s="46" t="s">
        <v>429</v>
      </c>
      <c r="H581" s="66">
        <v>25955</v>
      </c>
      <c r="I581" s="47">
        <v>2007</v>
      </c>
      <c r="J581" s="46"/>
      <c r="K581" s="48"/>
    </row>
    <row r="582" spans="1:11" ht="57" x14ac:dyDescent="0.2">
      <c r="A582" s="46" t="s">
        <v>205</v>
      </c>
      <c r="B582" s="46" t="s">
        <v>95</v>
      </c>
      <c r="C582" s="46" t="s">
        <v>33</v>
      </c>
      <c r="D582" s="46" t="s">
        <v>434</v>
      </c>
      <c r="E582" s="52" t="s">
        <v>43</v>
      </c>
      <c r="F582" s="46" t="s">
        <v>219</v>
      </c>
      <c r="G582" s="46" t="s">
        <v>433</v>
      </c>
      <c r="H582" s="66">
        <v>30305</v>
      </c>
      <c r="I582" s="47">
        <v>2010</v>
      </c>
      <c r="J582" s="46"/>
      <c r="K582" s="48"/>
    </row>
    <row r="583" spans="1:11" ht="42.75" x14ac:dyDescent="0.2">
      <c r="A583" s="46" t="s">
        <v>205</v>
      </c>
      <c r="B583" s="46" t="s">
        <v>95</v>
      </c>
      <c r="C583" s="46" t="s">
        <v>33</v>
      </c>
      <c r="D583" s="46" t="s">
        <v>438</v>
      </c>
      <c r="E583" s="52" t="s">
        <v>43</v>
      </c>
      <c r="F583" s="46" t="s">
        <v>219</v>
      </c>
      <c r="G583" s="46" t="s">
        <v>437</v>
      </c>
      <c r="H583" s="66">
        <v>21001</v>
      </c>
      <c r="I583" s="47">
        <v>2010</v>
      </c>
      <c r="J583" s="46"/>
      <c r="K583" s="48"/>
    </row>
    <row r="584" spans="1:11" ht="42.75" x14ac:dyDescent="0.2">
      <c r="A584" s="46" t="s">
        <v>205</v>
      </c>
      <c r="B584" s="46" t="s">
        <v>95</v>
      </c>
      <c r="C584" s="46" t="s">
        <v>33</v>
      </c>
      <c r="D584" s="46" t="s">
        <v>440</v>
      </c>
      <c r="E584" s="52" t="s">
        <v>43</v>
      </c>
      <c r="F584" s="46" t="s">
        <v>219</v>
      </c>
      <c r="G584" s="46" t="s">
        <v>439</v>
      </c>
      <c r="H584" s="66">
        <v>7699</v>
      </c>
      <c r="I584" s="47">
        <v>2010</v>
      </c>
      <c r="J584" s="46"/>
      <c r="K584" s="48"/>
    </row>
    <row r="585" spans="1:11" ht="57" x14ac:dyDescent="0.2">
      <c r="A585" s="46" t="s">
        <v>205</v>
      </c>
      <c r="B585" s="46" t="s">
        <v>95</v>
      </c>
      <c r="C585" s="46" t="s">
        <v>33</v>
      </c>
      <c r="D585" s="46" t="s">
        <v>442</v>
      </c>
      <c r="E585" s="52" t="s">
        <v>43</v>
      </c>
      <c r="F585" s="46" t="s">
        <v>219</v>
      </c>
      <c r="G585" s="46" t="s">
        <v>441</v>
      </c>
      <c r="H585" s="66">
        <v>25637</v>
      </c>
      <c r="I585" s="47">
        <v>2010</v>
      </c>
      <c r="J585" s="46"/>
      <c r="K585" s="48"/>
    </row>
    <row r="586" spans="1:11" ht="71.25" x14ac:dyDescent="0.2">
      <c r="A586" s="46" t="s">
        <v>205</v>
      </c>
      <c r="B586" s="46" t="s">
        <v>95</v>
      </c>
      <c r="C586" s="46" t="s">
        <v>33</v>
      </c>
      <c r="D586" s="46" t="s">
        <v>444</v>
      </c>
      <c r="E586" s="52" t="s">
        <v>43</v>
      </c>
      <c r="F586" s="46" t="s">
        <v>219</v>
      </c>
      <c r="G586" s="46" t="s">
        <v>443</v>
      </c>
      <c r="H586" s="66">
        <v>23330</v>
      </c>
      <c r="I586" s="47">
        <v>2010</v>
      </c>
      <c r="J586" s="46"/>
      <c r="K586" s="48"/>
    </row>
    <row r="587" spans="1:11" ht="71.25" x14ac:dyDescent="0.2">
      <c r="A587" s="46" t="s">
        <v>205</v>
      </c>
      <c r="B587" s="46" t="s">
        <v>95</v>
      </c>
      <c r="C587" s="46" t="s">
        <v>33</v>
      </c>
      <c r="D587" s="46" t="s">
        <v>446</v>
      </c>
      <c r="E587" s="52" t="s">
        <v>43</v>
      </c>
      <c r="F587" s="46" t="s">
        <v>219</v>
      </c>
      <c r="G587" s="46" t="s">
        <v>445</v>
      </c>
      <c r="H587" s="66">
        <v>21139</v>
      </c>
      <c r="I587" s="47">
        <v>2010</v>
      </c>
      <c r="J587" s="46"/>
      <c r="K587" s="48"/>
    </row>
    <row r="588" spans="1:11" ht="71.25" x14ac:dyDescent="0.2">
      <c r="A588" s="46" t="s">
        <v>205</v>
      </c>
      <c r="B588" s="46" t="s">
        <v>95</v>
      </c>
      <c r="C588" s="46" t="s">
        <v>33</v>
      </c>
      <c r="D588" s="46" t="s">
        <v>436</v>
      </c>
      <c r="E588" s="52" t="s">
        <v>43</v>
      </c>
      <c r="F588" s="46" t="s">
        <v>219</v>
      </c>
      <c r="G588" s="46" t="s">
        <v>435</v>
      </c>
      <c r="H588" s="66">
        <v>36944</v>
      </c>
      <c r="I588" s="47">
        <v>2012</v>
      </c>
      <c r="J588" s="46"/>
      <c r="K588" s="48"/>
    </row>
    <row r="589" spans="1:11" ht="57" x14ac:dyDescent="0.2">
      <c r="A589" s="46" t="s">
        <v>205</v>
      </c>
      <c r="B589" s="46" t="s">
        <v>95</v>
      </c>
      <c r="C589" s="46" t="s">
        <v>33</v>
      </c>
      <c r="D589" s="46" t="s">
        <v>448</v>
      </c>
      <c r="E589" s="52" t="s">
        <v>43</v>
      </c>
      <c r="F589" s="46" t="s">
        <v>219</v>
      </c>
      <c r="G589" s="46" t="s">
        <v>447</v>
      </c>
      <c r="H589" s="66">
        <v>6608</v>
      </c>
      <c r="I589" s="47">
        <v>2012</v>
      </c>
      <c r="J589" s="46"/>
      <c r="K589" s="48"/>
    </row>
    <row r="590" spans="1:11" ht="71.25" x14ac:dyDescent="0.2">
      <c r="A590" s="46" t="s">
        <v>205</v>
      </c>
      <c r="B590" s="46" t="s">
        <v>95</v>
      </c>
      <c r="C590" s="46" t="s">
        <v>33</v>
      </c>
      <c r="D590" s="46" t="s">
        <v>450</v>
      </c>
      <c r="E590" s="52" t="s">
        <v>43</v>
      </c>
      <c r="F590" s="46" t="s">
        <v>219</v>
      </c>
      <c r="G590" s="46" t="s">
        <v>449</v>
      </c>
      <c r="H590" s="66">
        <v>10728</v>
      </c>
      <c r="I590" s="47">
        <v>2013</v>
      </c>
      <c r="J590" s="46"/>
      <c r="K590" s="48"/>
    </row>
    <row r="591" spans="1:11" ht="85.5" x14ac:dyDescent="0.2">
      <c r="A591" s="46" t="s">
        <v>205</v>
      </c>
      <c r="B591" s="46" t="s">
        <v>95</v>
      </c>
      <c r="C591" s="46" t="s">
        <v>33</v>
      </c>
      <c r="D591" s="46" t="s">
        <v>432</v>
      </c>
      <c r="E591" s="52" t="s">
        <v>43</v>
      </c>
      <c r="F591" s="46" t="s">
        <v>219</v>
      </c>
      <c r="G591" s="46" t="s">
        <v>431</v>
      </c>
      <c r="H591" s="66">
        <v>4878</v>
      </c>
      <c r="I591" s="47">
        <v>2017</v>
      </c>
      <c r="J591" s="46"/>
      <c r="K591" s="48"/>
    </row>
    <row r="592" spans="1:11" ht="99.75" x14ac:dyDescent="0.2">
      <c r="A592" s="48" t="s">
        <v>205</v>
      </c>
      <c r="B592" s="48" t="s">
        <v>116</v>
      </c>
      <c r="C592" s="48" t="s">
        <v>132</v>
      </c>
      <c r="D592" s="48" t="s">
        <v>583</v>
      </c>
      <c r="E592" s="53" t="s">
        <v>115</v>
      </c>
      <c r="F592" s="48" t="s">
        <v>240</v>
      </c>
      <c r="G592" s="46" t="s">
        <v>581</v>
      </c>
      <c r="H592" s="67">
        <v>29136</v>
      </c>
      <c r="I592" s="49">
        <v>2016</v>
      </c>
      <c r="K592" s="48"/>
    </row>
    <row r="593" spans="1:11" x14ac:dyDescent="0.2">
      <c r="A593" s="48" t="s">
        <v>205</v>
      </c>
      <c r="B593" s="48" t="s">
        <v>95</v>
      </c>
      <c r="C593" s="48" t="s">
        <v>38</v>
      </c>
      <c r="D593" s="48" t="s">
        <v>591</v>
      </c>
      <c r="E593" s="53" t="s">
        <v>43</v>
      </c>
      <c r="F593" s="48" t="s">
        <v>240</v>
      </c>
      <c r="G593" s="46" t="s">
        <v>590</v>
      </c>
      <c r="H593" s="67">
        <v>3412</v>
      </c>
      <c r="I593" s="49">
        <v>2020</v>
      </c>
      <c r="K593" s="48"/>
    </row>
    <row r="594" spans="1:11" ht="28.5" x14ac:dyDescent="0.2">
      <c r="A594" s="46" t="s">
        <v>139</v>
      </c>
      <c r="B594" s="46" t="s">
        <v>95</v>
      </c>
      <c r="C594" s="46" t="s">
        <v>38</v>
      </c>
      <c r="D594" s="46" t="s">
        <v>325</v>
      </c>
      <c r="E594" s="52" t="s">
        <v>43</v>
      </c>
      <c r="F594" s="46" t="s">
        <v>240</v>
      </c>
      <c r="G594" s="46" t="s">
        <v>326</v>
      </c>
      <c r="H594" s="66">
        <v>46193</v>
      </c>
      <c r="I594" s="47">
        <v>2014</v>
      </c>
      <c r="J594" s="46"/>
      <c r="K594" s="48"/>
    </row>
    <row r="595" spans="1:11" ht="28.5" x14ac:dyDescent="0.2">
      <c r="A595" s="46" t="s">
        <v>139</v>
      </c>
      <c r="B595" s="46" t="s">
        <v>95</v>
      </c>
      <c r="C595" s="46" t="s">
        <v>31</v>
      </c>
      <c r="D595" s="46" t="s">
        <v>272</v>
      </c>
      <c r="E595" s="52" t="s">
        <v>43</v>
      </c>
      <c r="F595" s="46" t="s">
        <v>219</v>
      </c>
      <c r="G595" s="46" t="s">
        <v>271</v>
      </c>
      <c r="H595" s="81">
        <v>159050</v>
      </c>
      <c r="I595" s="47">
        <v>2015</v>
      </c>
      <c r="J595" s="46"/>
      <c r="K595" s="48"/>
    </row>
    <row r="596" spans="1:11" ht="28.5" x14ac:dyDescent="0.2">
      <c r="A596" s="46" t="s">
        <v>139</v>
      </c>
      <c r="B596" s="46" t="s">
        <v>94</v>
      </c>
      <c r="C596" s="46" t="s">
        <v>29</v>
      </c>
      <c r="D596" s="46" t="s">
        <v>168</v>
      </c>
      <c r="E596" s="52" t="s">
        <v>43</v>
      </c>
      <c r="F596" s="46" t="s">
        <v>141</v>
      </c>
      <c r="G596" s="46" t="s">
        <v>167</v>
      </c>
      <c r="H596" s="66">
        <v>547216</v>
      </c>
      <c r="I596" s="47">
        <v>2014</v>
      </c>
      <c r="J596" s="86" t="s">
        <v>1485</v>
      </c>
      <c r="K596" s="48"/>
    </row>
    <row r="597" spans="1:11" x14ac:dyDescent="0.2">
      <c r="A597" s="48" t="s">
        <v>139</v>
      </c>
      <c r="B597" s="48" t="s">
        <v>94</v>
      </c>
      <c r="C597" s="48" t="s">
        <v>29</v>
      </c>
      <c r="D597" s="46" t="s">
        <v>954</v>
      </c>
      <c r="E597" s="80" t="s">
        <v>43</v>
      </c>
      <c r="F597" s="53" t="s">
        <v>141</v>
      </c>
      <c r="G597" s="46" t="s">
        <v>953</v>
      </c>
      <c r="H597" s="67">
        <v>7191</v>
      </c>
      <c r="I597" s="49">
        <v>2018</v>
      </c>
      <c r="K597" s="81"/>
    </row>
    <row r="598" spans="1:11" ht="42.75" x14ac:dyDescent="0.2">
      <c r="A598" s="46" t="s">
        <v>139</v>
      </c>
      <c r="B598" s="46" t="s">
        <v>95</v>
      </c>
      <c r="C598" s="46" t="s">
        <v>38</v>
      </c>
      <c r="D598" s="46" t="s">
        <v>302</v>
      </c>
      <c r="E598" s="52" t="s">
        <v>43</v>
      </c>
      <c r="F598" s="46" t="s">
        <v>240</v>
      </c>
      <c r="G598" s="46" t="s">
        <v>301</v>
      </c>
      <c r="H598" s="66">
        <v>329934</v>
      </c>
      <c r="I598" s="47">
        <v>2018</v>
      </c>
      <c r="J598" s="46"/>
      <c r="K598" s="48"/>
    </row>
    <row r="599" spans="1:11" ht="28.5" x14ac:dyDescent="0.2">
      <c r="A599" s="46" t="s">
        <v>139</v>
      </c>
      <c r="B599" s="46" t="s">
        <v>95</v>
      </c>
      <c r="C599" s="46" t="s">
        <v>34</v>
      </c>
      <c r="D599" s="46" t="s">
        <v>304</v>
      </c>
      <c r="E599" s="52" t="s">
        <v>43</v>
      </c>
      <c r="F599" s="46" t="s">
        <v>240</v>
      </c>
      <c r="G599" s="46" t="s">
        <v>303</v>
      </c>
      <c r="H599" s="66">
        <v>44513</v>
      </c>
      <c r="I599" s="47">
        <v>2014</v>
      </c>
      <c r="J599" s="46"/>
      <c r="K599" s="48"/>
    </row>
    <row r="600" spans="1:11" ht="28.5" x14ac:dyDescent="0.2">
      <c r="A600" s="46" t="s">
        <v>139</v>
      </c>
      <c r="B600" s="46" t="s">
        <v>116</v>
      </c>
      <c r="C600" s="46" t="s">
        <v>47</v>
      </c>
      <c r="D600" s="46" t="s">
        <v>166</v>
      </c>
      <c r="E600" s="52" t="s">
        <v>115</v>
      </c>
      <c r="F600" s="46" t="s">
        <v>141</v>
      </c>
      <c r="G600" s="46" t="s">
        <v>165</v>
      </c>
      <c r="H600" s="66">
        <v>19978</v>
      </c>
      <c r="I600" s="47">
        <v>2020</v>
      </c>
      <c r="J600" s="46"/>
      <c r="K600" s="48"/>
    </row>
    <row r="601" spans="1:11" x14ac:dyDescent="0.2">
      <c r="A601" s="46" t="s">
        <v>139</v>
      </c>
      <c r="B601" s="46" t="s">
        <v>94</v>
      </c>
      <c r="C601" s="46" t="s">
        <v>91</v>
      </c>
      <c r="D601" s="46" t="s">
        <v>164</v>
      </c>
      <c r="E601" s="52" t="s">
        <v>43</v>
      </c>
      <c r="F601" s="46" t="s">
        <v>141</v>
      </c>
      <c r="G601" s="46" t="s">
        <v>163</v>
      </c>
      <c r="H601" s="66">
        <v>24004</v>
      </c>
      <c r="I601" s="47">
        <v>2014</v>
      </c>
      <c r="J601" s="46"/>
      <c r="K601" s="48"/>
    </row>
    <row r="602" spans="1:11" x14ac:dyDescent="0.2">
      <c r="A602" s="46" t="s">
        <v>139</v>
      </c>
      <c r="B602" s="46" t="s">
        <v>94</v>
      </c>
      <c r="C602" s="46" t="s">
        <v>91</v>
      </c>
      <c r="D602" s="46" t="s">
        <v>162</v>
      </c>
      <c r="E602" s="52" t="s">
        <v>43</v>
      </c>
      <c r="F602" s="46" t="s">
        <v>141</v>
      </c>
      <c r="G602" s="46" t="s">
        <v>161</v>
      </c>
      <c r="H602" s="66">
        <v>35762</v>
      </c>
      <c r="I602" s="47">
        <v>2014</v>
      </c>
      <c r="J602" s="46"/>
      <c r="K602" s="48"/>
    </row>
    <row r="603" spans="1:11" x14ac:dyDescent="0.2">
      <c r="A603" s="48" t="s">
        <v>139</v>
      </c>
      <c r="B603" s="48" t="s">
        <v>94</v>
      </c>
      <c r="C603" s="48" t="s">
        <v>91</v>
      </c>
      <c r="D603" s="46" t="s">
        <v>1151</v>
      </c>
      <c r="E603" s="80" t="s">
        <v>43</v>
      </c>
      <c r="F603" s="53" t="s">
        <v>141</v>
      </c>
      <c r="G603" s="46" t="s">
        <v>1135</v>
      </c>
      <c r="H603" s="67">
        <v>3926</v>
      </c>
      <c r="I603" s="49">
        <v>2015</v>
      </c>
      <c r="K603" s="81"/>
    </row>
    <row r="604" spans="1:11" x14ac:dyDescent="0.2">
      <c r="A604" s="46" t="s">
        <v>139</v>
      </c>
      <c r="B604" s="46" t="s">
        <v>94</v>
      </c>
      <c r="C604" s="46" t="s">
        <v>91</v>
      </c>
      <c r="D604" s="46" t="s">
        <v>160</v>
      </c>
      <c r="E604" s="52" t="s">
        <v>43</v>
      </c>
      <c r="F604" s="46" t="s">
        <v>141</v>
      </c>
      <c r="G604" s="46" t="s">
        <v>159</v>
      </c>
      <c r="H604" s="66">
        <v>11533</v>
      </c>
      <c r="I604" s="47">
        <v>2015</v>
      </c>
      <c r="J604" s="46"/>
      <c r="K604" s="48"/>
    </row>
    <row r="605" spans="1:11" ht="28.5" x14ac:dyDescent="0.2">
      <c r="A605" s="48" t="s">
        <v>139</v>
      </c>
      <c r="B605" s="48" t="s">
        <v>94</v>
      </c>
      <c r="C605" s="48" t="s">
        <v>91</v>
      </c>
      <c r="D605" s="46" t="s">
        <v>1141</v>
      </c>
      <c r="E605" s="80" t="s">
        <v>43</v>
      </c>
      <c r="F605" s="53" t="s">
        <v>141</v>
      </c>
      <c r="G605" s="46" t="s">
        <v>1138</v>
      </c>
      <c r="H605" s="67">
        <v>4466</v>
      </c>
      <c r="I605" s="49">
        <v>2016</v>
      </c>
      <c r="K605" s="81"/>
    </row>
    <row r="606" spans="1:11" ht="28.5" x14ac:dyDescent="0.2">
      <c r="A606" s="48" t="s">
        <v>139</v>
      </c>
      <c r="B606" s="48" t="s">
        <v>94</v>
      </c>
      <c r="C606" s="48" t="s">
        <v>91</v>
      </c>
      <c r="D606" s="46" t="s">
        <v>1147</v>
      </c>
      <c r="E606" s="80" t="s">
        <v>43</v>
      </c>
      <c r="F606" s="53" t="s">
        <v>141</v>
      </c>
      <c r="G606" s="46" t="s">
        <v>1149</v>
      </c>
      <c r="H606" s="67">
        <v>13554</v>
      </c>
      <c r="I606" s="49">
        <v>2017</v>
      </c>
      <c r="K606" s="81"/>
    </row>
    <row r="607" spans="1:11" x14ac:dyDescent="0.2">
      <c r="A607" s="46" t="s">
        <v>139</v>
      </c>
      <c r="B607" s="46" t="s">
        <v>94</v>
      </c>
      <c r="C607" s="46" t="s">
        <v>91</v>
      </c>
      <c r="D607" s="46" t="s">
        <v>158</v>
      </c>
      <c r="E607" s="52" t="s">
        <v>43</v>
      </c>
      <c r="F607" s="46" t="s">
        <v>141</v>
      </c>
      <c r="G607" s="46" t="s">
        <v>157</v>
      </c>
      <c r="H607" s="66">
        <v>13517</v>
      </c>
      <c r="I607" s="47">
        <v>2017</v>
      </c>
      <c r="J607" s="46"/>
      <c r="K607" s="48"/>
    </row>
    <row r="608" spans="1:11" x14ac:dyDescent="0.2">
      <c r="A608" s="46" t="s">
        <v>139</v>
      </c>
      <c r="B608" s="46" t="s">
        <v>94</v>
      </c>
      <c r="C608" s="46" t="s">
        <v>91</v>
      </c>
      <c r="D608" s="46" t="s">
        <v>156</v>
      </c>
      <c r="E608" s="52" t="s">
        <v>43</v>
      </c>
      <c r="F608" s="46" t="s">
        <v>141</v>
      </c>
      <c r="G608" s="46" t="s">
        <v>155</v>
      </c>
      <c r="H608" s="66">
        <v>29797</v>
      </c>
      <c r="I608" s="47">
        <v>2017</v>
      </c>
      <c r="J608" s="46"/>
      <c r="K608" s="48"/>
    </row>
    <row r="609" spans="1:11" x14ac:dyDescent="0.2">
      <c r="A609" s="48" t="s">
        <v>139</v>
      </c>
      <c r="B609" s="48" t="s">
        <v>94</v>
      </c>
      <c r="C609" s="48" t="s">
        <v>91</v>
      </c>
      <c r="D609" s="46" t="s">
        <v>1150</v>
      </c>
      <c r="E609" s="80" t="s">
        <v>43</v>
      </c>
      <c r="F609" s="53" t="s">
        <v>141</v>
      </c>
      <c r="G609" s="46" t="s">
        <v>1148</v>
      </c>
      <c r="H609" s="67">
        <v>36697</v>
      </c>
      <c r="I609" s="49">
        <v>2018</v>
      </c>
      <c r="K609" s="81"/>
    </row>
    <row r="610" spans="1:11" ht="28.5" x14ac:dyDescent="0.2">
      <c r="A610" s="48" t="s">
        <v>139</v>
      </c>
      <c r="B610" s="48" t="s">
        <v>94</v>
      </c>
      <c r="C610" s="48" t="s">
        <v>91</v>
      </c>
      <c r="D610" s="46" t="s">
        <v>1140</v>
      </c>
      <c r="E610" s="80" t="s">
        <v>43</v>
      </c>
      <c r="F610" s="53" t="s">
        <v>141</v>
      </c>
      <c r="G610" s="46" t="s">
        <v>1139</v>
      </c>
      <c r="H610" s="67">
        <v>2327</v>
      </c>
      <c r="I610" s="49">
        <v>2019</v>
      </c>
      <c r="K610" s="81"/>
    </row>
    <row r="611" spans="1:11" ht="28.5" x14ac:dyDescent="0.2">
      <c r="A611" s="48" t="s">
        <v>139</v>
      </c>
      <c r="B611" s="48" t="s">
        <v>94</v>
      </c>
      <c r="C611" s="48" t="s">
        <v>91</v>
      </c>
      <c r="D611" s="46" t="s">
        <v>1142</v>
      </c>
      <c r="E611" s="80" t="s">
        <v>43</v>
      </c>
      <c r="F611" s="53" t="s">
        <v>141</v>
      </c>
      <c r="G611" s="46" t="s">
        <v>1134</v>
      </c>
      <c r="H611" s="67">
        <v>7428</v>
      </c>
      <c r="I611" s="49">
        <v>2019</v>
      </c>
      <c r="K611" s="81"/>
    </row>
    <row r="612" spans="1:11" ht="42.75" x14ac:dyDescent="0.2">
      <c r="A612" s="48" t="s">
        <v>139</v>
      </c>
      <c r="B612" s="48" t="s">
        <v>94</v>
      </c>
      <c r="C612" s="48" t="s">
        <v>91</v>
      </c>
      <c r="D612" s="46" t="s">
        <v>1145</v>
      </c>
      <c r="E612" s="80" t="s">
        <v>43</v>
      </c>
      <c r="F612" s="53" t="s">
        <v>141</v>
      </c>
      <c r="G612" s="46" t="s">
        <v>1144</v>
      </c>
      <c r="H612" s="67">
        <v>59095</v>
      </c>
      <c r="I612" s="49">
        <v>2020</v>
      </c>
      <c r="K612" s="81"/>
    </row>
    <row r="613" spans="1:11" ht="28.5" x14ac:dyDescent="0.2">
      <c r="A613" s="46" t="s">
        <v>139</v>
      </c>
      <c r="B613" s="46" t="s">
        <v>116</v>
      </c>
      <c r="C613" s="46" t="s">
        <v>386</v>
      </c>
      <c r="D613" s="46" t="s">
        <v>270</v>
      </c>
      <c r="E613" s="52" t="s">
        <v>115</v>
      </c>
      <c r="F613" s="46" t="s">
        <v>219</v>
      </c>
      <c r="G613" s="46" t="s">
        <v>269</v>
      </c>
      <c r="H613" s="66">
        <v>2970317</v>
      </c>
      <c r="I613" s="47">
        <v>2013</v>
      </c>
      <c r="J613" s="46" t="s">
        <v>241</v>
      </c>
      <c r="K613" s="48"/>
    </row>
    <row r="614" spans="1:11" ht="28.5" x14ac:dyDescent="0.2">
      <c r="A614" s="46" t="s">
        <v>139</v>
      </c>
      <c r="B614" s="46" t="s">
        <v>116</v>
      </c>
      <c r="C614" s="46" t="s">
        <v>386</v>
      </c>
      <c r="D614" s="46" t="s">
        <v>154</v>
      </c>
      <c r="E614" s="52" t="s">
        <v>115</v>
      </c>
      <c r="F614" s="46" t="s">
        <v>141</v>
      </c>
      <c r="G614" s="46" t="s">
        <v>153</v>
      </c>
      <c r="H614" s="66">
        <v>2509019</v>
      </c>
      <c r="I614" s="47">
        <v>2009</v>
      </c>
      <c r="J614" s="46" t="s">
        <v>144</v>
      </c>
      <c r="K614" s="48"/>
    </row>
    <row r="615" spans="1:11" ht="42.75" x14ac:dyDescent="0.2">
      <c r="A615" s="46" t="s">
        <v>139</v>
      </c>
      <c r="B615" s="46" t="s">
        <v>95</v>
      </c>
      <c r="C615" s="46" t="s">
        <v>35</v>
      </c>
      <c r="D615" s="46" t="s">
        <v>411</v>
      </c>
      <c r="E615" s="52" t="s">
        <v>115</v>
      </c>
      <c r="F615" s="46" t="s">
        <v>141</v>
      </c>
      <c r="G615" s="46" t="s">
        <v>421</v>
      </c>
      <c r="H615" s="66">
        <v>1095526</v>
      </c>
      <c r="I615" s="47">
        <v>2016</v>
      </c>
      <c r="J615" s="46"/>
      <c r="K615" s="48"/>
    </row>
    <row r="616" spans="1:11" ht="42.75" x14ac:dyDescent="0.2">
      <c r="A616" s="46" t="s">
        <v>139</v>
      </c>
      <c r="B616" s="46" t="s">
        <v>95</v>
      </c>
      <c r="C616" s="46" t="s">
        <v>35</v>
      </c>
      <c r="D616" s="46" t="s">
        <v>410</v>
      </c>
      <c r="E616" s="52" t="s">
        <v>115</v>
      </c>
      <c r="F616" s="46" t="s">
        <v>141</v>
      </c>
      <c r="G616" s="46" t="s">
        <v>420</v>
      </c>
      <c r="H616" s="66">
        <v>7706</v>
      </c>
      <c r="I616" s="47">
        <v>2017</v>
      </c>
      <c r="J616" s="46"/>
      <c r="K616" s="48"/>
    </row>
    <row r="617" spans="1:11" ht="42.75" x14ac:dyDescent="0.2">
      <c r="A617" s="46" t="s">
        <v>139</v>
      </c>
      <c r="B617" s="46" t="s">
        <v>95</v>
      </c>
      <c r="C617" s="46" t="s">
        <v>35</v>
      </c>
      <c r="D617" s="46" t="s">
        <v>409</v>
      </c>
      <c r="E617" s="52" t="s">
        <v>115</v>
      </c>
      <c r="F617" s="46" t="s">
        <v>141</v>
      </c>
      <c r="G617" s="46" t="s">
        <v>418</v>
      </c>
      <c r="H617" s="66">
        <v>96712</v>
      </c>
      <c r="I617" s="47">
        <v>2019</v>
      </c>
      <c r="J617" s="46"/>
      <c r="K617" s="48"/>
    </row>
    <row r="618" spans="1:11" ht="42.75" x14ac:dyDescent="0.2">
      <c r="A618" s="46" t="s">
        <v>139</v>
      </c>
      <c r="B618" s="46" t="s">
        <v>95</v>
      </c>
      <c r="C618" s="46" t="s">
        <v>35</v>
      </c>
      <c r="D618" s="46" t="s">
        <v>406</v>
      </c>
      <c r="E618" s="52" t="s">
        <v>115</v>
      </c>
      <c r="F618" s="46" t="s">
        <v>141</v>
      </c>
      <c r="G618" s="46" t="s">
        <v>419</v>
      </c>
      <c r="H618" s="66">
        <v>8435</v>
      </c>
      <c r="I618" s="47">
        <v>2020</v>
      </c>
      <c r="J618" s="46"/>
      <c r="K618" s="48"/>
    </row>
    <row r="619" spans="1:11" ht="42.75" x14ac:dyDescent="0.2">
      <c r="A619" s="46" t="s">
        <v>139</v>
      </c>
      <c r="B619" s="46" t="s">
        <v>95</v>
      </c>
      <c r="C619" s="46" t="s">
        <v>35</v>
      </c>
      <c r="D619" s="46" t="s">
        <v>407</v>
      </c>
      <c r="E619" s="52" t="s">
        <v>115</v>
      </c>
      <c r="F619" s="46" t="s">
        <v>141</v>
      </c>
      <c r="G619" s="46" t="s">
        <v>417</v>
      </c>
      <c r="H619" s="66">
        <v>101618</v>
      </c>
      <c r="I619" s="47">
        <v>2020</v>
      </c>
      <c r="J619" s="46"/>
      <c r="K619" s="48"/>
    </row>
    <row r="620" spans="1:11" ht="42.75" x14ac:dyDescent="0.2">
      <c r="A620" s="46" t="s">
        <v>139</v>
      </c>
      <c r="B620" s="46" t="s">
        <v>95</v>
      </c>
      <c r="C620" s="46" t="s">
        <v>35</v>
      </c>
      <c r="D620" s="46" t="s">
        <v>408</v>
      </c>
      <c r="E620" s="52" t="s">
        <v>115</v>
      </c>
      <c r="F620" s="46" t="s">
        <v>141</v>
      </c>
      <c r="G620" s="46" t="s">
        <v>416</v>
      </c>
      <c r="H620" s="66">
        <v>11091</v>
      </c>
      <c r="I620" s="47">
        <v>2020</v>
      </c>
      <c r="J620" s="46"/>
      <c r="K620" s="48"/>
    </row>
    <row r="621" spans="1:11" x14ac:dyDescent="0.2">
      <c r="A621" s="48" t="s">
        <v>139</v>
      </c>
      <c r="B621" s="48" t="s">
        <v>94</v>
      </c>
      <c r="C621" s="48" t="s">
        <v>36</v>
      </c>
      <c r="D621" s="46" t="s">
        <v>1163</v>
      </c>
      <c r="E621" s="80" t="s">
        <v>115</v>
      </c>
      <c r="F621" s="53" t="s">
        <v>141</v>
      </c>
      <c r="G621" s="46" t="s">
        <v>1167</v>
      </c>
      <c r="H621" s="67">
        <v>99445</v>
      </c>
      <c r="I621" s="49">
        <v>2021</v>
      </c>
      <c r="K621" s="81"/>
    </row>
    <row r="622" spans="1:11" x14ac:dyDescent="0.2">
      <c r="A622" s="48" t="s">
        <v>139</v>
      </c>
      <c r="B622" s="48" t="s">
        <v>94</v>
      </c>
      <c r="C622" s="48" t="s">
        <v>36</v>
      </c>
      <c r="D622" s="46" t="s">
        <v>1168</v>
      </c>
      <c r="E622" s="80" t="s">
        <v>115</v>
      </c>
      <c r="F622" s="53" t="s">
        <v>141</v>
      </c>
      <c r="G622" s="46" t="s">
        <v>1169</v>
      </c>
      <c r="H622" s="67">
        <v>109206</v>
      </c>
      <c r="I622" s="49">
        <v>2022</v>
      </c>
      <c r="K622" s="81"/>
    </row>
    <row r="623" spans="1:11" ht="28.5" x14ac:dyDescent="0.2">
      <c r="A623" s="46" t="s">
        <v>139</v>
      </c>
      <c r="B623" s="46" t="s">
        <v>116</v>
      </c>
      <c r="C623" s="46" t="s">
        <v>37</v>
      </c>
      <c r="D623" s="46" t="s">
        <v>140</v>
      </c>
      <c r="E623" s="52" t="s">
        <v>115</v>
      </c>
      <c r="F623" s="46" t="s">
        <v>141</v>
      </c>
      <c r="G623" s="46" t="s">
        <v>142</v>
      </c>
      <c r="H623" s="66">
        <v>1162113</v>
      </c>
      <c r="I623" s="47">
        <v>2009</v>
      </c>
      <c r="J623" s="46" t="s">
        <v>144</v>
      </c>
      <c r="K623" s="48"/>
    </row>
    <row r="624" spans="1:11" ht="28.5" x14ac:dyDescent="0.2">
      <c r="A624" s="46" t="s">
        <v>139</v>
      </c>
      <c r="B624" s="46" t="s">
        <v>116</v>
      </c>
      <c r="C624" s="46" t="s">
        <v>37</v>
      </c>
      <c r="D624" s="46" t="s">
        <v>264</v>
      </c>
      <c r="E624" s="52" t="s">
        <v>115</v>
      </c>
      <c r="F624" s="46" t="s">
        <v>219</v>
      </c>
      <c r="G624" s="46" t="s">
        <v>263</v>
      </c>
      <c r="H624" s="66">
        <v>1352740</v>
      </c>
      <c r="I624" s="47">
        <v>2009</v>
      </c>
      <c r="J624" s="46" t="s">
        <v>241</v>
      </c>
      <c r="K624" s="48"/>
    </row>
    <row r="625" spans="1:11" ht="28.5" x14ac:dyDescent="0.2">
      <c r="A625" s="46" t="s">
        <v>139</v>
      </c>
      <c r="B625" s="46" t="s">
        <v>116</v>
      </c>
      <c r="C625" s="46" t="s">
        <v>37</v>
      </c>
      <c r="D625" s="46" t="s">
        <v>146</v>
      </c>
      <c r="E625" s="52" t="s">
        <v>115</v>
      </c>
      <c r="F625" s="46" t="s">
        <v>141</v>
      </c>
      <c r="G625" s="46" t="s">
        <v>145</v>
      </c>
      <c r="H625" s="66">
        <v>1222562</v>
      </c>
      <c r="I625" s="47">
        <v>2014</v>
      </c>
      <c r="J625" s="46" t="s">
        <v>144</v>
      </c>
      <c r="K625" s="48"/>
    </row>
    <row r="626" spans="1:11" ht="28.5" x14ac:dyDescent="0.2">
      <c r="A626" s="46" t="s">
        <v>139</v>
      </c>
      <c r="B626" s="46" t="s">
        <v>116</v>
      </c>
      <c r="C626" s="46" t="s">
        <v>37</v>
      </c>
      <c r="D626" s="46" t="s">
        <v>266</v>
      </c>
      <c r="E626" s="52" t="s">
        <v>115</v>
      </c>
      <c r="F626" s="46" t="s">
        <v>219</v>
      </c>
      <c r="G626" s="46" t="s">
        <v>265</v>
      </c>
      <c r="H626" s="66">
        <v>1473572</v>
      </c>
      <c r="I626" s="47">
        <v>2014</v>
      </c>
      <c r="J626" s="46" t="s">
        <v>241</v>
      </c>
      <c r="K626" s="48"/>
    </row>
    <row r="627" spans="1:11" ht="28.5" x14ac:dyDescent="0.2">
      <c r="A627" s="46" t="s">
        <v>139</v>
      </c>
      <c r="B627" s="46" t="s">
        <v>95</v>
      </c>
      <c r="C627" s="46" t="s">
        <v>33</v>
      </c>
      <c r="D627" s="46" t="s">
        <v>268</v>
      </c>
      <c r="E627" s="52" t="s">
        <v>43</v>
      </c>
      <c r="F627" s="46" t="s">
        <v>219</v>
      </c>
      <c r="G627" s="46" t="s">
        <v>267</v>
      </c>
      <c r="H627" s="66">
        <v>6591</v>
      </c>
      <c r="I627" s="47">
        <v>2020</v>
      </c>
      <c r="J627" s="46"/>
      <c r="K627" s="48"/>
    </row>
    <row r="628" spans="1:11" ht="28.5" x14ac:dyDescent="0.2">
      <c r="A628" s="48" t="s">
        <v>139</v>
      </c>
      <c r="B628" s="48" t="s">
        <v>95</v>
      </c>
      <c r="C628" s="48" t="s">
        <v>34</v>
      </c>
      <c r="D628" s="46" t="s">
        <v>1106</v>
      </c>
      <c r="E628" s="80" t="s">
        <v>43</v>
      </c>
      <c r="F628" s="53" t="s">
        <v>240</v>
      </c>
      <c r="G628" s="46" t="s">
        <v>1105</v>
      </c>
      <c r="H628" s="67">
        <v>24274</v>
      </c>
      <c r="I628" s="49">
        <v>2015</v>
      </c>
      <c r="K628" s="81"/>
    </row>
    <row r="629" spans="1:11" x14ac:dyDescent="0.2">
      <c r="A629" s="46" t="s">
        <v>139</v>
      </c>
      <c r="B629" s="46" t="s">
        <v>94</v>
      </c>
      <c r="C629" s="46" t="s">
        <v>39</v>
      </c>
      <c r="D629" s="46" t="s">
        <v>152</v>
      </c>
      <c r="E629" s="52" t="s">
        <v>43</v>
      </c>
      <c r="F629" s="46" t="s">
        <v>141</v>
      </c>
      <c r="G629" s="46" t="s">
        <v>151</v>
      </c>
      <c r="H629" s="66">
        <v>164213</v>
      </c>
      <c r="I629" s="47">
        <v>2018</v>
      </c>
      <c r="J629" s="46"/>
      <c r="K629" s="48"/>
    </row>
    <row r="630" spans="1:11" x14ac:dyDescent="0.2">
      <c r="A630" s="46" t="s">
        <v>139</v>
      </c>
      <c r="B630" s="46" t="s">
        <v>94</v>
      </c>
      <c r="C630" s="46" t="s">
        <v>39</v>
      </c>
      <c r="D630" s="46" t="s">
        <v>149</v>
      </c>
      <c r="E630" s="52" t="s">
        <v>43</v>
      </c>
      <c r="F630" s="46" t="s">
        <v>141</v>
      </c>
      <c r="G630" s="46" t="s">
        <v>150</v>
      </c>
      <c r="H630" s="66">
        <v>52787</v>
      </c>
      <c r="I630" s="47">
        <v>2020</v>
      </c>
      <c r="J630" s="85"/>
      <c r="K630" s="48"/>
    </row>
    <row r="631" spans="1:11" ht="28.5" x14ac:dyDescent="0.2">
      <c r="A631" s="48" t="s">
        <v>139</v>
      </c>
      <c r="B631" s="48" t="s">
        <v>94</v>
      </c>
      <c r="C631" s="48" t="s">
        <v>387</v>
      </c>
      <c r="D631" s="50" t="s">
        <v>691</v>
      </c>
      <c r="E631" s="53" t="s">
        <v>43</v>
      </c>
      <c r="F631" s="48" t="s">
        <v>141</v>
      </c>
      <c r="G631" s="46" t="s">
        <v>787</v>
      </c>
      <c r="H631" s="81">
        <v>29654</v>
      </c>
      <c r="I631" s="49">
        <v>2015</v>
      </c>
      <c r="K631" s="67"/>
    </row>
    <row r="632" spans="1:11" ht="42.75" x14ac:dyDescent="0.2">
      <c r="A632" s="48" t="s">
        <v>139</v>
      </c>
      <c r="B632" s="48" t="s">
        <v>94</v>
      </c>
      <c r="C632" s="48" t="s">
        <v>387</v>
      </c>
      <c r="D632" s="50" t="s">
        <v>856</v>
      </c>
      <c r="E632" s="53" t="s">
        <v>43</v>
      </c>
      <c r="F632" s="53" t="s">
        <v>219</v>
      </c>
      <c r="G632" s="46" t="s">
        <v>925</v>
      </c>
      <c r="H632" s="61">
        <v>62579</v>
      </c>
      <c r="I632" s="49">
        <v>2015</v>
      </c>
      <c r="K632" s="81"/>
    </row>
    <row r="633" spans="1:11" ht="28.5" x14ac:dyDescent="0.2">
      <c r="A633" s="48" t="s">
        <v>139</v>
      </c>
      <c r="B633" s="48" t="s">
        <v>94</v>
      </c>
      <c r="C633" s="48" t="s">
        <v>387</v>
      </c>
      <c r="D633" s="50" t="s">
        <v>692</v>
      </c>
      <c r="E633" s="53" t="s">
        <v>43</v>
      </c>
      <c r="F633" s="48" t="s">
        <v>141</v>
      </c>
      <c r="G633" s="46" t="s">
        <v>788</v>
      </c>
      <c r="H633" s="81">
        <v>29904</v>
      </c>
      <c r="I633" s="49">
        <v>2015</v>
      </c>
      <c r="K633" s="67"/>
    </row>
    <row r="634" spans="1:11" ht="28.5" x14ac:dyDescent="0.2">
      <c r="A634" s="48" t="s">
        <v>139</v>
      </c>
      <c r="B634" s="48" t="s">
        <v>94</v>
      </c>
      <c r="C634" s="48" t="s">
        <v>387</v>
      </c>
      <c r="D634" s="50" t="s">
        <v>857</v>
      </c>
      <c r="E634" s="53" t="s">
        <v>43</v>
      </c>
      <c r="F634" s="53" t="s">
        <v>219</v>
      </c>
      <c r="G634" s="46" t="s">
        <v>924</v>
      </c>
      <c r="H634" s="61">
        <v>31042</v>
      </c>
      <c r="I634" s="49">
        <v>2015</v>
      </c>
      <c r="K634" s="81"/>
    </row>
    <row r="635" spans="1:11" ht="42.75" x14ac:dyDescent="0.2">
      <c r="A635" s="46" t="s">
        <v>139</v>
      </c>
      <c r="B635" s="46" t="s">
        <v>94</v>
      </c>
      <c r="C635" s="46" t="s">
        <v>387</v>
      </c>
      <c r="D635" s="46" t="s">
        <v>215</v>
      </c>
      <c r="E635" s="52" t="s">
        <v>43</v>
      </c>
      <c r="F635" s="46" t="s">
        <v>141</v>
      </c>
      <c r="G635" s="46" t="s">
        <v>208</v>
      </c>
      <c r="H635" s="66">
        <v>110931</v>
      </c>
      <c r="I635" s="47">
        <v>2016</v>
      </c>
      <c r="J635" s="46"/>
      <c r="K635" s="48"/>
    </row>
    <row r="636" spans="1:11" ht="42.75" x14ac:dyDescent="0.2">
      <c r="A636" s="46" t="s">
        <v>139</v>
      </c>
      <c r="B636" s="46" t="s">
        <v>94</v>
      </c>
      <c r="C636" s="46" t="s">
        <v>387</v>
      </c>
      <c r="D636" s="46" t="s">
        <v>285</v>
      </c>
      <c r="E636" s="52" t="s">
        <v>43</v>
      </c>
      <c r="F636" s="46" t="s">
        <v>219</v>
      </c>
      <c r="G636" s="46" t="s">
        <v>289</v>
      </c>
      <c r="H636" s="66">
        <v>123894</v>
      </c>
      <c r="I636" s="47">
        <v>2016</v>
      </c>
      <c r="J636" s="46" t="s">
        <v>241</v>
      </c>
      <c r="K636" s="48"/>
    </row>
    <row r="637" spans="1:11" ht="42.75" x14ac:dyDescent="0.2">
      <c r="A637" s="46" t="s">
        <v>139</v>
      </c>
      <c r="B637" s="46" t="s">
        <v>94</v>
      </c>
      <c r="C637" s="46" t="s">
        <v>387</v>
      </c>
      <c r="D637" s="46" t="s">
        <v>216</v>
      </c>
      <c r="E637" s="52" t="s">
        <v>43</v>
      </c>
      <c r="F637" s="46" t="s">
        <v>141</v>
      </c>
      <c r="G637" s="46" t="s">
        <v>210</v>
      </c>
      <c r="H637" s="66">
        <v>129218</v>
      </c>
      <c r="I637" s="47">
        <v>2016</v>
      </c>
      <c r="J637" s="46"/>
      <c r="K637" s="48"/>
    </row>
    <row r="638" spans="1:11" ht="42.75" x14ac:dyDescent="0.2">
      <c r="A638" s="46" t="s">
        <v>139</v>
      </c>
      <c r="B638" s="46" t="s">
        <v>94</v>
      </c>
      <c r="C638" s="46" t="s">
        <v>387</v>
      </c>
      <c r="D638" s="46" t="s">
        <v>287</v>
      </c>
      <c r="E638" s="52" t="s">
        <v>43</v>
      </c>
      <c r="F638" s="46" t="s">
        <v>219</v>
      </c>
      <c r="G638" s="46" t="s">
        <v>290</v>
      </c>
      <c r="H638" s="66">
        <v>145812</v>
      </c>
      <c r="I638" s="47">
        <v>2016</v>
      </c>
      <c r="J638" s="46" t="s">
        <v>241</v>
      </c>
      <c r="K638" s="48"/>
    </row>
    <row r="639" spans="1:11" ht="28.5" x14ac:dyDescent="0.2">
      <c r="A639" s="46" t="s">
        <v>139</v>
      </c>
      <c r="B639" s="46" t="s">
        <v>94</v>
      </c>
      <c r="C639" s="46" t="s">
        <v>387</v>
      </c>
      <c r="D639" s="46" t="s">
        <v>217</v>
      </c>
      <c r="E639" s="52" t="s">
        <v>43</v>
      </c>
      <c r="F639" s="46" t="s">
        <v>141</v>
      </c>
      <c r="G639" s="46" t="s">
        <v>209</v>
      </c>
      <c r="H639" s="66">
        <v>145118</v>
      </c>
      <c r="I639" s="47">
        <v>2017</v>
      </c>
      <c r="J639" s="46"/>
      <c r="K639" s="48"/>
    </row>
    <row r="640" spans="1:11" ht="42.75" x14ac:dyDescent="0.2">
      <c r="A640" s="46" t="s">
        <v>139</v>
      </c>
      <c r="B640" s="46" t="s">
        <v>94</v>
      </c>
      <c r="C640" s="46" t="s">
        <v>387</v>
      </c>
      <c r="D640" s="46" t="s">
        <v>288</v>
      </c>
      <c r="E640" s="52" t="s">
        <v>43</v>
      </c>
      <c r="F640" s="46" t="s">
        <v>219</v>
      </c>
      <c r="G640" s="46" t="s">
        <v>286</v>
      </c>
      <c r="H640" s="66">
        <v>170601</v>
      </c>
      <c r="I640" s="47">
        <v>2017</v>
      </c>
      <c r="J640" s="46" t="s">
        <v>241</v>
      </c>
      <c r="K640" s="48"/>
    </row>
    <row r="641" spans="1:11" ht="28.5" x14ac:dyDescent="0.2">
      <c r="A641" s="48" t="s">
        <v>139</v>
      </c>
      <c r="B641" s="48" t="s">
        <v>94</v>
      </c>
      <c r="C641" s="48" t="s">
        <v>387</v>
      </c>
      <c r="D641" s="50" t="s">
        <v>693</v>
      </c>
      <c r="E641" s="53" t="s">
        <v>43</v>
      </c>
      <c r="F641" s="48" t="s">
        <v>141</v>
      </c>
      <c r="G641" s="46" t="s">
        <v>793</v>
      </c>
      <c r="H641" s="81">
        <v>13321</v>
      </c>
      <c r="I641" s="49">
        <v>2020</v>
      </c>
      <c r="K641" s="81"/>
    </row>
    <row r="642" spans="1:11" ht="28.5" x14ac:dyDescent="0.2">
      <c r="A642" s="48" t="s">
        <v>139</v>
      </c>
      <c r="B642" s="48" t="s">
        <v>94</v>
      </c>
      <c r="C642" s="48" t="s">
        <v>387</v>
      </c>
      <c r="D642" s="50" t="s">
        <v>858</v>
      </c>
      <c r="E642" s="53" t="s">
        <v>43</v>
      </c>
      <c r="F642" s="53" t="s">
        <v>219</v>
      </c>
      <c r="G642" s="46" t="s">
        <v>926</v>
      </c>
      <c r="H642" s="61">
        <v>16185</v>
      </c>
      <c r="I642" s="49">
        <v>2020</v>
      </c>
      <c r="K642" s="81"/>
    </row>
    <row r="643" spans="1:11" ht="42.75" x14ac:dyDescent="0.2">
      <c r="A643" s="48" t="s">
        <v>139</v>
      </c>
      <c r="B643" s="48" t="s">
        <v>94</v>
      </c>
      <c r="C643" s="48" t="s">
        <v>387</v>
      </c>
      <c r="D643" s="50" t="s">
        <v>790</v>
      </c>
      <c r="E643" s="53" t="s">
        <v>43</v>
      </c>
      <c r="F643" s="48" t="s">
        <v>141</v>
      </c>
      <c r="G643" s="46" t="s">
        <v>789</v>
      </c>
      <c r="H643" s="81">
        <v>8198</v>
      </c>
      <c r="I643" s="49">
        <v>2021</v>
      </c>
      <c r="K643" s="67"/>
    </row>
    <row r="644" spans="1:11" ht="42.75" x14ac:dyDescent="0.2">
      <c r="A644" s="48" t="s">
        <v>139</v>
      </c>
      <c r="B644" s="48" t="s">
        <v>94</v>
      </c>
      <c r="C644" s="48" t="s">
        <v>387</v>
      </c>
      <c r="D644" s="50" t="s">
        <v>862</v>
      </c>
      <c r="E644" s="53" t="s">
        <v>43</v>
      </c>
      <c r="F644" s="53" t="s">
        <v>219</v>
      </c>
      <c r="G644" s="46" t="s">
        <v>927</v>
      </c>
      <c r="H644" s="61">
        <v>10026</v>
      </c>
      <c r="I644" s="49">
        <v>2021</v>
      </c>
      <c r="K644" s="81"/>
    </row>
    <row r="645" spans="1:11" ht="28.5" x14ac:dyDescent="0.2">
      <c r="A645" s="48" t="s">
        <v>139</v>
      </c>
      <c r="B645" s="48" t="s">
        <v>94</v>
      </c>
      <c r="C645" s="48" t="s">
        <v>387</v>
      </c>
      <c r="D645" s="50" t="s">
        <v>792</v>
      </c>
      <c r="E645" s="53" t="s">
        <v>43</v>
      </c>
      <c r="F645" s="48" t="s">
        <v>141</v>
      </c>
      <c r="G645" s="46" t="s">
        <v>791</v>
      </c>
      <c r="H645" s="81">
        <v>10590</v>
      </c>
      <c r="I645" s="49">
        <v>2021</v>
      </c>
      <c r="K645" s="67"/>
    </row>
    <row r="646" spans="1:11" ht="28.5" x14ac:dyDescent="0.2">
      <c r="A646" s="48" t="s">
        <v>139</v>
      </c>
      <c r="B646" s="48" t="s">
        <v>94</v>
      </c>
      <c r="C646" s="48" t="s">
        <v>387</v>
      </c>
      <c r="D646" s="50" t="s">
        <v>863</v>
      </c>
      <c r="E646" s="53" t="s">
        <v>43</v>
      </c>
      <c r="F646" s="53" t="s">
        <v>219</v>
      </c>
      <c r="G646" s="46" t="s">
        <v>928</v>
      </c>
      <c r="H646" s="61">
        <v>12434</v>
      </c>
      <c r="I646" s="49">
        <v>2021</v>
      </c>
      <c r="K646" s="81"/>
    </row>
    <row r="647" spans="1:11" x14ac:dyDescent="0.2">
      <c r="A647" s="48" t="s">
        <v>139</v>
      </c>
      <c r="B647" s="48" t="s">
        <v>95</v>
      </c>
      <c r="C647" s="48" t="s">
        <v>38</v>
      </c>
      <c r="D647" s="48" t="s">
        <v>593</v>
      </c>
      <c r="E647" s="53" t="s">
        <v>43</v>
      </c>
      <c r="F647" s="48" t="s">
        <v>240</v>
      </c>
      <c r="G647" s="46" t="s">
        <v>592</v>
      </c>
      <c r="H647" s="67">
        <v>8704</v>
      </c>
      <c r="I647" s="49">
        <v>2020</v>
      </c>
      <c r="K647" s="48"/>
    </row>
    <row r="648" spans="1:11" ht="28.5" x14ac:dyDescent="0.2">
      <c r="A648" s="46" t="s">
        <v>139</v>
      </c>
      <c r="B648" s="46" t="s">
        <v>95</v>
      </c>
      <c r="C648" s="46" t="s">
        <v>40</v>
      </c>
      <c r="D648" s="46" t="s">
        <v>305</v>
      </c>
      <c r="E648" s="52" t="s">
        <v>43</v>
      </c>
      <c r="F648" s="46" t="s">
        <v>240</v>
      </c>
      <c r="G648" s="46" t="s">
        <v>306</v>
      </c>
      <c r="H648" s="66">
        <v>113415</v>
      </c>
      <c r="I648" s="47">
        <v>2020</v>
      </c>
      <c r="J648" s="46"/>
      <c r="K648" s="67"/>
    </row>
    <row r="649" spans="1:11" ht="28.5" x14ac:dyDescent="0.2">
      <c r="A649" s="46" t="s">
        <v>139</v>
      </c>
      <c r="B649" s="46" t="s">
        <v>95</v>
      </c>
      <c r="C649" s="46" t="s">
        <v>40</v>
      </c>
      <c r="D649" s="46" t="s">
        <v>275</v>
      </c>
      <c r="E649" s="52" t="s">
        <v>43</v>
      </c>
      <c r="F649" s="46" t="s">
        <v>219</v>
      </c>
      <c r="G649" s="46" t="s">
        <v>276</v>
      </c>
      <c r="H649" s="66">
        <v>125467</v>
      </c>
      <c r="I649" s="47">
        <v>2020</v>
      </c>
      <c r="J649" s="46" t="s">
        <v>241</v>
      </c>
      <c r="K649" s="48"/>
    </row>
    <row r="650" spans="1:11" ht="28.5" x14ac:dyDescent="0.2">
      <c r="A650" s="48" t="s">
        <v>139</v>
      </c>
      <c r="B650" s="48" t="s">
        <v>95</v>
      </c>
      <c r="C650" s="48" t="s">
        <v>40</v>
      </c>
      <c r="D650" s="46" t="s">
        <v>1162</v>
      </c>
      <c r="E650" s="80" t="s">
        <v>43</v>
      </c>
      <c r="F650" s="53" t="s">
        <v>240</v>
      </c>
      <c r="G650" s="84" t="s">
        <v>1170</v>
      </c>
      <c r="H650" s="67">
        <v>394098</v>
      </c>
      <c r="I650" s="49">
        <v>2020</v>
      </c>
      <c r="K650" s="81"/>
    </row>
    <row r="651" spans="1:11" ht="28.5" x14ac:dyDescent="0.2">
      <c r="A651" s="46" t="s">
        <v>139</v>
      </c>
      <c r="B651" s="46" t="s">
        <v>116</v>
      </c>
      <c r="C651" s="46" t="s">
        <v>385</v>
      </c>
      <c r="D651" s="46" t="s">
        <v>148</v>
      </c>
      <c r="E651" s="52" t="s">
        <v>115</v>
      </c>
      <c r="F651" s="46" t="s">
        <v>141</v>
      </c>
      <c r="G651" s="46" t="s">
        <v>147</v>
      </c>
      <c r="H651" s="66">
        <v>531475</v>
      </c>
      <c r="I651" s="47">
        <v>2010</v>
      </c>
      <c r="J651" s="46" t="s">
        <v>144</v>
      </c>
      <c r="K651" s="48"/>
    </row>
    <row r="652" spans="1:11" ht="28.5" x14ac:dyDescent="0.2">
      <c r="A652" s="46" t="s">
        <v>139</v>
      </c>
      <c r="B652" s="46" t="s">
        <v>116</v>
      </c>
      <c r="C652" s="46" t="s">
        <v>385</v>
      </c>
      <c r="D652" s="46" t="s">
        <v>274</v>
      </c>
      <c r="E652" s="52" t="s">
        <v>115</v>
      </c>
      <c r="F652" s="46" t="s">
        <v>219</v>
      </c>
      <c r="G652" s="46" t="s">
        <v>273</v>
      </c>
      <c r="H652" s="66">
        <v>627907</v>
      </c>
      <c r="I652" s="47">
        <v>2013</v>
      </c>
      <c r="J652" s="46" t="s">
        <v>241</v>
      </c>
      <c r="K652" s="48"/>
    </row>
    <row r="653" spans="1:11" ht="28.5" x14ac:dyDescent="0.2">
      <c r="A653" s="48" t="s">
        <v>139</v>
      </c>
      <c r="B653" s="48" t="s">
        <v>116</v>
      </c>
      <c r="C653" s="48" t="s">
        <v>37</v>
      </c>
      <c r="D653" s="46" t="s">
        <v>1475</v>
      </c>
      <c r="E653" s="80" t="s">
        <v>115</v>
      </c>
      <c r="F653" s="53" t="s">
        <v>141</v>
      </c>
      <c r="G653" s="46" t="s">
        <v>1474</v>
      </c>
      <c r="H653" s="67">
        <v>86661</v>
      </c>
      <c r="I653" s="49">
        <v>2020</v>
      </c>
      <c r="K653" s="81"/>
    </row>
    <row r="654" spans="1:11" ht="28.5" x14ac:dyDescent="0.2">
      <c r="A654" s="48" t="s">
        <v>197</v>
      </c>
      <c r="B654" s="48" t="s">
        <v>95</v>
      </c>
      <c r="C654" s="48" t="s">
        <v>40</v>
      </c>
      <c r="D654" s="46" t="s">
        <v>1512</v>
      </c>
      <c r="E654" s="80" t="s">
        <v>43</v>
      </c>
      <c r="F654" s="53" t="s">
        <v>219</v>
      </c>
      <c r="G654" s="46" t="s">
        <v>1514</v>
      </c>
      <c r="H654" s="67">
        <v>8786</v>
      </c>
      <c r="I654" s="49">
        <v>2023</v>
      </c>
      <c r="K654" s="81"/>
    </row>
    <row r="655" spans="1:11" ht="28.5" x14ac:dyDescent="0.2">
      <c r="A655" s="48" t="s">
        <v>139</v>
      </c>
      <c r="B655" s="48" t="s">
        <v>95</v>
      </c>
      <c r="C655" s="48" t="s">
        <v>40</v>
      </c>
      <c r="D655" s="46" t="s">
        <v>1171</v>
      </c>
      <c r="E655" s="80" t="s">
        <v>43</v>
      </c>
      <c r="F655" s="53" t="s">
        <v>240</v>
      </c>
      <c r="G655" s="84" t="s">
        <v>1172</v>
      </c>
      <c r="H655" s="67">
        <v>552289</v>
      </c>
      <c r="I655" s="49">
        <v>2022</v>
      </c>
      <c r="K655" s="81"/>
    </row>
    <row r="656" spans="1:11" ht="28.5" x14ac:dyDescent="0.2">
      <c r="A656" s="48" t="s">
        <v>139</v>
      </c>
      <c r="B656" s="48" t="s">
        <v>116</v>
      </c>
      <c r="C656" s="48" t="s">
        <v>37</v>
      </c>
      <c r="D656" s="46" t="s">
        <v>1521</v>
      </c>
      <c r="E656" s="80" t="s">
        <v>115</v>
      </c>
      <c r="F656" s="53" t="s">
        <v>141</v>
      </c>
      <c r="G656" s="46" t="s">
        <v>1522</v>
      </c>
      <c r="H656" s="67">
        <v>95717</v>
      </c>
      <c r="I656" s="49">
        <v>2018</v>
      </c>
      <c r="K656" s="81"/>
    </row>
    <row r="657" spans="1:11" x14ac:dyDescent="0.2">
      <c r="A657" s="48" t="s">
        <v>204</v>
      </c>
      <c r="B657" s="48" t="s">
        <v>95</v>
      </c>
      <c r="C657" s="48" t="s">
        <v>34</v>
      </c>
      <c r="D657" s="46" t="s">
        <v>1528</v>
      </c>
      <c r="E657" s="80" t="s">
        <v>43</v>
      </c>
      <c r="F657" s="53" t="s">
        <v>240</v>
      </c>
      <c r="G657" s="46" t="s">
        <v>1529</v>
      </c>
      <c r="H657" s="67">
        <v>87791</v>
      </c>
      <c r="I657" s="49">
        <v>2024</v>
      </c>
      <c r="K657" s="81"/>
    </row>
    <row r="658" spans="1:11" x14ac:dyDescent="0.2">
      <c r="E658" s="80"/>
      <c r="I658" s="49"/>
      <c r="K658" s="81"/>
    </row>
    <row r="659" spans="1:11" x14ac:dyDescent="0.2">
      <c r="E659" s="80"/>
      <c r="I659" s="49"/>
      <c r="K659" s="81"/>
    </row>
    <row r="660" spans="1:11" x14ac:dyDescent="0.2">
      <c r="E660" s="80"/>
      <c r="I660" s="49"/>
      <c r="K660" s="81"/>
    </row>
    <row r="661" spans="1:11" x14ac:dyDescent="0.2">
      <c r="E661" s="80"/>
      <c r="I661" s="49"/>
      <c r="K661" s="81"/>
    </row>
    <row r="662" spans="1:11" x14ac:dyDescent="0.2">
      <c r="E662" s="80"/>
      <c r="I662" s="49"/>
      <c r="K662" s="81"/>
    </row>
    <row r="663" spans="1:11" x14ac:dyDescent="0.2">
      <c r="E663" s="80"/>
      <c r="I663" s="49"/>
      <c r="K663" s="81"/>
    </row>
    <row r="664" spans="1:11" x14ac:dyDescent="0.2">
      <c r="E664" s="80"/>
      <c r="I664" s="49"/>
      <c r="K664" s="81"/>
    </row>
    <row r="665" spans="1:11" x14ac:dyDescent="0.2">
      <c r="E665" s="80"/>
      <c r="I665" s="49"/>
      <c r="K665" s="81"/>
    </row>
    <row r="666" spans="1:11" x14ac:dyDescent="0.2">
      <c r="E666" s="80"/>
      <c r="I666" s="49"/>
      <c r="K666" s="81"/>
    </row>
    <row r="667" spans="1:11" x14ac:dyDescent="0.2">
      <c r="E667" s="80"/>
      <c r="I667" s="49"/>
      <c r="K667" s="81"/>
    </row>
    <row r="668" spans="1:11" x14ac:dyDescent="0.2">
      <c r="E668" s="80"/>
      <c r="I668" s="49"/>
      <c r="K668" s="81"/>
    </row>
    <row r="669" spans="1:11" x14ac:dyDescent="0.2">
      <c r="E669" s="80"/>
      <c r="I669" s="49"/>
      <c r="K669" s="81"/>
    </row>
    <row r="670" spans="1:11" x14ac:dyDescent="0.2">
      <c r="E670" s="80"/>
      <c r="I670" s="49"/>
      <c r="K670" s="81"/>
    </row>
    <row r="671" spans="1:11" x14ac:dyDescent="0.2">
      <c r="E671" s="80"/>
      <c r="I671" s="49"/>
      <c r="K671" s="81"/>
    </row>
    <row r="672" spans="1:11" x14ac:dyDescent="0.2">
      <c r="E672" s="80"/>
      <c r="I672" s="49"/>
      <c r="K672" s="81"/>
    </row>
    <row r="673" spans="5:11" x14ac:dyDescent="0.2">
      <c r="E673" s="80"/>
      <c r="I673" s="49"/>
      <c r="K673" s="81"/>
    </row>
    <row r="674" spans="5:11" x14ac:dyDescent="0.2">
      <c r="E674" s="80"/>
      <c r="I674" s="49"/>
      <c r="K674" s="81"/>
    </row>
    <row r="675" spans="5:11" x14ac:dyDescent="0.2">
      <c r="E675" s="80"/>
      <c r="I675" s="49"/>
      <c r="K675" s="81"/>
    </row>
    <row r="676" spans="5:11" x14ac:dyDescent="0.2">
      <c r="E676" s="80"/>
      <c r="I676" s="49"/>
      <c r="K676" s="81"/>
    </row>
    <row r="677" spans="5:11" x14ac:dyDescent="0.2">
      <c r="E677" s="80"/>
      <c r="I677" s="49"/>
      <c r="K677" s="81"/>
    </row>
    <row r="678" spans="5:11" x14ac:dyDescent="0.2">
      <c r="E678" s="80"/>
      <c r="I678" s="49"/>
      <c r="K678" s="81"/>
    </row>
    <row r="679" spans="5:11" x14ac:dyDescent="0.2">
      <c r="E679" s="80"/>
      <c r="I679" s="49"/>
      <c r="K679" s="81"/>
    </row>
    <row r="680" spans="5:11" x14ac:dyDescent="0.2">
      <c r="E680" s="80"/>
      <c r="I680" s="49"/>
      <c r="K680" s="81"/>
    </row>
    <row r="681" spans="5:11" x14ac:dyDescent="0.2">
      <c r="E681" s="80"/>
      <c r="I681" s="49"/>
      <c r="K681" s="81"/>
    </row>
    <row r="682" spans="5:11" x14ac:dyDescent="0.2">
      <c r="E682" s="80"/>
      <c r="I682" s="49"/>
      <c r="K682" s="81"/>
    </row>
    <row r="683" spans="5:11" x14ac:dyDescent="0.2">
      <c r="E683" s="80"/>
      <c r="I683" s="49"/>
      <c r="K683" s="81"/>
    </row>
    <row r="684" spans="5:11" x14ac:dyDescent="0.2">
      <c r="E684" s="80"/>
      <c r="I684" s="49"/>
      <c r="K684" s="81"/>
    </row>
    <row r="685" spans="5:11" x14ac:dyDescent="0.2">
      <c r="E685" s="80"/>
      <c r="I685" s="49"/>
      <c r="K685" s="81"/>
    </row>
    <row r="686" spans="5:11" x14ac:dyDescent="0.2">
      <c r="E686" s="80"/>
      <c r="I686" s="49"/>
      <c r="K686" s="81"/>
    </row>
    <row r="687" spans="5:11" x14ac:dyDescent="0.2">
      <c r="E687" s="80"/>
      <c r="I687" s="49"/>
      <c r="K687" s="81"/>
    </row>
    <row r="688" spans="5:11" x14ac:dyDescent="0.2">
      <c r="E688" s="80"/>
      <c r="I688" s="49"/>
      <c r="K688" s="81"/>
    </row>
    <row r="689" spans="5:11" x14ac:dyDescent="0.2">
      <c r="E689" s="80"/>
      <c r="I689" s="49"/>
      <c r="K689" s="81"/>
    </row>
    <row r="690" spans="5:11" x14ac:dyDescent="0.2">
      <c r="E690" s="80"/>
      <c r="I690" s="49"/>
      <c r="K690" s="81"/>
    </row>
    <row r="691" spans="5:11" x14ac:dyDescent="0.2">
      <c r="E691" s="80"/>
      <c r="I691" s="49"/>
      <c r="K691" s="81"/>
    </row>
    <row r="692" spans="5:11" x14ac:dyDescent="0.2">
      <c r="E692" s="80"/>
      <c r="I692" s="49"/>
      <c r="K692" s="81"/>
    </row>
    <row r="693" spans="5:11" x14ac:dyDescent="0.2">
      <c r="E693" s="80"/>
      <c r="I693" s="49"/>
      <c r="K693" s="81"/>
    </row>
    <row r="694" spans="5:11" x14ac:dyDescent="0.2">
      <c r="E694" s="80"/>
      <c r="I694" s="49"/>
      <c r="K694" s="81"/>
    </row>
    <row r="695" spans="5:11" x14ac:dyDescent="0.2">
      <c r="E695" s="80"/>
      <c r="I695" s="49"/>
      <c r="K695" s="81"/>
    </row>
  </sheetData>
  <hyperlinks>
    <hyperlink ref="B1" location="'List of abbreviations'!A1" display="Author1"/>
    <hyperlink ref="A1" location="'List of abbreviations'!A1" display="Type2"/>
    <hyperlink ref="C1" location="'List of organisations'!A1" display="Organisation3"/>
    <hyperlink ref="G55" r:id="rId1"/>
    <hyperlink ref="G655" r:id="rId2"/>
    <hyperlink ref="G650" r:id="rId3"/>
  </hyperlinks>
  <pageMargins left="0" right="0" top="0.39374999999999999" bottom="0.39374999999999999" header="0" footer="0"/>
  <pageSetup paperSize="9" orientation="portrait" horizontalDpi="4294967293" verticalDpi="300" r:id="rId4"/>
  <headerFooter>
    <oddHeader>&amp;C&amp;A</oddHeader>
    <oddFooter>&amp;CPage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G115"/>
  <sheetViews>
    <sheetView topLeftCell="E1" zoomScale="145" zoomScaleNormal="145" workbookViewId="0">
      <selection activeCell="B56" sqref="B56"/>
    </sheetView>
  </sheetViews>
  <sheetFormatPr baseColWidth="10" defaultRowHeight="14.25" x14ac:dyDescent="0.2"/>
  <cols>
    <col min="1" max="1" width="23" customWidth="1"/>
    <col min="3" max="3" width="12" customWidth="1"/>
  </cols>
  <sheetData>
    <row r="1" spans="1:3" x14ac:dyDescent="0.2">
      <c r="A1" s="71" t="s">
        <v>93</v>
      </c>
      <c r="B1" s="57" t="s">
        <v>401</v>
      </c>
      <c r="C1" s="56" t="s">
        <v>207</v>
      </c>
    </row>
    <row r="2" spans="1:3" x14ac:dyDescent="0.2">
      <c r="A2" s="52" t="s">
        <v>1494</v>
      </c>
      <c r="B2" s="61">
        <f>SUMIF('List of documents'!A:A,"GP",'List of documents'!H:H)</f>
        <v>561889</v>
      </c>
      <c r="C2" s="60">
        <f>COUNTIF('List of documents'!A:A,"GP")</f>
        <v>18</v>
      </c>
    </row>
    <row r="3" spans="1:3" x14ac:dyDescent="0.2">
      <c r="A3" s="53" t="s">
        <v>950</v>
      </c>
      <c r="B3" s="61">
        <f>SUMIF('List of documents'!A:A,"RE",'List of documents'!H:H)</f>
        <v>1042353</v>
      </c>
      <c r="C3" s="60">
        <f>COUNTIF('List of documents'!A:A,"RE")</f>
        <v>26</v>
      </c>
    </row>
    <row r="4" spans="1:3" x14ac:dyDescent="0.2">
      <c r="A4" s="53" t="s">
        <v>1493</v>
      </c>
      <c r="B4" s="61">
        <f>SUMIF('List of documents'!A:A,"PP",'List of documents'!H:H)</f>
        <v>3552677</v>
      </c>
      <c r="C4" s="60">
        <f>COUNTIF('List of documents'!A:A,"PP")</f>
        <v>106</v>
      </c>
    </row>
    <row r="5" spans="1:3" x14ac:dyDescent="0.2">
      <c r="A5" s="53" t="s">
        <v>1492</v>
      </c>
      <c r="B5" s="61">
        <f>SUMIF('List of documents'!A:A,"PR",'List of documents'!H:H)</f>
        <v>6599776</v>
      </c>
      <c r="C5" s="60">
        <f>COUNTIF('List of documents'!A:A,"PR")</f>
        <v>444</v>
      </c>
    </row>
    <row r="6" spans="1:3" x14ac:dyDescent="0.2">
      <c r="A6" s="53" t="s">
        <v>1491</v>
      </c>
      <c r="B6" s="61">
        <f>SUMIF('List of documents'!A:A,"RM",'List of documents'!H:H)</f>
        <v>17449348</v>
      </c>
      <c r="C6" s="60">
        <f>COUNTIF('List of documents'!A:A,"RM")</f>
        <v>62</v>
      </c>
    </row>
    <row r="7" spans="1:3" x14ac:dyDescent="0.2">
      <c r="A7" s="72" t="s">
        <v>262</v>
      </c>
      <c r="B7" s="63">
        <f>SUM(B2:B6)</f>
        <v>29206043</v>
      </c>
      <c r="C7" s="65">
        <f>SUM(C2:C6)</f>
        <v>656</v>
      </c>
    </row>
    <row r="8" spans="1:3" x14ac:dyDescent="0.2">
      <c r="A8" s="53"/>
      <c r="B8" s="55"/>
      <c r="C8" s="54"/>
    </row>
    <row r="9" spans="1:3" x14ac:dyDescent="0.2">
      <c r="A9" s="73" t="s">
        <v>206</v>
      </c>
      <c r="B9" s="57" t="s">
        <v>401</v>
      </c>
      <c r="C9" s="57" t="s">
        <v>207</v>
      </c>
    </row>
    <row r="10" spans="1:3" x14ac:dyDescent="0.2">
      <c r="A10" s="74" t="s">
        <v>1495</v>
      </c>
      <c r="B10" s="62">
        <f>SUMIF('List of documents'!B:B,"SO",'List of documents'!H:H)</f>
        <v>7918148</v>
      </c>
      <c r="C10" s="60">
        <f>COUNTIF('List of documents'!B:B,"SO")</f>
        <v>345</v>
      </c>
    </row>
    <row r="11" spans="1:3" x14ac:dyDescent="0.2">
      <c r="A11" s="74" t="s">
        <v>1496</v>
      </c>
      <c r="B11" s="62">
        <f>SUMIF('List of documents'!B:B,"CB",'List of documents'!H:H)</f>
        <v>8722132</v>
      </c>
      <c r="C11" s="60">
        <f>COUNTIF('List of documents'!B:B,"CB")</f>
        <v>289</v>
      </c>
    </row>
    <row r="12" spans="1:3" x14ac:dyDescent="0.2">
      <c r="A12" s="74" t="s">
        <v>1524</v>
      </c>
      <c r="B12" s="62">
        <f>SUMIF('List of documents'!B:B,"OT",'List of documents'!H:H)</f>
        <v>12565763</v>
      </c>
      <c r="C12" s="60">
        <f>COUNTIF('List of documents'!B:B,"OT")</f>
        <v>22</v>
      </c>
    </row>
    <row r="13" spans="1:3" x14ac:dyDescent="0.2">
      <c r="A13" s="72" t="s">
        <v>262</v>
      </c>
      <c r="B13" s="64">
        <f>SUM(B10:B12)</f>
        <v>29206043</v>
      </c>
      <c r="C13" s="63">
        <f>SUM(C10:C12)</f>
        <v>656</v>
      </c>
    </row>
    <row r="14" spans="1:3" x14ac:dyDescent="0.2">
      <c r="A14" s="75"/>
      <c r="B14" s="55"/>
    </row>
    <row r="15" spans="1:3" x14ac:dyDescent="0.2">
      <c r="A15" s="73" t="s">
        <v>239</v>
      </c>
      <c r="B15" s="57" t="s">
        <v>401</v>
      </c>
      <c r="C15" s="57" t="s">
        <v>207</v>
      </c>
    </row>
    <row r="16" spans="1:3" x14ac:dyDescent="0.2">
      <c r="A16" s="75" t="s">
        <v>1517</v>
      </c>
      <c r="B16" s="62">
        <f>SUMIF('List of documents'!F:F,"D",'List of documents'!H:H)</f>
        <v>4326412</v>
      </c>
      <c r="C16" s="60">
        <f>COUNTIF('List of documents'!F:F,"D")</f>
        <v>100</v>
      </c>
    </row>
    <row r="17" spans="1:3" x14ac:dyDescent="0.2">
      <c r="A17" s="75" t="s">
        <v>1516</v>
      </c>
      <c r="B17" s="62">
        <f>SUMIF('List of documents'!F:F,"F",'List of documents'!H:H)</f>
        <v>10898975</v>
      </c>
      <c r="C17" s="60">
        <f>COUNTIF('List of documents'!F:F,"F")</f>
        <v>256</v>
      </c>
    </row>
    <row r="18" spans="1:3" x14ac:dyDescent="0.2">
      <c r="A18" s="75" t="s">
        <v>1523</v>
      </c>
      <c r="B18" s="62">
        <f>SUMIF('List of documents'!F:F,"E",'List of documents'!H:H)</f>
        <v>13980656</v>
      </c>
      <c r="C18" s="60">
        <f>COUNTIF('List of documents'!F:F,"E")</f>
        <v>300</v>
      </c>
    </row>
    <row r="19" spans="1:3" x14ac:dyDescent="0.2">
      <c r="A19" s="72" t="s">
        <v>262</v>
      </c>
      <c r="B19" s="64">
        <f>SUM(B16:B18)</f>
        <v>29206043</v>
      </c>
      <c r="C19" s="63">
        <f>SUM(C16:C18)</f>
        <v>656</v>
      </c>
    </row>
    <row r="20" spans="1:3" x14ac:dyDescent="0.2">
      <c r="A20" s="75"/>
      <c r="B20" s="55"/>
    </row>
    <row r="21" spans="1:3" x14ac:dyDescent="0.2">
      <c r="A21" s="76" t="s">
        <v>390</v>
      </c>
      <c r="B21" s="57" t="s">
        <v>401</v>
      </c>
      <c r="C21" s="57" t="s">
        <v>207</v>
      </c>
    </row>
    <row r="22" spans="1:3" x14ac:dyDescent="0.2">
      <c r="A22" s="75" t="s">
        <v>1506</v>
      </c>
      <c r="B22" s="61">
        <f>SUMIF('List of documents'!C:C,"BCL",'List of documents'!H:H)</f>
        <v>42738</v>
      </c>
      <c r="C22" s="60">
        <f>COUNTIF('List of documents'!C:C,"BCL")</f>
        <v>3</v>
      </c>
    </row>
    <row r="23" spans="1:3" x14ac:dyDescent="0.2">
      <c r="A23" s="75" t="s">
        <v>1505</v>
      </c>
      <c r="B23" s="61">
        <f>SUMIF('List of documents'!C:C,"CMFB",'List of documents'!H:H)</f>
        <v>64912</v>
      </c>
      <c r="C23" s="60">
        <f>COUNTIF('List of documents'!C:C,"CMFB")</f>
        <v>4</v>
      </c>
    </row>
    <row r="24" spans="1:3" x14ac:dyDescent="0.2">
      <c r="A24" s="75" t="s">
        <v>1504</v>
      </c>
      <c r="B24" s="61">
        <f>SUMIF('List of documents'!C:C,"Statec",'List of documents'!H:H)</f>
        <v>140023</v>
      </c>
      <c r="C24" s="60">
        <f>COUNTIF('List of documents'!C:C,"Statec")</f>
        <v>19</v>
      </c>
    </row>
    <row r="25" spans="1:3" x14ac:dyDescent="0.2">
      <c r="A25" s="75" t="s">
        <v>1503</v>
      </c>
      <c r="B25" s="61">
        <f>SUMIF('List of documents'!C:C,"NBB",'List of documents'!H:H)</f>
        <v>297944</v>
      </c>
      <c r="C25" s="60">
        <f>COUNTIF('List of documents'!C:C,"NBB")</f>
        <v>18</v>
      </c>
    </row>
    <row r="26" spans="1:3" x14ac:dyDescent="0.2">
      <c r="A26" s="75" t="s">
        <v>1165</v>
      </c>
      <c r="B26" s="61">
        <f>SUMIF('List of documents'!C:C,"Acad",'List of documents'!H:H)</f>
        <v>106131</v>
      </c>
      <c r="C26" s="60">
        <f>COUNTIF('List of documents'!C:C,"Acad")</f>
        <v>2</v>
      </c>
    </row>
    <row r="27" spans="1:3" x14ac:dyDescent="0.2">
      <c r="A27" s="75" t="s">
        <v>403</v>
      </c>
      <c r="B27" s="61">
        <f>SUMIF('List of documents'!C:C,"BoE",'List of documents'!H:H)</f>
        <v>131157</v>
      </c>
      <c r="C27" s="60">
        <f>COUNTIF('List of documents'!C:C,"BoE")</f>
        <v>2</v>
      </c>
    </row>
    <row r="28" spans="1:3" x14ac:dyDescent="0.2">
      <c r="A28" s="75" t="s">
        <v>1502</v>
      </c>
      <c r="B28" s="61">
        <f>SUMIF('List of documents'!C:C,"CSO",'List of documents'!H:H)</f>
        <v>389283</v>
      </c>
      <c r="C28" s="60">
        <f>COUNTIF('List of documents'!C:C,"CSO")</f>
        <v>40</v>
      </c>
    </row>
    <row r="29" spans="1:3" x14ac:dyDescent="0.2">
      <c r="A29" s="75" t="s">
        <v>1270</v>
      </c>
      <c r="B29" s="61">
        <f>SUMIF('List of documents'!C:C,"EuS",'List of documents'!H:H)</f>
        <v>1219258</v>
      </c>
      <c r="C29" s="60">
        <f>COUNTIF('List of documents'!C:C,"EuS")</f>
        <v>35</v>
      </c>
    </row>
    <row r="30" spans="1:3" x14ac:dyDescent="0.2">
      <c r="A30" s="75" t="s">
        <v>1166</v>
      </c>
      <c r="B30" s="61">
        <f>SUMIF('List of documents'!C:C,"EU",'List of documents'!H:H)</f>
        <v>362637</v>
      </c>
      <c r="C30" s="60">
        <f>COUNTIF('List of documents'!C:C,"EU")</f>
        <v>6</v>
      </c>
    </row>
    <row r="31" spans="1:3" x14ac:dyDescent="0.2">
      <c r="A31" s="75" t="s">
        <v>1501</v>
      </c>
      <c r="B31" s="61">
        <f>SUMIF('List of documents'!C:C,"ONS",'List of documents'!H:H)</f>
        <v>1520563</v>
      </c>
      <c r="C31" s="60">
        <f>COUNTIF('List of documents'!C:C,"ONS")</f>
        <v>49</v>
      </c>
    </row>
    <row r="32" spans="1:3" x14ac:dyDescent="0.2">
      <c r="A32" s="75" t="s">
        <v>1500</v>
      </c>
      <c r="B32" s="61">
        <f>SUMIF('List of documents'!C:C,"BuBa",'List of documents'!H:H)</f>
        <v>1258078</v>
      </c>
      <c r="C32" s="60">
        <f>COUNTIF('List of documents'!C:C,"BuBa")</f>
        <v>29</v>
      </c>
    </row>
    <row r="33" spans="1:3" x14ac:dyDescent="0.2">
      <c r="A33" s="75" t="s">
        <v>1499</v>
      </c>
      <c r="B33" s="61">
        <f>SUMIF('List of documents'!C:C,"OeNB",'List of documents'!H:H)</f>
        <v>1109030</v>
      </c>
      <c r="C33" s="60">
        <f>COUNTIF('List of documents'!C:C,"OeNB")</f>
        <v>35</v>
      </c>
    </row>
    <row r="34" spans="1:3" x14ac:dyDescent="0.2">
      <c r="A34" s="75" t="s">
        <v>1498</v>
      </c>
      <c r="B34" s="61">
        <f>SUMIF('List of documents'!C:C,"SNB",'List of documents'!H:H)</f>
        <v>2429557</v>
      </c>
      <c r="C34" s="60">
        <f>COUNTIF('List of documents'!C:C,"SNB")</f>
        <v>66</v>
      </c>
    </row>
    <row r="35" spans="1:3" x14ac:dyDescent="0.2">
      <c r="A35" s="75" t="s">
        <v>1436</v>
      </c>
      <c r="B35" s="61">
        <f>SUMIF('List of documents'!C:C,"SCan ",'List of documents'!H:H)</f>
        <v>3166768</v>
      </c>
      <c r="C35" s="60">
        <f>COUNTIF('List of documents'!C:C,"SCan ")</f>
        <v>172</v>
      </c>
    </row>
    <row r="36" spans="1:3" x14ac:dyDescent="0.2">
      <c r="A36" s="75" t="s">
        <v>1497</v>
      </c>
      <c r="B36" s="61">
        <f>SUMIF('List of documents'!C:C,"BEA",'List of documents'!H:H)</f>
        <v>1390820</v>
      </c>
      <c r="C36" s="60">
        <f>COUNTIF('List of documents'!C:C,"BEA")</f>
        <v>29</v>
      </c>
    </row>
    <row r="37" spans="1:3" x14ac:dyDescent="0.2">
      <c r="A37" s="75" t="s">
        <v>404</v>
      </c>
      <c r="B37" s="61">
        <f>SUMIF('List of documents'!C:C,"UN+al.",'List of documents'!H:H)</f>
        <v>1159382</v>
      </c>
      <c r="C37" s="60">
        <f>COUNTIF('List of documents'!C:C,"UN+al.")</f>
        <v>2</v>
      </c>
    </row>
    <row r="38" spans="1:3" x14ac:dyDescent="0.2">
      <c r="A38" s="75" t="s">
        <v>1185</v>
      </c>
      <c r="B38" s="61">
        <f>SUMIF('List of documents'!C:C,"BdF",'List of documents'!H:H)</f>
        <v>1239004</v>
      </c>
      <c r="C38" s="60">
        <f>COUNTIF('List of documents'!C:C,"BdF")</f>
        <v>91</v>
      </c>
    </row>
    <row r="39" spans="1:3" x14ac:dyDescent="0.2">
      <c r="A39" s="75" t="s">
        <v>1476</v>
      </c>
      <c r="B39" s="61">
        <f>SUMIF('List of documents'!C:C,"ECB",'List of documents'!H:H)</f>
        <v>2214624</v>
      </c>
      <c r="C39" s="60">
        <f>COUNTIF('List of documents'!C:C,"ECB")</f>
        <v>45</v>
      </c>
    </row>
    <row r="40" spans="1:3" x14ac:dyDescent="0.2">
      <c r="A40" s="75" t="s">
        <v>405</v>
      </c>
      <c r="B40" s="61">
        <f>SUMIF('List of documents'!C:C,"EC+al.",'List of documents'!H:H)</f>
        <v>5479336</v>
      </c>
      <c r="C40" s="60">
        <f>COUNTIF('List of documents'!C:C,"EC+al.")</f>
        <v>2</v>
      </c>
    </row>
    <row r="41" spans="1:3" x14ac:dyDescent="0.2">
      <c r="A41" s="75" t="s">
        <v>1272</v>
      </c>
      <c r="B41" s="61">
        <f>SUMIF('List of documents'!C:C,"EuS&amp;BEA",'List of documents'!H:H)</f>
        <v>91433</v>
      </c>
      <c r="C41" s="60">
        <f>COUNTIF('List of documents'!C:C,"EuS&amp;BEA")</f>
        <v>1</v>
      </c>
    </row>
    <row r="42" spans="1:3" x14ac:dyDescent="0.2">
      <c r="A42" s="75" t="s">
        <v>1525</v>
      </c>
      <c r="B42" s="61">
        <f>SUMIF('List of documents'!C:C,"IMF",'List of documents'!H:H)</f>
        <v>5393365</v>
      </c>
      <c r="C42" s="60">
        <f>COUNTIF('List of documents'!C:C,"IMF")</f>
        <v>6</v>
      </c>
    </row>
    <row r="43" spans="1:3" x14ac:dyDescent="0.2">
      <c r="A43" s="76" t="s">
        <v>262</v>
      </c>
      <c r="B43" s="68">
        <f>SUM(B22:B42)</f>
        <v>29206043</v>
      </c>
      <c r="C43" s="68">
        <f>SUM(C22:C42)</f>
        <v>656</v>
      </c>
    </row>
    <row r="44" spans="1:3" x14ac:dyDescent="0.2">
      <c r="A44" s="75"/>
    </row>
    <row r="45" spans="1:3" x14ac:dyDescent="0.2">
      <c r="A45" s="76" t="s">
        <v>138</v>
      </c>
      <c r="B45" s="57" t="s">
        <v>401</v>
      </c>
      <c r="C45" s="57" t="s">
        <v>207</v>
      </c>
    </row>
    <row r="46" spans="1:3" ht="42.75" x14ac:dyDescent="0.2">
      <c r="A46" s="77" t="s">
        <v>1526</v>
      </c>
      <c r="B46" s="61">
        <f>SUM(B42,B40,B41,B37,B30,B23)</f>
        <v>12551065</v>
      </c>
      <c r="C46" s="61">
        <f>SUM(C42,C40,C41,C37,C30,C23)</f>
        <v>21</v>
      </c>
    </row>
    <row r="47" spans="1:3" ht="28.5" x14ac:dyDescent="0.2">
      <c r="A47" s="77" t="s">
        <v>1362</v>
      </c>
      <c r="B47" s="61">
        <f>SUMIF('List of documents'!C:C,"ECB",'List of documents'!H:H)</f>
        <v>2214624</v>
      </c>
      <c r="C47" s="60">
        <f>COUNTIF('List of documents'!C:C,"ECB")</f>
        <v>45</v>
      </c>
    </row>
    <row r="48" spans="1:3" ht="28.5" x14ac:dyDescent="0.2">
      <c r="A48" s="77" t="s">
        <v>1274</v>
      </c>
      <c r="B48" s="61">
        <f>SUMIF('List of documents'!C:C,"EuS",'List of documents'!H:H)</f>
        <v>1219258</v>
      </c>
      <c r="C48" s="60">
        <f>COUNTIF('List of documents'!C:C,"EuS")</f>
        <v>35</v>
      </c>
    </row>
    <row r="49" spans="1:3" x14ac:dyDescent="0.2">
      <c r="A49" s="77" t="s">
        <v>1164</v>
      </c>
      <c r="B49" s="61">
        <f>SUMIF('List of documents'!C:C,"Acad",'List of documents'!H:H)</f>
        <v>106131</v>
      </c>
      <c r="C49" s="60">
        <f>COUNTIF('List of documents'!C:C,"Acad")</f>
        <v>2</v>
      </c>
    </row>
    <row r="50" spans="1:3" ht="28.15" customHeight="1" x14ac:dyDescent="0.2">
      <c r="A50" s="77" t="s">
        <v>1507</v>
      </c>
      <c r="B50" s="61">
        <f>SUM(B22,B25,B27,B32,B33,B34,B38)</f>
        <v>6507508</v>
      </c>
      <c r="C50" s="61">
        <f>SUM(C22,C25,C27,C32,C33,C34,C38)</f>
        <v>244</v>
      </c>
    </row>
    <row r="51" spans="1:3" ht="28.5" x14ac:dyDescent="0.2">
      <c r="A51" s="77" t="s">
        <v>1508</v>
      </c>
      <c r="B51" s="61">
        <f>SUM(B24,B28,B31,B35,B36)</f>
        <v>6607457</v>
      </c>
      <c r="C51" s="61">
        <f>SUM(C24,C28,C31,C35,C36)</f>
        <v>309</v>
      </c>
    </row>
    <row r="52" spans="1:3" x14ac:dyDescent="0.2">
      <c r="A52" s="78" t="s">
        <v>262</v>
      </c>
      <c r="B52" s="63">
        <f>SUM(B46:B51)</f>
        <v>29206043</v>
      </c>
      <c r="C52" s="63">
        <f>SUM(C46:C51)</f>
        <v>656</v>
      </c>
    </row>
    <row r="53" spans="1:3" x14ac:dyDescent="0.2">
      <c r="A53" s="77"/>
      <c r="B53" s="61"/>
    </row>
    <row r="54" spans="1:3" x14ac:dyDescent="0.2">
      <c r="A54" s="77"/>
      <c r="B54" s="61"/>
    </row>
    <row r="55" spans="1:3" x14ac:dyDescent="0.2">
      <c r="A55" s="77"/>
      <c r="B55" s="61"/>
    </row>
    <row r="56" spans="1:3" x14ac:dyDescent="0.2">
      <c r="A56" s="77"/>
      <c r="B56" s="61"/>
    </row>
    <row r="57" spans="1:3" x14ac:dyDescent="0.2">
      <c r="A57" s="77"/>
      <c r="B57" s="61"/>
    </row>
    <row r="58" spans="1:3" x14ac:dyDescent="0.2">
      <c r="A58" s="77"/>
      <c r="B58" s="61"/>
    </row>
    <row r="59" spans="1:3" x14ac:dyDescent="0.2">
      <c r="A59" s="77"/>
      <c r="B59" s="61"/>
    </row>
    <row r="60" spans="1:3" x14ac:dyDescent="0.2">
      <c r="A60" s="77"/>
      <c r="B60" s="61"/>
    </row>
    <row r="61" spans="1:3" ht="28.5" x14ac:dyDescent="0.2">
      <c r="A61" s="78" t="s">
        <v>1173</v>
      </c>
      <c r="B61" s="64" t="s">
        <v>401</v>
      </c>
      <c r="C61" s="57" t="s">
        <v>207</v>
      </c>
    </row>
    <row r="62" spans="1:3" x14ac:dyDescent="0.2">
      <c r="A62" s="77" t="s">
        <v>1519</v>
      </c>
      <c r="B62" s="61">
        <f>SUM(B32,B33,'List of documents'!K17)</f>
        <v>2367108</v>
      </c>
      <c r="C62" s="61">
        <f>COUNTIFS('List of documents'!C:C,"SNB",'List of documents'!F:F,"D")+C32+C33</f>
        <v>98</v>
      </c>
    </row>
    <row r="63" spans="1:3" x14ac:dyDescent="0.2">
      <c r="A63" s="77" t="s">
        <v>1520</v>
      </c>
      <c r="B63" s="61">
        <f>SUM(B26,B27,B28,B31,B36,'List of documents'!K49)</f>
        <v>3537954</v>
      </c>
      <c r="C63" s="61">
        <f>COUNTIFS('List of documents'!C:C,"Scan ",'List of documents'!F:F,"E")+C26+C27+C28+C31+C36</f>
        <v>208</v>
      </c>
    </row>
    <row r="64" spans="1:3" x14ac:dyDescent="0.2">
      <c r="A64" s="77" t="s">
        <v>1527</v>
      </c>
      <c r="B64" s="61">
        <f>SUM(B22,B24,B25,B38,'List of documents'!K79,K93)</f>
        <v>1719709</v>
      </c>
      <c r="C64" s="61">
        <f>COUNTIFS('List of documents'!C:C,"SNB",'List of documents'!F:F,"F")+C22+C24+C25+C38+COUNTIFS('List of documents'!C:C,"Scan ",'List of documents'!F:F,"F")</f>
        <v>249</v>
      </c>
    </row>
    <row r="65" spans="1:7" x14ac:dyDescent="0.2">
      <c r="A65" s="78" t="s">
        <v>262</v>
      </c>
      <c r="B65" s="63">
        <f>SUM(B62:B64)</f>
        <v>7624771</v>
      </c>
      <c r="C65" s="63">
        <f>SUM(C62:C64)</f>
        <v>555</v>
      </c>
    </row>
    <row r="70" spans="1:7" x14ac:dyDescent="0.2">
      <c r="A70" s="57" t="s">
        <v>143</v>
      </c>
      <c r="B70" s="57" t="s">
        <v>1129</v>
      </c>
      <c r="C70" s="57" t="s">
        <v>1130</v>
      </c>
      <c r="D70" s="57" t="s">
        <v>1131</v>
      </c>
      <c r="E70" s="57" t="s">
        <v>1132</v>
      </c>
      <c r="F70" s="57" t="s">
        <v>1133</v>
      </c>
      <c r="G70" s="57" t="s">
        <v>262</v>
      </c>
    </row>
    <row r="71" spans="1:7" x14ac:dyDescent="0.2">
      <c r="A71">
        <v>2002</v>
      </c>
      <c r="B71">
        <f>COUNTIFS('List of documents'!I:I,2002,'List of documents'!A:A,"RE")</f>
        <v>1</v>
      </c>
      <c r="C71">
        <f>COUNTIFS('List of documents'!I:I,2002,'List of documents'!A:A,"RM")</f>
        <v>0</v>
      </c>
      <c r="D71">
        <f>COUNTIFS('List of documents'!I:I,2002,'List of documents'!A:A,"PP")</f>
        <v>1</v>
      </c>
      <c r="E71">
        <f>COUNTIFS('List of documents'!I:I,2002,'List of documents'!A:A,"PR")</f>
        <v>0</v>
      </c>
      <c r="F71">
        <f>COUNTIFS('List of documents'!I:I,2002,'List of documents'!A:A,"GP")</f>
        <v>0</v>
      </c>
      <c r="G71">
        <f t="shared" ref="G71:G77" si="0">SUM(B71:F71)</f>
        <v>2</v>
      </c>
    </row>
    <row r="72" spans="1:7" x14ac:dyDescent="0.2">
      <c r="A72">
        <v>2003</v>
      </c>
      <c r="B72">
        <f>COUNTIFS('List of documents'!I:I,2003,'List of documents'!A:A,"RE")</f>
        <v>0</v>
      </c>
      <c r="C72">
        <f>COUNTIFS('List of documents'!I:I,2003,'List of documents'!A:A,"RM")</f>
        <v>0</v>
      </c>
      <c r="D72">
        <f>COUNTIFS('List of documents'!I:I,2003,'List of documents'!A:A,"PP")</f>
        <v>0</v>
      </c>
      <c r="E72">
        <f>COUNTIFS('List of documents'!I:I,2003,'List of documents'!A:A,"PR")</f>
        <v>0</v>
      </c>
      <c r="F72">
        <f>COUNTIFS('List of documents'!I:I,2003,'List of documents'!A:A,"GP")</f>
        <v>0</v>
      </c>
      <c r="G72">
        <f t="shared" si="0"/>
        <v>0</v>
      </c>
    </row>
    <row r="73" spans="1:7" x14ac:dyDescent="0.2">
      <c r="A73">
        <v>2004</v>
      </c>
      <c r="B73">
        <f>COUNTIFS('List of documents'!I:I,2004,'List of documents'!A:A,"RE")</f>
        <v>0</v>
      </c>
      <c r="C73">
        <f>COUNTIFS('List of documents'!I:I,2004,'List of documents'!A:A,"RM")</f>
        <v>0</v>
      </c>
      <c r="D73">
        <f>COUNTIFS('List of documents'!I:I,2004,'List of documents'!A:A,"PP")</f>
        <v>0</v>
      </c>
      <c r="E73">
        <f>COUNTIFS('List of documents'!I:I,2004,'List of documents'!A:A,"PR")</f>
        <v>0</v>
      </c>
      <c r="F73">
        <f>COUNTIFS('List of documents'!I:I,2004,'List of documents'!A:A,"GP")</f>
        <v>0</v>
      </c>
      <c r="G73">
        <f t="shared" si="0"/>
        <v>0</v>
      </c>
    </row>
    <row r="74" spans="1:7" x14ac:dyDescent="0.2">
      <c r="A74">
        <v>2005</v>
      </c>
      <c r="B74">
        <f>COUNTIFS('List of documents'!I:I,2005,'List of documents'!A:A,"RE")</f>
        <v>0</v>
      </c>
      <c r="C74">
        <f>COUNTIFS('List of documents'!I:I,2005,'List of documents'!A:A,"RM")</f>
        <v>0</v>
      </c>
      <c r="D74">
        <f>COUNTIFS('List of documents'!I:I,2005,'List of documents'!A:A,"PP")</f>
        <v>0</v>
      </c>
      <c r="E74">
        <f>COUNTIFS('List of documents'!I:I,2005,'List of documents'!A:A,"PR")</f>
        <v>0</v>
      </c>
      <c r="F74">
        <f>COUNTIFS('List of documents'!I:I,2005,'List of documents'!A:A,"GP")</f>
        <v>0</v>
      </c>
      <c r="G74">
        <f t="shared" si="0"/>
        <v>0</v>
      </c>
    </row>
    <row r="75" spans="1:7" x14ac:dyDescent="0.2">
      <c r="A75">
        <v>2006</v>
      </c>
      <c r="B75">
        <f>COUNTIFS('List of documents'!I:I,2006,'List of documents'!A:A,"RE")</f>
        <v>0</v>
      </c>
      <c r="C75">
        <f>COUNTIFS('List of documents'!I:I,2006,'List of documents'!A:A,"RM")</f>
        <v>0</v>
      </c>
      <c r="D75">
        <f>COUNTIFS('List of documents'!I:I,2006,'List of documents'!A:A,"PP")</f>
        <v>0</v>
      </c>
      <c r="E75">
        <f>COUNTIFS('List of documents'!I:I,2006,'List of documents'!A:A,"PR")</f>
        <v>0</v>
      </c>
      <c r="F75">
        <f>COUNTIFS('List of documents'!I:I,2006,'List of documents'!A:A,"GP")</f>
        <v>0</v>
      </c>
      <c r="G75">
        <f t="shared" si="0"/>
        <v>0</v>
      </c>
    </row>
    <row r="76" spans="1:7" x14ac:dyDescent="0.2">
      <c r="A76">
        <v>2007</v>
      </c>
      <c r="B76">
        <f>COUNTIFS('List of documents'!I:I,2007,'List of documents'!A:A,"RE")</f>
        <v>3</v>
      </c>
      <c r="C76">
        <f>COUNTIFS('List of documents'!I:I,2007,'List of documents'!A:A,"RM")</f>
        <v>0</v>
      </c>
      <c r="D76">
        <f>COUNTIFS('List of documents'!I:I,2007,'List of documents'!A:A,"PP")</f>
        <v>0</v>
      </c>
      <c r="E76">
        <f>COUNTIFS('List of documents'!I:I,2007,'List of documents'!A:A,"PR")</f>
        <v>0</v>
      </c>
      <c r="F76">
        <f>COUNTIFS('List of documents'!I:I,2007,'List of documents'!A:A,"GP")</f>
        <v>0</v>
      </c>
      <c r="G76">
        <f t="shared" si="0"/>
        <v>3</v>
      </c>
    </row>
    <row r="77" spans="1:7" x14ac:dyDescent="0.2">
      <c r="A77">
        <v>2008</v>
      </c>
      <c r="B77">
        <f>COUNTIFS('List of documents'!I:I,2008,'List of documents'!A:A,"RE")</f>
        <v>0</v>
      </c>
      <c r="C77">
        <f>COUNTIFS('List of documents'!I:I,2008,'List of documents'!A:A,"RM")</f>
        <v>0</v>
      </c>
      <c r="D77">
        <f>COUNTIFS('List of documents'!I:I,2008,'List of documents'!A:A,"PP")</f>
        <v>0</v>
      </c>
      <c r="E77">
        <f>COUNTIFS('List of documents'!I:I,2008,'List of documents'!A:A,"PR")</f>
        <v>0</v>
      </c>
      <c r="F77">
        <f>COUNTIFS('List of documents'!I:I,2008,'List of documents'!A:A,"GP")</f>
        <v>0</v>
      </c>
      <c r="G77">
        <f t="shared" si="0"/>
        <v>0</v>
      </c>
    </row>
    <row r="78" spans="1:7" x14ac:dyDescent="0.2">
      <c r="A78">
        <v>2009</v>
      </c>
      <c r="B78">
        <f>COUNTIFS('List of documents'!I:I,2009,'List of documents'!A:A,"RE")</f>
        <v>2</v>
      </c>
      <c r="C78">
        <f>COUNTIFS('List of documents'!I:I,2009,'List of documents'!A:A,"RM")</f>
        <v>3</v>
      </c>
      <c r="D78">
        <f>COUNTIFS('List of documents'!I:I,2009,'List of documents'!A:A,"PP")</f>
        <v>1</v>
      </c>
      <c r="E78">
        <f>COUNTIFS('List of documents'!I:I,2009,'List of documents'!A:A,"PR")</f>
        <v>0</v>
      </c>
      <c r="F78">
        <f>COUNTIFS('List of documents'!I:I,2009,'List of documents'!A:A,"GP")</f>
        <v>0</v>
      </c>
      <c r="G78">
        <f t="shared" ref="G78:G94" si="1">SUM(B78:F78)</f>
        <v>6</v>
      </c>
    </row>
    <row r="79" spans="1:7" x14ac:dyDescent="0.2">
      <c r="A79">
        <v>2010</v>
      </c>
      <c r="B79">
        <f>COUNTIFS('List of documents'!I:I,2010,'List of documents'!A:A,"RE")</f>
        <v>6</v>
      </c>
      <c r="C79">
        <f>COUNTIFS('List of documents'!I:I,2010,'List of documents'!A:A,"RM")</f>
        <v>1</v>
      </c>
      <c r="D79">
        <f>COUNTIFS('List of documents'!I:I,2010,'List of documents'!A:A,"PP")</f>
        <v>2</v>
      </c>
      <c r="E79">
        <f>COUNTIFS('List of documents'!I:I,2010,'List of documents'!A:A,"PR")</f>
        <v>0</v>
      </c>
      <c r="F79">
        <f>COUNTIFS('List of documents'!I:I,2010,'List of documents'!A:A,"GP")</f>
        <v>0</v>
      </c>
      <c r="G79">
        <f t="shared" si="1"/>
        <v>9</v>
      </c>
    </row>
    <row r="80" spans="1:7" x14ac:dyDescent="0.2">
      <c r="A80">
        <v>2011</v>
      </c>
      <c r="B80">
        <f>COUNTIFS('List of documents'!I:I,2011,'List of documents'!A:A,"RE")</f>
        <v>0</v>
      </c>
      <c r="C80">
        <f>COUNTIFS('List of documents'!I:I,2011,'List of documents'!A:A,"RM")</f>
        <v>0</v>
      </c>
      <c r="D80">
        <f>COUNTIFS('List of documents'!I:I,2011,'List of documents'!A:A,"PP")</f>
        <v>1</v>
      </c>
      <c r="E80">
        <f>COUNTIFS('List of documents'!I:I,2011,'List of documents'!A:A,"PR")</f>
        <v>0</v>
      </c>
      <c r="F80">
        <f>COUNTIFS('List of documents'!I:I,2011,'List of documents'!A:A,"GP")</f>
        <v>0</v>
      </c>
      <c r="G80">
        <f t="shared" si="1"/>
        <v>1</v>
      </c>
    </row>
    <row r="81" spans="1:7" x14ac:dyDescent="0.2">
      <c r="A81">
        <v>2012</v>
      </c>
      <c r="B81">
        <f>COUNTIFS('List of documents'!I:I,2012,'List of documents'!A:A,"RE")</f>
        <v>5</v>
      </c>
      <c r="C81">
        <f>COUNTIFS('List of documents'!I:I,2012,'List of documents'!A:A,"RM")</f>
        <v>0</v>
      </c>
      <c r="D81">
        <f>COUNTIFS('List of documents'!I:I,2012,'List of documents'!A:A,"PP")</f>
        <v>2</v>
      </c>
      <c r="E81">
        <f>COUNTIFS('List of documents'!I:I,2012,'List of documents'!A:A,"PR")</f>
        <v>0</v>
      </c>
      <c r="F81">
        <f>COUNTIFS('List of documents'!I:I,2012,'List of documents'!A:A,"GP")</f>
        <v>0</v>
      </c>
      <c r="G81">
        <f t="shared" si="1"/>
        <v>7</v>
      </c>
    </row>
    <row r="82" spans="1:7" x14ac:dyDescent="0.2">
      <c r="A82">
        <v>2013</v>
      </c>
      <c r="B82">
        <f>COUNTIFS('List of documents'!I:I,2013,'List of documents'!A:A,"RE")</f>
        <v>1</v>
      </c>
      <c r="C82">
        <f>COUNTIFS('List of documents'!I:I,2013,'List of documents'!A:A,"RM")</f>
        <v>2</v>
      </c>
      <c r="D82">
        <f>COUNTIFS('List of documents'!I:I,2013,'List of documents'!A:A,"PP")</f>
        <v>2</v>
      </c>
      <c r="E82">
        <f>COUNTIFS('List of documents'!I:I,2013,'List of documents'!A:A,"PR")</f>
        <v>0</v>
      </c>
      <c r="F82">
        <f>COUNTIFS('List of documents'!I:I,2013,'List of documents'!A:A,"GP")</f>
        <v>0</v>
      </c>
      <c r="G82">
        <f t="shared" si="1"/>
        <v>5</v>
      </c>
    </row>
    <row r="83" spans="1:7" x14ac:dyDescent="0.2">
      <c r="A83">
        <v>2014</v>
      </c>
      <c r="B83">
        <f>COUNTIFS('List of documents'!I:I,2014,'List of documents'!A:A,"RE")</f>
        <v>0</v>
      </c>
      <c r="C83">
        <f>COUNTIFS('List of documents'!I:I,2014,'List of documents'!A:A,"RM")</f>
        <v>7</v>
      </c>
      <c r="D83">
        <f>COUNTIFS('List of documents'!I:I,2014,'List of documents'!A:A,"PP")</f>
        <v>10</v>
      </c>
      <c r="E83">
        <f>COUNTIFS('List of documents'!I:I,2014,'List of documents'!A:A,"PR")</f>
        <v>10</v>
      </c>
      <c r="F83">
        <f>COUNTIFS('List of documents'!I:I,2014,'List of documents'!A:A,"GP")</f>
        <v>3</v>
      </c>
      <c r="G83">
        <f t="shared" si="1"/>
        <v>30</v>
      </c>
    </row>
    <row r="84" spans="1:7" x14ac:dyDescent="0.2">
      <c r="A84">
        <v>2015</v>
      </c>
      <c r="B84">
        <f>COUNTIFS('List of documents'!I:I,2015,'List of documents'!A:A,"RE")</f>
        <v>0</v>
      </c>
      <c r="C84">
        <f>COUNTIFS('List of documents'!I:I,2015,'List of documents'!A:A,"RM")</f>
        <v>8</v>
      </c>
      <c r="D84">
        <f>COUNTIFS('List of documents'!I:I,2015,'List of documents'!A:A,"PP")</f>
        <v>5</v>
      </c>
      <c r="E84">
        <f>COUNTIFS('List of documents'!I:I,2015,'List of documents'!A:A,"PR")</f>
        <v>51</v>
      </c>
      <c r="F84">
        <f>COUNTIFS('List of documents'!I:I,2015,'List of documents'!A:A,"GP")</f>
        <v>1</v>
      </c>
      <c r="G84">
        <f t="shared" si="1"/>
        <v>65</v>
      </c>
    </row>
    <row r="85" spans="1:7" x14ac:dyDescent="0.2">
      <c r="A85">
        <v>2016</v>
      </c>
      <c r="B85">
        <f>COUNTIFS('List of documents'!I:I,2016,'List of documents'!A:A,"RE")</f>
        <v>6</v>
      </c>
      <c r="C85">
        <f>COUNTIFS('List of documents'!I:I,2016,'List of documents'!A:A,"RM")</f>
        <v>6</v>
      </c>
      <c r="D85">
        <f>COUNTIFS('List of documents'!I:I,2016,'List of documents'!A:A,"PP")</f>
        <v>7</v>
      </c>
      <c r="E85">
        <f>COUNTIFS('List of documents'!I:I,2016,'List of documents'!A:A,"PR")</f>
        <v>48</v>
      </c>
      <c r="F85">
        <f>COUNTIFS('List of documents'!I:I,2016,'List of documents'!A:A,"GP")</f>
        <v>1</v>
      </c>
      <c r="G85">
        <f t="shared" si="1"/>
        <v>68</v>
      </c>
    </row>
    <row r="86" spans="1:7" x14ac:dyDescent="0.2">
      <c r="A86">
        <v>2017</v>
      </c>
      <c r="B86">
        <f>COUNTIFS('List of documents'!I:I,2017,'List of documents'!A:A,"RE")</f>
        <v>1</v>
      </c>
      <c r="C86">
        <f>COUNTIFS('List of documents'!I:I,2017,'List of documents'!A:A,"RM")</f>
        <v>6</v>
      </c>
      <c r="D86">
        <f>COUNTIFS('List of documents'!I:I,2017,'List of documents'!A:A,"PP")</f>
        <v>9</v>
      </c>
      <c r="E86">
        <f>COUNTIFS('List of documents'!I:I,2017,'List of documents'!A:A,"PR")</f>
        <v>50</v>
      </c>
      <c r="F86">
        <f>COUNTIFS('List of documents'!I:I,2017,'List of documents'!A:A,"GP")</f>
        <v>1</v>
      </c>
      <c r="G86">
        <f t="shared" si="1"/>
        <v>67</v>
      </c>
    </row>
    <row r="87" spans="1:7" x14ac:dyDescent="0.2">
      <c r="A87">
        <v>2018</v>
      </c>
      <c r="B87">
        <f>COUNTIFS('List of documents'!I:I,2018,'List of documents'!A:A,"RE")</f>
        <v>0</v>
      </c>
      <c r="C87">
        <f>COUNTIFS('List of documents'!I:I,2018,'List of documents'!A:A,"RM")</f>
        <v>5</v>
      </c>
      <c r="D87">
        <f>COUNTIFS('List of documents'!I:I,2018,'List of documents'!A:A,"PP")</f>
        <v>14</v>
      </c>
      <c r="E87">
        <f>COUNTIFS('List of documents'!I:I,2018,'List of documents'!A:A,"PR")</f>
        <v>57</v>
      </c>
      <c r="F87">
        <f>COUNTIFS('List of documents'!I:I,2018,'List of documents'!A:A,"GP")</f>
        <v>0</v>
      </c>
      <c r="G87">
        <f t="shared" si="1"/>
        <v>76</v>
      </c>
    </row>
    <row r="88" spans="1:7" x14ac:dyDescent="0.2">
      <c r="A88">
        <v>2019</v>
      </c>
      <c r="B88">
        <f>COUNTIFS('List of documents'!I:I,2019,'List of documents'!A:A,"RE")</f>
        <v>0</v>
      </c>
      <c r="C88">
        <f>COUNTIFS('List of documents'!I:I,2019,'List of documents'!A:A,"RM")</f>
        <v>3</v>
      </c>
      <c r="D88">
        <f>COUNTIFS('List of documents'!I:I,2019,'List of documents'!A:A,"PP")</f>
        <v>16</v>
      </c>
      <c r="E88">
        <f>COUNTIFS('List of documents'!I:I,2019,'List of documents'!A:A,"PR")</f>
        <v>56</v>
      </c>
      <c r="F88">
        <f>COUNTIFS('List of documents'!I:I,2019,'List of documents'!A:A,"GP")</f>
        <v>1</v>
      </c>
      <c r="G88">
        <f t="shared" si="1"/>
        <v>76</v>
      </c>
    </row>
    <row r="89" spans="1:7" x14ac:dyDescent="0.2">
      <c r="A89">
        <v>2020</v>
      </c>
      <c r="B89">
        <f>COUNTIFS('List of documents'!I:I,2020,'List of documents'!A:A,"RE")</f>
        <v>1</v>
      </c>
      <c r="C89">
        <f>COUNTIFS('List of documents'!I:I,2020,'List of documents'!A:A,"RM")</f>
        <v>14</v>
      </c>
      <c r="D89">
        <f>COUNTIFS('List of documents'!I:I,2020,'List of documents'!A:A,"PP")</f>
        <v>20</v>
      </c>
      <c r="E89">
        <f>COUNTIFS('List of documents'!I:I,2020,'List of documents'!A:A,"PR")</f>
        <v>78</v>
      </c>
      <c r="F89">
        <f>COUNTIFS('List of documents'!I:I,2020,'List of documents'!A:A,"GP")</f>
        <v>9</v>
      </c>
      <c r="G89">
        <f t="shared" si="1"/>
        <v>122</v>
      </c>
    </row>
    <row r="90" spans="1:7" x14ac:dyDescent="0.2">
      <c r="A90">
        <v>2021</v>
      </c>
      <c r="B90">
        <f>COUNTIFS('List of documents'!I:I,2021,'List of documents'!A:A,"RE")</f>
        <v>0</v>
      </c>
      <c r="C90">
        <f>COUNTIFS('List of documents'!I:I,2021,'List of documents'!A:A,"RM")</f>
        <v>5</v>
      </c>
      <c r="D90">
        <f>COUNTIFS('List of documents'!I:I,2021,'List of documents'!A:A,"PP")</f>
        <v>6</v>
      </c>
      <c r="E90">
        <f>COUNTIFS('List of documents'!I:I,2021,'List of documents'!A:A,"PR")</f>
        <v>61</v>
      </c>
      <c r="F90">
        <f>COUNTIFS('List of documents'!I:I,2021,'List of documents'!A:A,"GP")</f>
        <v>1</v>
      </c>
      <c r="G90">
        <f t="shared" si="1"/>
        <v>73</v>
      </c>
    </row>
    <row r="91" spans="1:7" x14ac:dyDescent="0.2">
      <c r="A91">
        <v>2022</v>
      </c>
      <c r="B91">
        <f>COUNTIFS('List of documents'!I:I,2022,'List of documents'!A:A,"RE")</f>
        <v>0</v>
      </c>
      <c r="C91">
        <f>COUNTIFS('List of documents'!I:I,2022,'List of documents'!A:A,"RM")</f>
        <v>2</v>
      </c>
      <c r="D91">
        <f>COUNTIFS('List of documents'!I:I,2022,'List of documents'!A:A,"PP")</f>
        <v>8</v>
      </c>
      <c r="E91">
        <f>COUNTIFS('List of documents'!I:I,2022,'List of documents'!A:A,"PR")</f>
        <v>32</v>
      </c>
      <c r="F91">
        <f>COUNTIFS('List of documents'!I:I,2022,'List of documents'!A:A,"GP")</f>
        <v>1</v>
      </c>
      <c r="G91">
        <f t="shared" si="1"/>
        <v>43</v>
      </c>
    </row>
    <row r="92" spans="1:7" x14ac:dyDescent="0.2">
      <c r="A92">
        <v>2023</v>
      </c>
      <c r="B92">
        <f>COUNTIFS('List of documents'!I:I,2023,'List of documents'!A:A,"RE")</f>
        <v>0</v>
      </c>
      <c r="C92">
        <f>COUNTIFS('List of documents'!I:I,2023,'List of documents'!A:A,"RM")</f>
        <v>0</v>
      </c>
      <c r="D92">
        <f>COUNTIFS('List of documents'!I:I,2023,'List of documents'!A:A,"PP")</f>
        <v>2</v>
      </c>
      <c r="E92">
        <f>COUNTIFS('List of documents'!I:I,2023,'List of documents'!A:A,"PR")</f>
        <v>0</v>
      </c>
      <c r="F92">
        <f>COUNTIFS('List of documents'!I:I,2023,'List of documents'!A:A,"GP")</f>
        <v>0</v>
      </c>
      <c r="G92">
        <f t="shared" ref="G92" si="2">SUM(B92:F92)</f>
        <v>2</v>
      </c>
    </row>
    <row r="94" spans="1:7" x14ac:dyDescent="0.2">
      <c r="A94" s="57" t="s">
        <v>262</v>
      </c>
      <c r="B94">
        <f>SUM(B71:B91)</f>
        <v>26</v>
      </c>
      <c r="C94">
        <f>SUM(C71:C91)</f>
        <v>62</v>
      </c>
      <c r="D94">
        <f>SUM(D71:D91)</f>
        <v>104</v>
      </c>
      <c r="E94">
        <f>SUM(E71:E91)</f>
        <v>443</v>
      </c>
      <c r="F94">
        <f>SUM(F71:F91)</f>
        <v>18</v>
      </c>
      <c r="G94">
        <f t="shared" si="1"/>
        <v>653</v>
      </c>
    </row>
    <row r="98" spans="1:7" x14ac:dyDescent="0.2">
      <c r="A98" s="57" t="s">
        <v>143</v>
      </c>
      <c r="B98" s="57" t="s">
        <v>1129</v>
      </c>
      <c r="C98" s="57" t="s">
        <v>1130</v>
      </c>
      <c r="D98" s="57" t="s">
        <v>1131</v>
      </c>
      <c r="E98" s="57" t="s">
        <v>1132</v>
      </c>
      <c r="F98" s="57" t="s">
        <v>1133</v>
      </c>
      <c r="G98" s="57" t="s">
        <v>262</v>
      </c>
    </row>
    <row r="99" spans="1:7" x14ac:dyDescent="0.2">
      <c r="A99">
        <v>2009</v>
      </c>
      <c r="B99" s="61">
        <f>SUMIFS('List of documents'!H:H,'List of documents'!I:I,2009,'List of documents'!A:A,"RE")</f>
        <v>14178</v>
      </c>
      <c r="C99" s="61">
        <f>SUMIFS('List of documents'!H:H,'List of documents'!I:I,2009,'List of documents'!A:A,"RM")</f>
        <v>5023872</v>
      </c>
      <c r="D99" s="61">
        <f>SUMIFS('List of documents'!H:H,'List of documents'!I:I,2009,'List of documents'!A:A,"PP")</f>
        <v>35474</v>
      </c>
      <c r="E99" s="61">
        <f>SUMIFS('List of documents'!H:H,'List of documents'!I:I,2009,'List of documents'!A:A,"PR")</f>
        <v>0</v>
      </c>
      <c r="F99" s="61">
        <f>SUMIFS('List of documents'!H:H,'List of documents'!I:I,2009,'List of documents'!A:A,"GP")</f>
        <v>0</v>
      </c>
      <c r="G99" s="61">
        <f>SUMIFS('List of documents'!M:M,'List of documents'!N:N,2009,'List of documents'!F:F,"RE")</f>
        <v>0</v>
      </c>
    </row>
    <row r="100" spans="1:7" x14ac:dyDescent="0.2">
      <c r="A100">
        <v>2010</v>
      </c>
      <c r="B100" s="61">
        <f>SUMIFS('List of documents'!H:H,'List of documents'!I:I,2010,'List of documents'!A:A,"RE")</f>
        <v>129111</v>
      </c>
      <c r="C100" s="61">
        <f>SUMIFS('List of documents'!H:H,'List of documents'!I:I,2010,'List of documents'!A:A,"RM")</f>
        <v>531475</v>
      </c>
      <c r="D100" s="61">
        <f>SUMIFS('List of documents'!H:H,'List of documents'!I:I,2010,'List of documents'!A:A,"PP")</f>
        <v>110058</v>
      </c>
      <c r="E100" s="61">
        <f>SUMIFS('List of documents'!H:H,'List of documents'!I:I,2010,'List of documents'!A:A,"PR")</f>
        <v>0</v>
      </c>
      <c r="F100" s="61">
        <f>SUMIFS('List of documents'!H:H,'List of documents'!I:I,2010,'List of documents'!A:A,"GP")</f>
        <v>0</v>
      </c>
      <c r="G100" s="61">
        <f t="shared" ref="G100:G112" si="3">SUM(B100:F100)</f>
        <v>770644</v>
      </c>
    </row>
    <row r="101" spans="1:7" x14ac:dyDescent="0.2">
      <c r="A101">
        <v>2011</v>
      </c>
      <c r="B101" s="61">
        <f>SUMIFS('List of documents'!H:H,'List of documents'!I:I,2011,'List of documents'!A:A,"RE")</f>
        <v>0</v>
      </c>
      <c r="C101" s="61">
        <f>SUMIFS('List of documents'!H:H,'List of documents'!I:I,2011,'List of documents'!A:A,"RM")</f>
        <v>0</v>
      </c>
      <c r="D101" s="61">
        <f>SUMIFS('List of documents'!H:H,'List of documents'!I:I,2011,'List of documents'!A:A,"PP")</f>
        <v>77242</v>
      </c>
      <c r="E101" s="61">
        <f>SUMIFS('List of documents'!H:H,'List of documents'!I:I,2011,'List of documents'!A:A,"PR")</f>
        <v>0</v>
      </c>
      <c r="F101" s="61">
        <f>SUMIFS('List of documents'!H:H,'List of documents'!I:I,2011,'List of documents'!A:A,"GP")</f>
        <v>0</v>
      </c>
      <c r="G101" s="61">
        <f t="shared" si="3"/>
        <v>77242</v>
      </c>
    </row>
    <row r="102" spans="1:7" x14ac:dyDescent="0.2">
      <c r="A102">
        <v>2012</v>
      </c>
      <c r="B102" s="61">
        <f>SUMIFS('List of documents'!H:H,'List of documents'!I:I,2012,'List of documents'!A:A,"RE")</f>
        <v>323357</v>
      </c>
      <c r="C102" s="61">
        <f>SUMIFS('List of documents'!H:H,'List of documents'!I:I,2012,'List of documents'!A:A,"RM")</f>
        <v>0</v>
      </c>
      <c r="D102" s="61">
        <f>SUMIFS('List of documents'!H:H,'List of documents'!I:I,2012,'List of documents'!A:A,"PP")</f>
        <v>139317</v>
      </c>
      <c r="E102" s="61">
        <f>SUMIFS('List of documents'!H:H,'List of documents'!I:I,2012,'List of documents'!A:A,"PR")</f>
        <v>0</v>
      </c>
      <c r="F102" s="61">
        <f>SUMIFS('List of documents'!H:H,'List of documents'!I:I,2012,'List of documents'!A:A,"GP")</f>
        <v>0</v>
      </c>
      <c r="G102" s="61">
        <f t="shared" si="3"/>
        <v>462674</v>
      </c>
    </row>
    <row r="103" spans="1:7" x14ac:dyDescent="0.2">
      <c r="A103">
        <v>2013</v>
      </c>
      <c r="B103" s="61">
        <f>SUMIFS('List of documents'!H:H,'List of documents'!I:I,2013,'List of documents'!A:A,"RE")</f>
        <v>10728</v>
      </c>
      <c r="C103" s="61">
        <f>SUMIFS('List of documents'!H:H,'List of documents'!I:I,2013,'List of documents'!A:A,"RM")</f>
        <v>3598224</v>
      </c>
      <c r="D103" s="61">
        <f>SUMIFS('List of documents'!H:H,'List of documents'!I:I,2013,'List of documents'!A:A,"PP")</f>
        <v>67114</v>
      </c>
      <c r="E103" s="61">
        <f>SUMIFS('List of documents'!H:H,'List of documents'!I:I,2013,'List of documents'!A:A,"PR")</f>
        <v>0</v>
      </c>
      <c r="F103" s="61">
        <f>SUMIFS('List of documents'!H:H,'List of documents'!I:I,2013,'List of documents'!A:A,"GP")</f>
        <v>0</v>
      </c>
      <c r="G103" s="61">
        <f t="shared" si="3"/>
        <v>3676066</v>
      </c>
    </row>
    <row r="104" spans="1:7" x14ac:dyDescent="0.2">
      <c r="A104">
        <v>2014</v>
      </c>
      <c r="B104" s="61">
        <f>SUMIFS('List of documents'!H:H,'List of documents'!I:I,2014,'List of documents'!A:A,"RE")</f>
        <v>0</v>
      </c>
      <c r="C104" s="61">
        <f>SUMIFS('List of documents'!H:H,'List of documents'!I:I,2014,'List of documents'!A:A,"RM")</f>
        <v>3393822</v>
      </c>
      <c r="D104" s="61">
        <f>SUMIFS('List of documents'!H:H,'List of documents'!I:I,2014,'List of documents'!A:A,"PP")</f>
        <v>296776</v>
      </c>
      <c r="E104" s="61">
        <f>SUMIFS('List of documents'!H:H,'List of documents'!I:I,2014,'List of documents'!A:A,"PR")</f>
        <v>409122</v>
      </c>
      <c r="F104" s="61">
        <f>SUMIFS('List of documents'!H:H,'List of documents'!I:I,2014,'List of documents'!A:A,"GP")</f>
        <v>34099</v>
      </c>
      <c r="G104" s="61">
        <f t="shared" si="3"/>
        <v>4133819</v>
      </c>
    </row>
    <row r="105" spans="1:7" x14ac:dyDescent="0.2">
      <c r="A105">
        <v>2015</v>
      </c>
      <c r="B105" s="61">
        <f>SUMIFS('List of documents'!H:H,'List of documents'!I:I,2015,'List of documents'!A:A,"RE")</f>
        <v>0</v>
      </c>
      <c r="C105" s="61">
        <f>SUMIFS('List of documents'!H:H,'List of documents'!I:I,2015,'List of documents'!A:A,"RM")</f>
        <v>351962</v>
      </c>
      <c r="D105" s="61">
        <f>SUMIFS('List of documents'!H:H,'List of documents'!I:I,2015,'List of documents'!A:A,"PP")</f>
        <v>138163</v>
      </c>
      <c r="E105" s="61">
        <f>SUMIFS('List of documents'!H:H,'List of documents'!I:I,2015,'List of documents'!A:A,"PR")</f>
        <v>981986</v>
      </c>
      <c r="F105" s="61">
        <f>SUMIFS('List of documents'!H:H,'List of documents'!I:I,2015,'List of documents'!A:A,"GP")</f>
        <v>50538</v>
      </c>
      <c r="G105" s="61">
        <f t="shared" si="3"/>
        <v>1522649</v>
      </c>
    </row>
    <row r="106" spans="1:7" x14ac:dyDescent="0.2">
      <c r="A106">
        <v>2016</v>
      </c>
      <c r="B106" s="61">
        <f>SUMIFS('List of documents'!H:H,'List of documents'!I:I,2016,'List of documents'!A:A,"RE")</f>
        <v>480276</v>
      </c>
      <c r="C106" s="61">
        <f>SUMIFS('List of documents'!H:H,'List of documents'!I:I,2016,'List of documents'!A:A,"RM")</f>
        <v>1609847</v>
      </c>
      <c r="D106" s="61">
        <f>SUMIFS('List of documents'!H:H,'List of documents'!I:I,2016,'List of documents'!A:A,"PP")</f>
        <v>136953</v>
      </c>
      <c r="E106" s="61">
        <f>SUMIFS('List of documents'!H:H,'List of documents'!I:I,2016,'List of documents'!A:A,"PR")</f>
        <v>820522</v>
      </c>
      <c r="F106" s="61">
        <f>SUMIFS('List of documents'!H:H,'List of documents'!I:I,2016,'List of documents'!A:A,"GP")</f>
        <v>22000</v>
      </c>
      <c r="G106" s="61">
        <f t="shared" si="3"/>
        <v>3069598</v>
      </c>
    </row>
    <row r="107" spans="1:7" x14ac:dyDescent="0.2">
      <c r="A107">
        <v>2017</v>
      </c>
      <c r="B107" s="61">
        <f>SUMIFS('List of documents'!H:H,'List of documents'!I:I,2017,'List of documents'!A:A,"RE")</f>
        <v>4878</v>
      </c>
      <c r="C107" s="61">
        <f>SUMIFS('List of documents'!H:H,'List of documents'!I:I,2017,'List of documents'!A:A,"RM")</f>
        <v>380293</v>
      </c>
      <c r="D107" s="61">
        <f>SUMIFS('List of documents'!H:H,'List of documents'!I:I,2017,'List of documents'!A:A,"PP")</f>
        <v>292230</v>
      </c>
      <c r="E107" s="61">
        <f>SUMIFS('List of documents'!H:H,'List of documents'!I:I,2017,'List of documents'!A:A,"PR")</f>
        <v>725849</v>
      </c>
      <c r="F107" s="61">
        <f>SUMIFS('List of documents'!H:H,'List of documents'!I:I,2017,'List of documents'!A:A,"GP")</f>
        <v>322810</v>
      </c>
      <c r="G107" s="61">
        <f t="shared" si="3"/>
        <v>1726060</v>
      </c>
    </row>
    <row r="108" spans="1:7" x14ac:dyDescent="0.2">
      <c r="A108">
        <v>2018</v>
      </c>
      <c r="B108" s="61">
        <f>SUMIFS('List of documents'!H:H,'List of documents'!I:I,2018,'List of documents'!A:A,"RE")</f>
        <v>0</v>
      </c>
      <c r="C108" s="61">
        <f>SUMIFS('List of documents'!H:H,'List of documents'!I:I,2018,'List of documents'!A:A,"RM")</f>
        <v>633752</v>
      </c>
      <c r="D108" s="61">
        <f>SUMIFS('List of documents'!H:H,'List of documents'!I:I,2018,'List of documents'!A:A,"PP")</f>
        <v>515109</v>
      </c>
      <c r="E108" s="61">
        <f>SUMIFS('List of documents'!H:H,'List of documents'!I:I,2018,'List of documents'!A:A,"PR")</f>
        <v>700307</v>
      </c>
      <c r="F108" s="61">
        <f>SUMIFS('List of documents'!H:H,'List of documents'!I:I,2018,'List of documents'!A:A,"GP")</f>
        <v>0</v>
      </c>
      <c r="G108" s="61">
        <f t="shared" si="3"/>
        <v>1849168</v>
      </c>
    </row>
    <row r="109" spans="1:7" x14ac:dyDescent="0.2">
      <c r="A109">
        <v>2019</v>
      </c>
      <c r="B109" s="61">
        <f>SUMIFS('List of documents'!H:H,'List of documents'!I:I,2019,'List of documents'!A:A,"RE")</f>
        <v>0</v>
      </c>
      <c r="C109" s="61">
        <f>SUMIFS('List of documents'!H:H,'List of documents'!I:I,2019,'List of documents'!A:A,"RM")</f>
        <v>106467</v>
      </c>
      <c r="D109" s="61">
        <f>SUMIFS('List of documents'!H:H,'List of documents'!I:I,2019,'List of documents'!A:A,"PP")</f>
        <v>462846</v>
      </c>
      <c r="E109" s="61">
        <f>SUMIFS('List of documents'!H:H,'List of documents'!I:I,2019,'List of documents'!A:A,"PR")</f>
        <v>705404</v>
      </c>
      <c r="F109" s="61">
        <f>SUMIFS('List of documents'!H:H,'List of documents'!I:I,2019,'List of documents'!A:A,"GP")</f>
        <v>9207</v>
      </c>
      <c r="G109" s="61">
        <f t="shared" si="3"/>
        <v>1283924</v>
      </c>
    </row>
    <row r="110" spans="1:7" x14ac:dyDescent="0.2">
      <c r="A110">
        <v>2020</v>
      </c>
      <c r="B110" s="61">
        <f>SUMIFS('List of documents'!H:H,'List of documents'!I:I,2020,'List of documents'!A:A,"RE")</f>
        <v>3412</v>
      </c>
      <c r="C110" s="61">
        <f>SUMIFS('List of documents'!H:H,'List of documents'!I:I,2020,'List of documents'!A:A,"RM")</f>
        <v>1017446</v>
      </c>
      <c r="D110" s="61">
        <f>SUMIFS('List of documents'!H:H,'List of documents'!I:I,2020,'List of documents'!A:A,"PP")</f>
        <v>858966</v>
      </c>
      <c r="E110" s="61">
        <f>SUMIFS('List of documents'!H:H,'List of documents'!I:I,2020,'List of documents'!A:A,"PR")</f>
        <v>1026545</v>
      </c>
      <c r="F110" s="61">
        <f>SUMIFS('List of documents'!H:H,'List of documents'!I:I,2020,'List of documents'!A:A,"GP")</f>
        <v>94128</v>
      </c>
      <c r="G110" s="61">
        <f t="shared" si="3"/>
        <v>3000497</v>
      </c>
    </row>
    <row r="111" spans="1:7" x14ac:dyDescent="0.2">
      <c r="A111">
        <v>2021</v>
      </c>
      <c r="B111" s="61">
        <f>SUMIFS('List of documents'!H:H,'List of documents'!I:I,2021,'List of documents'!A:A,"RE")</f>
        <v>0</v>
      </c>
      <c r="C111" s="61">
        <f>SUMIFS('List of documents'!H:H,'List of documents'!I:I,2021,'List of documents'!A:A,"RM")</f>
        <v>140693</v>
      </c>
      <c r="D111" s="61">
        <f>SUMIFS('List of documents'!H:H,'List of documents'!I:I,2021,'List of documents'!A:A,"PP")</f>
        <v>165277</v>
      </c>
      <c r="E111" s="61">
        <f>SUMIFS('List of documents'!H:H,'List of documents'!I:I,2021,'List of documents'!A:A,"PR")</f>
        <v>712330</v>
      </c>
      <c r="F111" s="61">
        <f>SUMIFS('List of documents'!H:H,'List of documents'!I:I,2021,'List of documents'!A:A,"GP")</f>
        <v>19721</v>
      </c>
      <c r="G111" s="61">
        <f t="shared" si="3"/>
        <v>1038021</v>
      </c>
    </row>
    <row r="112" spans="1:7" x14ac:dyDescent="0.2">
      <c r="A112">
        <v>2022</v>
      </c>
      <c r="B112" s="61">
        <f>SUMIFS('List of documents'!H:H,'List of documents'!I:I,2022,'List of documents'!A:A,"RE")</f>
        <v>0</v>
      </c>
      <c r="C112" s="61">
        <f>SUMIFS('List of documents'!H:H,'List of documents'!I:I,2022,'List of documents'!A:A,"RM")</f>
        <v>661495</v>
      </c>
      <c r="D112" s="61">
        <f>SUMIFS('List of documents'!H:H,'List of documents'!I:I,2022,'List of documents'!A:A,"PP")</f>
        <v>139469</v>
      </c>
      <c r="E112" s="61">
        <f>SUMIFS('List of documents'!H:H,'List of documents'!I:I,2022,'List of documents'!A:A,"PR")</f>
        <v>429920</v>
      </c>
      <c r="F112" s="61">
        <f>SUMIFS('List of documents'!H:H,'List of documents'!I:I,2022,'List of documents'!A:A,"GP")</f>
        <v>9386</v>
      </c>
      <c r="G112" s="61">
        <f t="shared" si="3"/>
        <v>1240270</v>
      </c>
    </row>
    <row r="113" spans="1:7" x14ac:dyDescent="0.2">
      <c r="A113">
        <v>2023</v>
      </c>
      <c r="B113" s="61">
        <f>SUMIFS('List of documents'!H:H,'List of documents'!I:I,2023,'List of documents'!A:A,"RE")</f>
        <v>0</v>
      </c>
      <c r="C113" s="61">
        <f>SUMIFS('List of documents'!H:H,'List of documents'!I:I,2023,'List of documents'!A:A,"RM")</f>
        <v>0</v>
      </c>
      <c r="D113" s="61">
        <f>SUMIFS('List of documents'!H:H,'List of documents'!I:I,2023,'List of documents'!A:A,"PP")</f>
        <v>17163</v>
      </c>
      <c r="E113" s="61">
        <f>SUMIFS('List of documents'!H:H,'List of documents'!I:I,2023,'List of documents'!A:A,"PR")</f>
        <v>0</v>
      </c>
      <c r="F113" s="61">
        <f>SUMIFS('List of documents'!H:H,'List of documents'!I:I,2023,'List of documents'!A:A,"GP")</f>
        <v>0</v>
      </c>
      <c r="G113" s="61">
        <f t="shared" ref="G113" si="4">SUM(B113:F113)</f>
        <v>17163</v>
      </c>
    </row>
    <row r="114" spans="1:7" x14ac:dyDescent="0.2">
      <c r="B114" s="61"/>
      <c r="C114" s="61"/>
      <c r="D114" s="61"/>
      <c r="E114" s="61"/>
      <c r="F114" s="61"/>
      <c r="G114" s="61"/>
    </row>
    <row r="115" spans="1:7" x14ac:dyDescent="0.2">
      <c r="A115" s="57" t="s">
        <v>262</v>
      </c>
      <c r="B115" s="61">
        <f>SUM(B99:B112)</f>
        <v>965940</v>
      </c>
      <c r="C115" s="61">
        <f>SUM(C99:C112)</f>
        <v>17449348</v>
      </c>
      <c r="D115" s="61">
        <f>SUM(D99:D112)</f>
        <v>3434994</v>
      </c>
      <c r="E115" s="61">
        <f>SUM(E99:E112)</f>
        <v>6511985</v>
      </c>
      <c r="F115" s="61">
        <f>SUM(F99:F112)</f>
        <v>561889</v>
      </c>
      <c r="G115" s="61">
        <f>SUM(B115:F115)</f>
        <v>28924156</v>
      </c>
    </row>
  </sheetData>
  <sortState ref="A22:C41">
    <sortCondition ref="B22:B41"/>
  </sortState>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
  <sheetViews>
    <sheetView topLeftCell="A7" zoomScale="115" zoomScaleNormal="115" workbookViewId="0"/>
  </sheetViews>
  <sheetFormatPr baseColWidth="10" defaultRowHeight="14.25" x14ac:dyDescent="0.2"/>
  <cols>
    <col min="1" max="1" width="3.625" customWidth="1"/>
    <col min="2" max="2" width="19.875" customWidth="1"/>
    <col min="3" max="4" width="8.75" customWidth="1"/>
    <col min="5" max="5" width="31.75" customWidth="1"/>
    <col min="6" max="6" width="30.875" customWidth="1"/>
    <col min="7" max="7" width="31.625" customWidth="1"/>
    <col min="8" max="8" width="15.75" customWidth="1"/>
    <col min="9" max="9" width="12.875" customWidth="1"/>
    <col min="10" max="10" width="19.375" customWidth="1"/>
  </cols>
  <sheetData>
    <row r="1" spans="1:10" ht="60" customHeight="1" x14ac:dyDescent="0.25">
      <c r="A1" s="30" t="s">
        <v>43</v>
      </c>
      <c r="B1" s="58" t="s">
        <v>12</v>
      </c>
      <c r="C1" s="41" t="s">
        <v>125</v>
      </c>
      <c r="D1" s="33" t="s">
        <v>93</v>
      </c>
      <c r="E1" s="31" t="s">
        <v>7</v>
      </c>
      <c r="F1" s="31" t="s">
        <v>8</v>
      </c>
      <c r="G1" s="32" t="s">
        <v>17</v>
      </c>
      <c r="H1" s="31" t="s">
        <v>52</v>
      </c>
      <c r="I1" s="31" t="s">
        <v>53</v>
      </c>
      <c r="J1" s="32" t="s">
        <v>89</v>
      </c>
    </row>
    <row r="2" spans="1:10" ht="42.75" x14ac:dyDescent="0.2">
      <c r="A2" s="24">
        <v>1</v>
      </c>
      <c r="B2" s="6" t="s">
        <v>30</v>
      </c>
      <c r="C2" s="6" t="s">
        <v>126</v>
      </c>
      <c r="D2" s="6" t="s">
        <v>95</v>
      </c>
      <c r="E2" s="3" t="s">
        <v>22</v>
      </c>
      <c r="F2" s="1"/>
      <c r="G2" s="8" t="s">
        <v>23</v>
      </c>
      <c r="H2" s="7" t="s">
        <v>54</v>
      </c>
      <c r="I2" s="26" t="s">
        <v>55</v>
      </c>
      <c r="J2" s="7" t="s">
        <v>84</v>
      </c>
    </row>
    <row r="3" spans="1:10" ht="85.5" x14ac:dyDescent="0.2">
      <c r="A3" s="24">
        <v>2</v>
      </c>
      <c r="B3" s="6" t="s">
        <v>31</v>
      </c>
      <c r="C3" s="6" t="s">
        <v>127</v>
      </c>
      <c r="D3" s="6" t="s">
        <v>95</v>
      </c>
      <c r="E3" s="3" t="s">
        <v>16</v>
      </c>
      <c r="F3" s="3" t="s">
        <v>44</v>
      </c>
      <c r="G3" s="8"/>
      <c r="H3" s="7" t="s">
        <v>70</v>
      </c>
      <c r="I3" s="28" t="s">
        <v>69</v>
      </c>
      <c r="J3" s="7" t="s">
        <v>83</v>
      </c>
    </row>
    <row r="4" spans="1:10" ht="57" x14ac:dyDescent="0.2">
      <c r="A4" s="24">
        <v>3</v>
      </c>
      <c r="B4" s="6" t="s">
        <v>29</v>
      </c>
      <c r="C4" s="6" t="s">
        <v>128</v>
      </c>
      <c r="D4" s="6" t="s">
        <v>94</v>
      </c>
      <c r="E4" s="3" t="s">
        <v>3</v>
      </c>
      <c r="F4" s="1"/>
      <c r="G4" s="8"/>
      <c r="H4" s="7" t="s">
        <v>63</v>
      </c>
      <c r="I4" s="28" t="s">
        <v>62</v>
      </c>
      <c r="J4" s="7" t="s">
        <v>82</v>
      </c>
    </row>
    <row r="5" spans="1:10" ht="57" x14ac:dyDescent="0.2">
      <c r="A5" s="24">
        <v>4</v>
      </c>
      <c r="B5" s="6" t="s">
        <v>32</v>
      </c>
      <c r="C5" s="6" t="s">
        <v>129</v>
      </c>
      <c r="D5" s="6" t="s">
        <v>95</v>
      </c>
      <c r="E5" s="3" t="s">
        <v>21</v>
      </c>
      <c r="F5" s="1"/>
      <c r="G5" s="8" t="s">
        <v>1271</v>
      </c>
      <c r="H5" s="7" t="s">
        <v>61</v>
      </c>
      <c r="I5" s="27" t="s">
        <v>60</v>
      </c>
      <c r="J5" s="7" t="s">
        <v>82</v>
      </c>
    </row>
    <row r="6" spans="1:10" ht="57" x14ac:dyDescent="0.2">
      <c r="A6" s="24">
        <v>5</v>
      </c>
      <c r="B6" s="6" t="s">
        <v>34</v>
      </c>
      <c r="C6" s="6" t="s">
        <v>130</v>
      </c>
      <c r="D6" s="6" t="s">
        <v>95</v>
      </c>
      <c r="E6" s="3" t="s">
        <v>18</v>
      </c>
      <c r="F6" s="3" t="s">
        <v>19</v>
      </c>
      <c r="G6" s="8"/>
      <c r="H6" s="7" t="s">
        <v>56</v>
      </c>
      <c r="I6" s="26" t="s">
        <v>57</v>
      </c>
      <c r="J6" s="7" t="s">
        <v>84</v>
      </c>
    </row>
    <row r="7" spans="1:10" ht="71.25" x14ac:dyDescent="0.2">
      <c r="A7" s="24">
        <v>6</v>
      </c>
      <c r="B7" s="6" t="s">
        <v>91</v>
      </c>
      <c r="C7" s="6" t="s">
        <v>131</v>
      </c>
      <c r="D7" s="6" t="s">
        <v>94</v>
      </c>
      <c r="E7" s="3" t="s">
        <v>90</v>
      </c>
      <c r="F7" s="1"/>
      <c r="G7" s="8" t="s">
        <v>92</v>
      </c>
      <c r="H7" s="7" t="s">
        <v>80</v>
      </c>
      <c r="I7" s="26" t="s">
        <v>81</v>
      </c>
      <c r="J7" s="7" t="s">
        <v>82</v>
      </c>
    </row>
    <row r="8" spans="1:10" ht="28.5" x14ac:dyDescent="0.2">
      <c r="A8" s="24">
        <v>7</v>
      </c>
      <c r="B8" s="6" t="s">
        <v>47</v>
      </c>
      <c r="C8" s="6" t="s">
        <v>132</v>
      </c>
      <c r="D8" s="6" t="s">
        <v>116</v>
      </c>
      <c r="E8" s="3" t="s">
        <v>48</v>
      </c>
      <c r="F8" s="3"/>
      <c r="G8" s="8" t="s">
        <v>87</v>
      </c>
      <c r="H8" s="7" t="s">
        <v>88</v>
      </c>
      <c r="I8" s="7" t="s">
        <v>88</v>
      </c>
      <c r="J8" s="7" t="s">
        <v>88</v>
      </c>
    </row>
    <row r="9" spans="1:10" ht="42.75" x14ac:dyDescent="0.2">
      <c r="A9" s="24">
        <v>8</v>
      </c>
      <c r="B9" s="6" t="s">
        <v>35</v>
      </c>
      <c r="C9" s="6" t="s">
        <v>133</v>
      </c>
      <c r="D9" s="6" t="s">
        <v>95</v>
      </c>
      <c r="E9" s="3" t="s">
        <v>14</v>
      </c>
      <c r="F9" s="1"/>
      <c r="G9" s="79" t="s">
        <v>595</v>
      </c>
      <c r="H9" s="7" t="s">
        <v>596</v>
      </c>
      <c r="I9" s="26" t="s">
        <v>594</v>
      </c>
      <c r="J9" s="7" t="s">
        <v>84</v>
      </c>
    </row>
    <row r="10" spans="1:10" ht="28.5" x14ac:dyDescent="0.2">
      <c r="A10" s="24">
        <v>9</v>
      </c>
      <c r="B10" s="6" t="s">
        <v>36</v>
      </c>
      <c r="C10" s="6" t="s">
        <v>132</v>
      </c>
      <c r="D10" s="6" t="s">
        <v>94</v>
      </c>
      <c r="E10" s="3" t="s">
        <v>11</v>
      </c>
      <c r="F10" s="1"/>
      <c r="G10" s="8"/>
      <c r="H10" s="7" t="s">
        <v>65</v>
      </c>
      <c r="I10" s="26" t="s">
        <v>75</v>
      </c>
      <c r="J10" s="7" t="s">
        <v>82</v>
      </c>
    </row>
    <row r="11" spans="1:10" ht="28.5" x14ac:dyDescent="0.2">
      <c r="A11" s="24">
        <v>10</v>
      </c>
      <c r="B11" s="6" t="s">
        <v>37</v>
      </c>
      <c r="C11" s="6" t="s">
        <v>119</v>
      </c>
      <c r="D11" s="6" t="s">
        <v>116</v>
      </c>
      <c r="E11" s="3" t="s">
        <v>13</v>
      </c>
      <c r="F11" s="1"/>
      <c r="G11" s="8"/>
      <c r="H11" s="7" t="s">
        <v>66</v>
      </c>
      <c r="I11" s="26" t="s">
        <v>67</v>
      </c>
      <c r="J11" s="7" t="s">
        <v>83</v>
      </c>
    </row>
    <row r="12" spans="1:10" ht="28.5" x14ac:dyDescent="0.2">
      <c r="A12" s="24">
        <v>11</v>
      </c>
      <c r="B12" s="6" t="s">
        <v>33</v>
      </c>
      <c r="C12" s="6" t="s">
        <v>134</v>
      </c>
      <c r="D12" s="6" t="s">
        <v>95</v>
      </c>
      <c r="E12" s="3" t="s">
        <v>20</v>
      </c>
      <c r="F12" s="1"/>
      <c r="G12" s="8"/>
      <c r="H12" s="7" t="s">
        <v>71</v>
      </c>
      <c r="I12" s="26" t="s">
        <v>74</v>
      </c>
      <c r="J12" s="7" t="s">
        <v>82</v>
      </c>
    </row>
    <row r="13" spans="1:10" ht="71.25" x14ac:dyDescent="0.2">
      <c r="A13" s="24">
        <v>12</v>
      </c>
      <c r="B13" s="6" t="s">
        <v>38</v>
      </c>
      <c r="C13" s="6" t="s">
        <v>135</v>
      </c>
      <c r="D13" s="6" t="s">
        <v>95</v>
      </c>
      <c r="E13" s="3" t="s">
        <v>1437</v>
      </c>
      <c r="F13" s="1"/>
      <c r="G13" s="8"/>
      <c r="H13" s="7" t="s">
        <v>72</v>
      </c>
      <c r="I13" s="26" t="s">
        <v>73</v>
      </c>
      <c r="J13" s="7" t="s">
        <v>82</v>
      </c>
    </row>
    <row r="14" spans="1:10" ht="42.75" x14ac:dyDescent="0.2">
      <c r="A14" s="24">
        <v>13</v>
      </c>
      <c r="B14" s="6" t="s">
        <v>39</v>
      </c>
      <c r="C14" s="6" t="s">
        <v>129</v>
      </c>
      <c r="D14" s="6" t="s">
        <v>94</v>
      </c>
      <c r="E14" s="3" t="s">
        <v>15</v>
      </c>
      <c r="F14" s="1"/>
      <c r="G14" s="8"/>
      <c r="H14" s="7" t="s">
        <v>68</v>
      </c>
      <c r="I14" s="26" t="s">
        <v>76</v>
      </c>
      <c r="J14" s="7" t="s">
        <v>82</v>
      </c>
    </row>
    <row r="15" spans="1:10" ht="71.25" x14ac:dyDescent="0.2">
      <c r="A15" s="24">
        <v>14</v>
      </c>
      <c r="B15" s="6" t="s">
        <v>41</v>
      </c>
      <c r="C15" s="6" t="s">
        <v>136</v>
      </c>
      <c r="D15" s="6" t="s">
        <v>94</v>
      </c>
      <c r="E15" s="3" t="s">
        <v>5</v>
      </c>
      <c r="F15" s="3" t="s">
        <v>6</v>
      </c>
      <c r="G15" s="8"/>
      <c r="H15" s="7" t="s">
        <v>64</v>
      </c>
      <c r="I15" s="28" t="s">
        <v>77</v>
      </c>
      <c r="J15" s="7" t="s">
        <v>82</v>
      </c>
    </row>
    <row r="16" spans="1:10" ht="71.25" x14ac:dyDescent="0.2">
      <c r="A16" s="24">
        <v>15</v>
      </c>
      <c r="B16" s="6" t="s">
        <v>40</v>
      </c>
      <c r="C16" s="6" t="s">
        <v>137</v>
      </c>
      <c r="D16" s="6" t="s">
        <v>95</v>
      </c>
      <c r="E16" s="3" t="s">
        <v>9</v>
      </c>
      <c r="F16" s="3" t="s">
        <v>10</v>
      </c>
      <c r="G16" s="8"/>
      <c r="H16" s="7" t="s">
        <v>78</v>
      </c>
      <c r="I16" s="26" t="s">
        <v>79</v>
      </c>
      <c r="J16" s="7" t="s">
        <v>82</v>
      </c>
    </row>
    <row r="17" spans="1:10" ht="42.75" x14ac:dyDescent="0.2">
      <c r="A17" s="25">
        <v>16</v>
      </c>
      <c r="B17" s="9" t="s">
        <v>42</v>
      </c>
      <c r="C17" s="9" t="s">
        <v>126</v>
      </c>
      <c r="D17" s="9" t="s">
        <v>94</v>
      </c>
      <c r="E17" s="10" t="s">
        <v>4</v>
      </c>
      <c r="F17" s="11"/>
      <c r="G17" s="12"/>
      <c r="H17" s="7" t="s">
        <v>58</v>
      </c>
      <c r="I17" s="26" t="s">
        <v>59</v>
      </c>
      <c r="J17" s="7" t="s">
        <v>82</v>
      </c>
    </row>
    <row r="18" spans="1:10" x14ac:dyDescent="0.2">
      <c r="E18" s="2"/>
      <c r="F18" s="2"/>
    </row>
    <row r="19" spans="1:10" x14ac:dyDescent="0.2">
      <c r="E19" s="2"/>
      <c r="F19" s="2"/>
    </row>
    <row r="20" spans="1:10" x14ac:dyDescent="0.2">
      <c r="E20" s="2"/>
      <c r="F20" s="2"/>
    </row>
  </sheetData>
  <conditionalFormatting sqref="J2:J17">
    <cfRule type="cellIs" dxfId="2" priority="1" operator="equal">
      <formula>"?"</formula>
    </cfRule>
    <cfRule type="cellIs" dxfId="1" priority="2" operator="equal">
      <formula>"YES"</formula>
    </cfRule>
    <cfRule type="cellIs" dxfId="0" priority="3" operator="equal">
      <formula>"NO"</formula>
    </cfRule>
  </conditionalFormatting>
  <hyperlinks>
    <hyperlink ref="E4" r:id="rId1"/>
    <hyperlink ref="E17" r:id="rId2"/>
    <hyperlink ref="E15" r:id="rId3"/>
    <hyperlink ref="F15" r:id="rId4"/>
    <hyperlink ref="F16" r:id="rId5" location="!/doc/explanations_aube_bopauverm "/>
    <hyperlink ref="E10" r:id="rId6"/>
    <hyperlink ref="E11" r:id="rId7"/>
    <hyperlink ref="E9" r:id="rId8"/>
    <hyperlink ref="E14" r:id="rId9"/>
    <hyperlink ref="E3" r:id="rId10"/>
    <hyperlink ref="E6" r:id="rId11"/>
    <hyperlink ref="F6" r:id="rId12"/>
    <hyperlink ref="E12" r:id="rId13"/>
    <hyperlink ref="E5" r:id="rId14" location="?cludoquery=%22balance%20of%20payments%22&amp;cludopage=1 "/>
    <hyperlink ref="E2" r:id="rId15"/>
    <hyperlink ref="F3" r:id="rId16"/>
    <hyperlink ref="E8" r:id="rId17"/>
    <hyperlink ref="B1" location="'List of abbreviations'!A1" display="Organisations"/>
    <hyperlink ref="I2" r:id="rId18"/>
    <hyperlink ref="I13" r:id="rId19"/>
    <hyperlink ref="I12" r:id="rId20"/>
    <hyperlink ref="I11" r:id="rId21"/>
    <hyperlink ref="I10" r:id="rId22"/>
    <hyperlink ref="I14" r:id="rId23"/>
    <hyperlink ref="I16" r:id="rId24" display="alexander.fluehmann@snb.ch "/>
    <hyperlink ref="I7" r:id="rId25"/>
    <hyperlink ref="D1" location="'List of abbreviations'!A1" display="Type"/>
    <hyperlink ref="I17" r:id="rId26"/>
    <hyperlink ref="I6" r:id="rId27"/>
    <hyperlink ref="I5" r:id="rId28"/>
    <hyperlink ref="I9" r:id="rId29"/>
    <hyperlink ref="E7" r:id="rId30"/>
  </hyperlinks>
  <pageMargins left="0.7" right="0.7" top="0.75" bottom="0.75" header="0.3" footer="0.3"/>
  <pageSetup paperSize="9" orientation="portrait" horizontalDpi="4294967293" verticalDpi="300" r:id="rId31"/>
  <tableParts count="1">
    <tablePart r:id="rId3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37"/>
  <sheetViews>
    <sheetView tabSelected="1" zoomScaleNormal="100" workbookViewId="0">
      <selection activeCell="H12" sqref="H12"/>
    </sheetView>
  </sheetViews>
  <sheetFormatPr baseColWidth="10" defaultRowHeight="14.25" x14ac:dyDescent="0.2"/>
  <cols>
    <col min="1" max="1" width="5.375" customWidth="1"/>
    <col min="2" max="2" width="78.125" customWidth="1"/>
    <col min="3" max="3" width="3.375" customWidth="1"/>
    <col min="4" max="4" width="31.5" customWidth="1"/>
    <col min="5" max="5" width="3.5" customWidth="1"/>
    <col min="6" max="6" width="7.375" customWidth="1"/>
    <col min="7" max="7" width="17.75" customWidth="1"/>
    <col min="8" max="8" width="22.875" customWidth="1"/>
  </cols>
  <sheetData>
    <row r="1" spans="1:8" ht="27" x14ac:dyDescent="0.35">
      <c r="A1" s="87" t="s">
        <v>24</v>
      </c>
      <c r="B1" s="88"/>
      <c r="C1" s="20"/>
      <c r="D1" s="20"/>
      <c r="F1" s="89" t="s">
        <v>97</v>
      </c>
      <c r="G1" s="90"/>
      <c r="H1" s="91"/>
    </row>
    <row r="2" spans="1:8" ht="36.75" customHeight="1" x14ac:dyDescent="0.35">
      <c r="A2" s="17"/>
      <c r="B2" s="23" t="s">
        <v>50</v>
      </c>
      <c r="F2" s="37"/>
      <c r="G2" s="38" t="s">
        <v>43</v>
      </c>
      <c r="H2" s="38" t="s">
        <v>115</v>
      </c>
    </row>
    <row r="3" spans="1:8" ht="45.6" customHeight="1" x14ac:dyDescent="0.25">
      <c r="A3" s="19">
        <v>1</v>
      </c>
      <c r="B3" s="18" t="s">
        <v>104</v>
      </c>
      <c r="D3" s="35" t="s">
        <v>45</v>
      </c>
      <c r="F3" s="38" t="s">
        <v>95</v>
      </c>
      <c r="G3" s="39" t="s">
        <v>117</v>
      </c>
      <c r="H3" s="39" t="s">
        <v>35</v>
      </c>
    </row>
    <row r="4" spans="1:8" ht="31.9" customHeight="1" x14ac:dyDescent="0.25">
      <c r="A4" s="19">
        <v>2</v>
      </c>
      <c r="B4" s="18" t="s">
        <v>103</v>
      </c>
      <c r="D4" s="35" t="s">
        <v>46</v>
      </c>
      <c r="F4" s="38" t="s">
        <v>94</v>
      </c>
      <c r="G4" s="39" t="s">
        <v>118</v>
      </c>
      <c r="H4" s="39" t="s">
        <v>36</v>
      </c>
    </row>
    <row r="5" spans="1:8" ht="33.6" customHeight="1" x14ac:dyDescent="0.25">
      <c r="A5" s="19">
        <v>3</v>
      </c>
      <c r="B5" s="18" t="s">
        <v>99</v>
      </c>
      <c r="D5" s="35" t="s">
        <v>98</v>
      </c>
      <c r="F5" s="38" t="s">
        <v>116</v>
      </c>
      <c r="G5" s="40" t="s">
        <v>121</v>
      </c>
      <c r="H5" s="39" t="s">
        <v>120</v>
      </c>
    </row>
    <row r="6" spans="1:8" ht="19.5" x14ac:dyDescent="0.25">
      <c r="A6" s="19">
        <v>4</v>
      </c>
      <c r="B6" s="18" t="s">
        <v>102</v>
      </c>
      <c r="D6" s="82" t="s">
        <v>122</v>
      </c>
    </row>
    <row r="7" spans="1:8" ht="19.5" x14ac:dyDescent="0.25">
      <c r="A7" s="19">
        <v>5</v>
      </c>
      <c r="B7" s="18" t="s">
        <v>100</v>
      </c>
      <c r="D7" s="35" t="s">
        <v>123</v>
      </c>
    </row>
    <row r="8" spans="1:8" ht="19.5" x14ac:dyDescent="0.25">
      <c r="A8" s="19">
        <v>6</v>
      </c>
      <c r="B8" s="18" t="s">
        <v>101</v>
      </c>
    </row>
    <row r="9" spans="1:8" ht="39" x14ac:dyDescent="0.25">
      <c r="A9" s="19">
        <v>7</v>
      </c>
      <c r="B9" s="34" t="s">
        <v>114</v>
      </c>
      <c r="D9" s="36"/>
    </row>
    <row r="10" spans="1:8" ht="20.25" thickBot="1" x14ac:dyDescent="0.3">
      <c r="A10" s="19">
        <v>8</v>
      </c>
      <c r="B10" s="34" t="s">
        <v>109</v>
      </c>
    </row>
    <row r="11" spans="1:8" ht="20.25" thickBot="1" x14ac:dyDescent="0.3">
      <c r="A11" s="19">
        <v>9</v>
      </c>
      <c r="B11" s="34" t="s">
        <v>110</v>
      </c>
      <c r="D11" s="5" t="s">
        <v>27</v>
      </c>
    </row>
    <row r="12" spans="1:8" ht="20.25" thickBot="1" x14ac:dyDescent="0.3">
      <c r="A12" s="19">
        <v>10</v>
      </c>
      <c r="B12" s="34" t="s">
        <v>111</v>
      </c>
      <c r="D12" s="4"/>
    </row>
    <row r="13" spans="1:8" ht="20.25" thickBot="1" x14ac:dyDescent="0.3">
      <c r="A13" s="19">
        <v>11</v>
      </c>
      <c r="B13" s="34" t="s">
        <v>112</v>
      </c>
      <c r="D13" s="5" t="s">
        <v>28</v>
      </c>
    </row>
    <row r="14" spans="1:8" ht="19.5" x14ac:dyDescent="0.25">
      <c r="A14" s="19">
        <v>12</v>
      </c>
      <c r="B14" s="18" t="s">
        <v>105</v>
      </c>
    </row>
    <row r="15" spans="1:8" ht="19.5" x14ac:dyDescent="0.25">
      <c r="A15" s="19">
        <v>13</v>
      </c>
      <c r="B15" s="18" t="s">
        <v>1152</v>
      </c>
    </row>
    <row r="16" spans="1:8" ht="27.6" customHeight="1" x14ac:dyDescent="0.25">
      <c r="A16" s="19">
        <v>14</v>
      </c>
      <c r="B16" s="18" t="s">
        <v>106</v>
      </c>
    </row>
    <row r="17" spans="1:2" ht="19.5" x14ac:dyDescent="0.25">
      <c r="A17" s="19">
        <v>15</v>
      </c>
      <c r="B17" s="18" t="s">
        <v>107</v>
      </c>
    </row>
    <row r="18" spans="1:2" ht="19.5" x14ac:dyDescent="0.25">
      <c r="A18" s="19">
        <v>16</v>
      </c>
      <c r="B18" s="18" t="s">
        <v>108</v>
      </c>
    </row>
    <row r="19" spans="1:2" ht="19.5" x14ac:dyDescent="0.25">
      <c r="A19" s="19">
        <v>17</v>
      </c>
      <c r="B19" s="34" t="s">
        <v>113</v>
      </c>
    </row>
    <row r="20" spans="1:2" ht="19.5" x14ac:dyDescent="0.25">
      <c r="A20" s="19">
        <v>18</v>
      </c>
      <c r="B20" s="18" t="s">
        <v>929</v>
      </c>
    </row>
    <row r="21" spans="1:2" ht="33" customHeight="1" x14ac:dyDescent="0.35">
      <c r="A21" s="21"/>
      <c r="B21" s="22" t="s">
        <v>51</v>
      </c>
    </row>
    <row r="22" spans="1:2" ht="19.5" x14ac:dyDescent="0.25">
      <c r="A22" s="13">
        <v>1</v>
      </c>
      <c r="B22" s="14" t="s">
        <v>124</v>
      </c>
    </row>
    <row r="23" spans="1:2" ht="19.5" x14ac:dyDescent="0.25">
      <c r="A23" s="13">
        <v>2</v>
      </c>
      <c r="B23" s="14" t="s">
        <v>85</v>
      </c>
    </row>
    <row r="24" spans="1:2" ht="19.5" x14ac:dyDescent="0.25">
      <c r="A24" s="13">
        <v>3</v>
      </c>
      <c r="B24" s="14" t="s">
        <v>86</v>
      </c>
    </row>
    <row r="25" spans="1:2" ht="19.5" x14ac:dyDescent="0.25">
      <c r="A25" s="13">
        <v>4</v>
      </c>
      <c r="B25" s="14" t="s">
        <v>25</v>
      </c>
    </row>
    <row r="26" spans="1:2" ht="19.5" x14ac:dyDescent="0.25">
      <c r="A26" s="13">
        <v>5</v>
      </c>
      <c r="B26" s="14" t="s">
        <v>26</v>
      </c>
    </row>
    <row r="27" spans="1:2" ht="19.5" x14ac:dyDescent="0.25">
      <c r="A27" s="13"/>
      <c r="B27" s="14"/>
    </row>
    <row r="28" spans="1:2" ht="19.5" x14ac:dyDescent="0.25">
      <c r="A28" s="13"/>
      <c r="B28" s="14"/>
    </row>
    <row r="29" spans="1:2" x14ac:dyDescent="0.2">
      <c r="A29" s="15"/>
      <c r="B29" s="16"/>
    </row>
    <row r="30" spans="1:2" ht="57" x14ac:dyDescent="0.2">
      <c r="A30" s="15"/>
      <c r="B30" s="29" t="s">
        <v>96</v>
      </c>
    </row>
    <row r="31" spans="1:2" x14ac:dyDescent="0.2">
      <c r="A31" s="15"/>
      <c r="B31" s="16"/>
    </row>
    <row r="32" spans="1:2" x14ac:dyDescent="0.2">
      <c r="A32" s="15"/>
      <c r="B32" s="16"/>
    </row>
    <row r="33" spans="1:2" x14ac:dyDescent="0.2">
      <c r="A33" s="15"/>
      <c r="B33" s="16"/>
    </row>
    <row r="34" spans="1:2" x14ac:dyDescent="0.2">
      <c r="A34" s="15"/>
      <c r="B34" s="16"/>
    </row>
    <row r="35" spans="1:2" x14ac:dyDescent="0.2">
      <c r="A35" s="15"/>
      <c r="B35" s="29"/>
    </row>
    <row r="36" spans="1:2" x14ac:dyDescent="0.2">
      <c r="A36" s="15"/>
      <c r="B36" s="16"/>
    </row>
    <row r="37" spans="1:2" x14ac:dyDescent="0.2">
      <c r="A37" s="15"/>
      <c r="B37" s="16"/>
    </row>
  </sheetData>
  <mergeCells count="2">
    <mergeCell ref="A1:B1"/>
    <mergeCell ref="F1:H1"/>
  </mergeCells>
  <hyperlinks>
    <hyperlink ref="D11" location="'List of documents'!A1" display="Back to list of documents"/>
    <hyperlink ref="D13" location="'List of organisations'!A1" display="Back to list of organisations"/>
  </hyperlinks>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List of documents</vt:lpstr>
      <vt:lpstr>Stats on documents</vt:lpstr>
      <vt:lpstr>List of organisations</vt:lpstr>
      <vt:lpstr>List of abbreviations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Adjektiv K</dc:creator>
  <cp:lastModifiedBy>SC</cp:lastModifiedBy>
  <dcterms:created xsi:type="dcterms:W3CDTF">2017-10-20T23:41:04Z</dcterms:created>
  <dcterms:modified xsi:type="dcterms:W3CDTF">2024-09-25T14:24:18Z</dcterms:modified>
</cp:coreProperties>
</file>